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Thompson\Dropbox\Shared Oracle Development Files\McIntosh Woods (Newnan, GA)\McIntosh Woods Full Application\2019-5xxMcIntshWds\"/>
    </mc:Choice>
  </mc:AlternateContent>
  <xr:revisionPtr revIDLastSave="0" documentId="13_ncr:1_{53E36984-6E1C-42EF-B019-156D1C177654}" xr6:coauthVersionLast="41" xr6:coauthVersionMax="41" xr10:uidLastSave="{00000000-0000-0000-0000-000000000000}"/>
  <bookViews>
    <workbookView xWindow="-120" yWindow="-120" windowWidth="20730" windowHeight="11760" tabRatio="90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6" i="68" l="1"/>
  <c r="L25" i="68"/>
  <c r="L19" i="76" l="1"/>
  <c r="K19" i="76"/>
  <c r="G115" i="78" l="1"/>
  <c r="G79" i="78"/>
  <c r="G71" i="78"/>
  <c r="G67" i="78"/>
  <c r="G66" i="78"/>
  <c r="G54" i="78"/>
  <c r="G61" i="78"/>
  <c r="J37" i="78"/>
  <c r="G37" i="78" s="1"/>
  <c r="J36" i="78"/>
  <c r="G36" i="78" s="1"/>
  <c r="J35" i="78"/>
  <c r="G123" i="78"/>
  <c r="G122" i="78"/>
  <c r="G121" i="78"/>
  <c r="G120" i="78"/>
  <c r="G129" i="78"/>
  <c r="G128" i="78"/>
  <c r="G125" i="78"/>
  <c r="G124" i="78"/>
  <c r="G116" i="78"/>
  <c r="G113" i="78"/>
  <c r="G110" i="78"/>
  <c r="G109" i="78"/>
  <c r="G108" i="78"/>
  <c r="G107" i="78"/>
  <c r="G97" i="78"/>
  <c r="G98" i="78"/>
  <c r="G99" i="78"/>
  <c r="G100" i="78"/>
  <c r="G101" i="78"/>
  <c r="G102" i="78"/>
  <c r="G103" i="78"/>
  <c r="G104" i="78"/>
  <c r="G96" i="78"/>
  <c r="G86" i="78"/>
  <c r="G87" i="78"/>
  <c r="G88" i="78"/>
  <c r="G89" i="78"/>
  <c r="G90" i="78"/>
  <c r="G85" i="78"/>
  <c r="G82" i="78"/>
  <c r="G81" i="78"/>
  <c r="G80" i="78"/>
  <c r="G76" i="78"/>
  <c r="G75" i="78"/>
  <c r="G74" i="78"/>
  <c r="G73" i="78"/>
  <c r="G72" i="78"/>
  <c r="G70" i="78"/>
  <c r="G69" i="78"/>
  <c r="G68" i="78"/>
  <c r="G63" i="78"/>
  <c r="G62" i="78"/>
  <c r="G60" i="78"/>
  <c r="G59" i="78"/>
  <c r="G58" i="78"/>
  <c r="G57" i="78"/>
  <c r="G56" i="78"/>
  <c r="G55" i="78"/>
  <c r="G53" i="78"/>
  <c r="G52" i="78"/>
  <c r="G47" i="78"/>
  <c r="G41" i="78"/>
  <c r="G35" i="78"/>
  <c r="G32" i="78"/>
  <c r="G31" i="78"/>
  <c r="G30" i="78"/>
  <c r="G29" i="78"/>
  <c r="G26" i="78"/>
  <c r="G25" i="78"/>
  <c r="G22" i="78"/>
  <c r="G21" i="78"/>
  <c r="G20" i="78"/>
  <c r="G19" i="78"/>
  <c r="G16" i="78"/>
  <c r="G15" i="78"/>
  <c r="G14" i="78"/>
  <c r="G13" i="78"/>
  <c r="G12" i="78"/>
  <c r="G11" i="78"/>
  <c r="G10" i="78"/>
  <c r="G9" i="78"/>
  <c r="G8" i="78"/>
  <c r="G117" i="78"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N906" i="93"/>
  <c r="M906" i="93"/>
  <c r="L906" i="93"/>
  <c r="K906" i="93"/>
  <c r="K907" i="93" s="1"/>
  <c r="J906" i="93"/>
  <c r="I906" i="93"/>
  <c r="H906" i="93"/>
  <c r="G906" i="93"/>
  <c r="P905" i="93"/>
  <c r="O905" i="93"/>
  <c r="N905" i="93"/>
  <c r="M905" i="93"/>
  <c r="M907" i="93" s="1"/>
  <c r="L905" i="93"/>
  <c r="K905" i="93"/>
  <c r="J905" i="93"/>
  <c r="I905" i="93"/>
  <c r="I907" i="93" s="1"/>
  <c r="H905" i="93"/>
  <c r="G905" i="93"/>
  <c r="P902" i="93"/>
  <c r="O902" i="93"/>
  <c r="N902" i="93"/>
  <c r="M902" i="93"/>
  <c r="L902" i="93"/>
  <c r="K902" i="93"/>
  <c r="J902" i="93"/>
  <c r="I902" i="93"/>
  <c r="H902" i="93"/>
  <c r="G902" i="93"/>
  <c r="P901" i="93"/>
  <c r="O901" i="93"/>
  <c r="N901" i="93"/>
  <c r="M901" i="93"/>
  <c r="M903" i="93" s="1"/>
  <c r="L901" i="93"/>
  <c r="K901" i="93"/>
  <c r="J901" i="93"/>
  <c r="I901" i="93"/>
  <c r="H901" i="93"/>
  <c r="G901" i="93"/>
  <c r="P897" i="93"/>
  <c r="P898" i="93" s="1"/>
  <c r="O897" i="93"/>
  <c r="O898" i="93" s="1"/>
  <c r="N897" i="93"/>
  <c r="M897" i="93"/>
  <c r="L897" i="93"/>
  <c r="L898" i="93" s="1"/>
  <c r="K897" i="93"/>
  <c r="J897" i="93"/>
  <c r="I897" i="93"/>
  <c r="H897" i="93"/>
  <c r="H898" i="93" s="1"/>
  <c r="G897" i="93"/>
  <c r="P896" i="93"/>
  <c r="O896" i="93"/>
  <c r="N896" i="93"/>
  <c r="N898" i="93" s="1"/>
  <c r="M896" i="93"/>
  <c r="L896" i="93"/>
  <c r="K896" i="93"/>
  <c r="J896" i="93"/>
  <c r="J898" i="93" s="1"/>
  <c r="I896" i="93"/>
  <c r="H896" i="93"/>
  <c r="G896" i="93"/>
  <c r="P893" i="93"/>
  <c r="P894" i="93" s="1"/>
  <c r="O893" i="93"/>
  <c r="O894" i="93" s="1"/>
  <c r="N893" i="93"/>
  <c r="M893" i="93"/>
  <c r="L893" i="93"/>
  <c r="L894" i="93" s="1"/>
  <c r="K893" i="93"/>
  <c r="J893" i="93"/>
  <c r="I893" i="93"/>
  <c r="H893" i="93"/>
  <c r="H894" i="93" s="1"/>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N889" i="93" s="1"/>
  <c r="M887" i="93"/>
  <c r="L887" i="93"/>
  <c r="K887" i="93"/>
  <c r="J887" i="93"/>
  <c r="J889" i="93" s="1"/>
  <c r="I887" i="93"/>
  <c r="H887" i="93"/>
  <c r="G887" i="93"/>
  <c r="H883" i="93"/>
  <c r="I883" i="93"/>
  <c r="I885" i="93" s="1"/>
  <c r="J883" i="93"/>
  <c r="K883" i="93"/>
  <c r="L883" i="93"/>
  <c r="M883" i="93"/>
  <c r="N883" i="93"/>
  <c r="O883" i="93"/>
  <c r="P883" i="93"/>
  <c r="H884" i="93"/>
  <c r="I884" i="93"/>
  <c r="J884" i="93"/>
  <c r="K884" i="93"/>
  <c r="L884" i="93"/>
  <c r="M884" i="93"/>
  <c r="N884" i="93"/>
  <c r="O884" i="93"/>
  <c r="P884" i="93"/>
  <c r="G884" i="93"/>
  <c r="G885" i="93" s="1"/>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JP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JG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AB794" i="93" s="1"/>
  <c r="M793" i="93"/>
  <c r="M792" i="93"/>
  <c r="M791" i="93"/>
  <c r="M790" i="93"/>
  <c r="EH790" i="93" s="1"/>
  <c r="M789" i="93"/>
  <c r="M788" i="93"/>
  <c r="M787" i="93"/>
  <c r="M786" i="93"/>
  <c r="IM786" i="93" s="1"/>
  <c r="M785" i="93"/>
  <c r="M784" i="93"/>
  <c r="M783" i="93"/>
  <c r="M782" i="93"/>
  <c r="ER782" i="93" s="1"/>
  <c r="M781" i="93"/>
  <c r="M780" i="93"/>
  <c r="M779" i="93"/>
  <c r="M778" i="93"/>
  <c r="DR778" i="93" s="1"/>
  <c r="M777" i="93"/>
  <c r="M776" i="93"/>
  <c r="M775" i="93"/>
  <c r="M774" i="93"/>
  <c r="CY774" i="93" s="1"/>
  <c r="M773" i="93"/>
  <c r="M772" i="93"/>
  <c r="M771" i="93"/>
  <c r="M770" i="93"/>
  <c r="DB770" i="93" s="1"/>
  <c r="M769" i="93"/>
  <c r="M768" i="93"/>
  <c r="DC768" i="93" s="1"/>
  <c r="M767" i="93"/>
  <c r="J804" i="93"/>
  <c r="J803" i="93"/>
  <c r="CU803" i="93" s="1"/>
  <c r="J802" i="93"/>
  <c r="J801" i="93"/>
  <c r="J800" i="93"/>
  <c r="J799" i="93"/>
  <c r="CX799" i="93" s="1"/>
  <c r="J798" i="93"/>
  <c r="J797" i="93"/>
  <c r="J796" i="93"/>
  <c r="CU796" i="93" s="1"/>
  <c r="J795" i="93"/>
  <c r="CX795" i="93" s="1"/>
  <c r="J794" i="93"/>
  <c r="J793" i="93"/>
  <c r="J792" i="93"/>
  <c r="CU792" i="93" s="1"/>
  <c r="J791" i="93"/>
  <c r="CX791" i="93" s="1"/>
  <c r="J790" i="93"/>
  <c r="J789" i="93"/>
  <c r="J788" i="93"/>
  <c r="CV788" i="93" s="1"/>
  <c r="J787" i="93"/>
  <c r="CV787" i="93" s="1"/>
  <c r="J786" i="93"/>
  <c r="J785" i="93"/>
  <c r="J784" i="93"/>
  <c r="J783" i="93"/>
  <c r="CW783" i="93" s="1"/>
  <c r="J782" i="93"/>
  <c r="J781" i="93"/>
  <c r="J780" i="93"/>
  <c r="J779" i="93"/>
  <c r="CU779" i="93" s="1"/>
  <c r="J778" i="93"/>
  <c r="J777" i="93"/>
  <c r="J776" i="93"/>
  <c r="J775" i="93"/>
  <c r="CU775" i="93" s="1"/>
  <c r="J774" i="93"/>
  <c r="J773" i="93"/>
  <c r="J772" i="93"/>
  <c r="J771" i="93"/>
  <c r="CX771" i="93" s="1"/>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IH799" i="93" s="1"/>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Z767" i="93" s="1"/>
  <c r="F763" i="93"/>
  <c r="G762" i="93"/>
  <c r="R918" i="93"/>
  <c r="J916" i="93"/>
  <c r="G916" i="93"/>
  <c r="R913" i="93"/>
  <c r="K912" i="93"/>
  <c r="H912" i="93"/>
  <c r="S909" i="93"/>
  <c r="O907" i="93"/>
  <c r="G907" i="93"/>
  <c r="R904" i="93"/>
  <c r="N903" i="93"/>
  <c r="J903" i="93"/>
  <c r="I903" i="93"/>
  <c r="S900" i="93"/>
  <c r="K898" i="93"/>
  <c r="G898" i="93"/>
  <c r="R895" i="93"/>
  <c r="N894" i="93"/>
  <c r="K894" i="93"/>
  <c r="J894" i="93"/>
  <c r="S891" i="93"/>
  <c r="M889" i="93"/>
  <c r="I889" i="93"/>
  <c r="R886" i="93"/>
  <c r="P885" i="93"/>
  <c r="M885" i="93"/>
  <c r="L885" i="93"/>
  <c r="H885" i="93"/>
  <c r="R882" i="93"/>
  <c r="R881" i="93"/>
  <c r="R879" i="93"/>
  <c r="R869" i="93"/>
  <c r="R860" i="93"/>
  <c r="R842" i="93"/>
  <c r="R828" i="93"/>
  <c r="R824" i="93"/>
  <c r="R820" i="93"/>
  <c r="R810" i="93"/>
  <c r="JR805" i="93"/>
  <c r="JQ804" i="93"/>
  <c r="JN804" i="93"/>
  <c r="JM804" i="93"/>
  <c r="JI804" i="93"/>
  <c r="JF804" i="93"/>
  <c r="JE804" i="93"/>
  <c r="IB804" i="93"/>
  <c r="HY804" i="93"/>
  <c r="HX804" i="93"/>
  <c r="HT804" i="93"/>
  <c r="HQ804" i="93"/>
  <c r="HP804" i="93"/>
  <c r="HL804" i="93"/>
  <c r="HI804" i="93"/>
  <c r="HH804" i="93"/>
  <c r="HD804" i="93"/>
  <c r="HA804" i="93"/>
  <c r="GZ804" i="93"/>
  <c r="GV804" i="93"/>
  <c r="GS804" i="93"/>
  <c r="GR804" i="93"/>
  <c r="GN804" i="93"/>
  <c r="GK804" i="93"/>
  <c r="GJ804" i="93"/>
  <c r="GF804" i="93"/>
  <c r="GC804" i="93"/>
  <c r="GB804" i="93"/>
  <c r="FX804" i="93"/>
  <c r="FU804" i="93"/>
  <c r="FT804" i="93"/>
  <c r="FP804" i="93"/>
  <c r="FM804" i="93"/>
  <c r="FL804" i="93"/>
  <c r="FH804" i="93"/>
  <c r="FE804" i="93"/>
  <c r="FD804" i="93"/>
  <c r="EZ804" i="93"/>
  <c r="EW804" i="93"/>
  <c r="EI804" i="93"/>
  <c r="DB804" i="93"/>
  <c r="DA804" i="93"/>
  <c r="CZ804" i="93"/>
  <c r="CX804" i="93"/>
  <c r="CV804" i="93"/>
  <c r="CU804" i="93"/>
  <c r="BY804" i="93"/>
  <c r="BX804" i="93"/>
  <c r="BW804" i="93"/>
  <c r="BU804" i="93"/>
  <c r="BT804" i="93"/>
  <c r="JP803" i="93"/>
  <c r="JL803" i="93"/>
  <c r="JK803" i="93"/>
  <c r="JI803" i="93"/>
  <c r="JH803" i="93"/>
  <c r="JE803" i="93"/>
  <c r="IV803" i="93"/>
  <c r="IS803" i="93"/>
  <c r="IH803" i="93"/>
  <c r="HX803" i="93"/>
  <c r="HW803" i="93"/>
  <c r="HP803" i="93"/>
  <c r="HH803" i="93"/>
  <c r="HG803" i="93"/>
  <c r="GZ803" i="93"/>
  <c r="GR803" i="93"/>
  <c r="GQ803" i="93"/>
  <c r="GJ803" i="93"/>
  <c r="GB803" i="93"/>
  <c r="GA803" i="93"/>
  <c r="FT803" i="93"/>
  <c r="FL803" i="93"/>
  <c r="FK803" i="93"/>
  <c r="FD803" i="93"/>
  <c r="FA803" i="93"/>
  <c r="EZ803" i="93"/>
  <c r="EY803" i="93"/>
  <c r="EW803" i="93"/>
  <c r="ER803" i="93"/>
  <c r="EO803" i="93"/>
  <c r="ED803" i="93"/>
  <c r="DT803" i="93"/>
  <c r="DP803" i="93"/>
  <c r="DD803" i="93"/>
  <c r="DC803" i="93"/>
  <c r="DB803" i="93"/>
  <c r="CZ803" i="93"/>
  <c r="CY803" i="93"/>
  <c r="CX803" i="93"/>
  <c r="CT803" i="93"/>
  <c r="CS803" i="93"/>
  <c r="CR803" i="93"/>
  <c r="CD803" i="93"/>
  <c r="BY803" i="93"/>
  <c r="BX803" i="93"/>
  <c r="BV803" i="93"/>
  <c r="BU803" i="93"/>
  <c r="BE803" i="93"/>
  <c r="AH803" i="93"/>
  <c r="AC803" i="93"/>
  <c r="IA801" i="93"/>
  <c r="HX801" i="93"/>
  <c r="HP801" i="93"/>
  <c r="HE801" i="93"/>
  <c r="HA801" i="93"/>
  <c r="GU801" i="93"/>
  <c r="GO801" i="93"/>
  <c r="GF801" i="93"/>
  <c r="GE801" i="93"/>
  <c r="FT801" i="93"/>
  <c r="FO801" i="93"/>
  <c r="FK801" i="93"/>
  <c r="EZ801" i="93"/>
  <c r="EY801" i="93"/>
  <c r="EC801" i="93"/>
  <c r="CY801" i="93"/>
  <c r="CX801" i="93"/>
  <c r="CP801" i="93"/>
  <c r="CD801" i="93"/>
  <c r="CA801" i="93"/>
  <c r="BS801" i="93"/>
  <c r="BJ801" i="93"/>
  <c r="BF801" i="93"/>
  <c r="AX801" i="93"/>
  <c r="AM801" i="93"/>
  <c r="AL801" i="93"/>
  <c r="AD801" i="93"/>
  <c r="JQ800" i="93"/>
  <c r="JO800" i="93"/>
  <c r="JN800" i="93"/>
  <c r="JK800" i="93"/>
  <c r="JJ800" i="93"/>
  <c r="JI800" i="93"/>
  <c r="JF800" i="93"/>
  <c r="JE800" i="93"/>
  <c r="JC800" i="93"/>
  <c r="IC800" i="93"/>
  <c r="IA800" i="93"/>
  <c r="HZ800" i="93"/>
  <c r="HX800" i="93"/>
  <c r="HW800" i="93"/>
  <c r="HV800" i="93"/>
  <c r="HT800" i="93"/>
  <c r="HS800" i="93"/>
  <c r="HR800" i="93"/>
  <c r="HP800" i="93"/>
  <c r="HO800" i="93"/>
  <c r="HN800" i="93"/>
  <c r="HL800" i="93"/>
  <c r="HK800" i="93"/>
  <c r="HJ800" i="93"/>
  <c r="HH800" i="93"/>
  <c r="HG800" i="93"/>
  <c r="HF800" i="93"/>
  <c r="HD800" i="93"/>
  <c r="HC800" i="93"/>
  <c r="HB800" i="93"/>
  <c r="GZ800" i="93"/>
  <c r="GY800" i="93"/>
  <c r="GX800" i="93"/>
  <c r="GV800" i="93"/>
  <c r="GU800" i="93"/>
  <c r="GT800" i="93"/>
  <c r="GR800" i="93"/>
  <c r="GQ800" i="93"/>
  <c r="GP800" i="93"/>
  <c r="GN800" i="93"/>
  <c r="GM800" i="93"/>
  <c r="GL800" i="93"/>
  <c r="GJ800" i="93"/>
  <c r="GI800" i="93"/>
  <c r="GH800" i="93"/>
  <c r="GF800" i="93"/>
  <c r="GE800" i="93"/>
  <c r="GD800" i="93"/>
  <c r="GB800" i="93"/>
  <c r="GA800" i="93"/>
  <c r="FZ800" i="93"/>
  <c r="FX800" i="93"/>
  <c r="FW800" i="93"/>
  <c r="FV800" i="93"/>
  <c r="FT800" i="93"/>
  <c r="FS800" i="93"/>
  <c r="FR800" i="93"/>
  <c r="FP800" i="93"/>
  <c r="FO800" i="93"/>
  <c r="FN800" i="93"/>
  <c r="FL800" i="93"/>
  <c r="FK800" i="93"/>
  <c r="FJ800" i="93"/>
  <c r="FH800" i="93"/>
  <c r="FG800" i="93"/>
  <c r="FF800" i="93"/>
  <c r="FD800" i="93"/>
  <c r="FC800" i="93"/>
  <c r="FB800" i="93"/>
  <c r="EZ800" i="93"/>
  <c r="EY800" i="93"/>
  <c r="EX800" i="93"/>
  <c r="DZ800" i="93"/>
  <c r="DC800" i="93"/>
  <c r="DB800" i="93"/>
  <c r="CZ800" i="93"/>
  <c r="CY800" i="93"/>
  <c r="CX800" i="93"/>
  <c r="CU800" i="93"/>
  <c r="CT800" i="93"/>
  <c r="BY800" i="93"/>
  <c r="BW800" i="93"/>
  <c r="BV800" i="93"/>
  <c r="BU800" i="93"/>
  <c r="JM799" i="93"/>
  <c r="JL799" i="93"/>
  <c r="JJ799" i="93"/>
  <c r="JI799" i="93"/>
  <c r="JH799" i="93"/>
  <c r="IX799" i="93"/>
  <c r="IQ799" i="93"/>
  <c r="IN799" i="93"/>
  <c r="ID799" i="93"/>
  <c r="HY799" i="93"/>
  <c r="HV799" i="93"/>
  <c r="HN799" i="93"/>
  <c r="HI799" i="93"/>
  <c r="HF799" i="93"/>
  <c r="GX799" i="93"/>
  <c r="GS799" i="93"/>
  <c r="GP799" i="93"/>
  <c r="GH799" i="93"/>
  <c r="GC799" i="93"/>
  <c r="FZ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O768" i="93"/>
  <c r="JN768" i="93"/>
  <c r="IB768" i="93"/>
  <c r="IA768" i="93"/>
  <c r="HY768" i="93"/>
  <c r="HW768" i="93"/>
  <c r="HU768" i="93"/>
  <c r="HT768" i="93"/>
  <c r="HQ768" i="93"/>
  <c r="HP768" i="93"/>
  <c r="HO768" i="93"/>
  <c r="HL768" i="93"/>
  <c r="HK768" i="93"/>
  <c r="HI768" i="93"/>
  <c r="HG768" i="93"/>
  <c r="HE768" i="93"/>
  <c r="HD768" i="93"/>
  <c r="HA768" i="93"/>
  <c r="GZ768" i="93"/>
  <c r="GY768" i="93"/>
  <c r="GV768" i="93"/>
  <c r="GU768" i="93"/>
  <c r="GS768" i="93"/>
  <c r="GQ768" i="93"/>
  <c r="GO768" i="93"/>
  <c r="GN768" i="93"/>
  <c r="GK768" i="93"/>
  <c r="GJ768" i="93"/>
  <c r="GI768" i="93"/>
  <c r="GF768" i="93"/>
  <c r="GE768" i="93"/>
  <c r="GC768" i="93"/>
  <c r="GA768" i="93"/>
  <c r="FY768" i="93"/>
  <c r="FX768" i="93"/>
  <c r="FU768" i="93"/>
  <c r="FT768" i="93"/>
  <c r="FS768" i="93"/>
  <c r="FP768" i="93"/>
  <c r="FO768" i="93"/>
  <c r="FM768" i="93"/>
  <c r="FK768" i="93"/>
  <c r="FI768" i="93"/>
  <c r="FH768" i="93"/>
  <c r="FE768" i="93"/>
  <c r="FD768" i="93"/>
  <c r="FC768" i="93"/>
  <c r="EZ768" i="93"/>
  <c r="EY768" i="93"/>
  <c r="EW768" i="93"/>
  <c r="CX768" i="93"/>
  <c r="BX768" i="93"/>
  <c r="JQ767" i="93"/>
  <c r="JL767" i="93"/>
  <c r="JJ767" i="93"/>
  <c r="JI767" i="93"/>
  <c r="JH767" i="93"/>
  <c r="JA767" i="93"/>
  <c r="IV767" i="93"/>
  <c r="IP767" i="93"/>
  <c r="IK767" i="93"/>
  <c r="IF767" i="93"/>
  <c r="IC767" i="93"/>
  <c r="HT767" i="93"/>
  <c r="HR767" i="93"/>
  <c r="HI767" i="93"/>
  <c r="HH767" i="93"/>
  <c r="GX767" i="93"/>
  <c r="GW767" i="93"/>
  <c r="GN767" i="93"/>
  <c r="GL767" i="93"/>
  <c r="GC767" i="93"/>
  <c r="GB767" i="93"/>
  <c r="FR767" i="93"/>
  <c r="FQ767" i="93"/>
  <c r="FH767" i="93"/>
  <c r="FF767" i="93"/>
  <c r="FA767" i="93"/>
  <c r="EZ767" i="93"/>
  <c r="EX767" i="93"/>
  <c r="EW767" i="93"/>
  <c r="ES767" i="93"/>
  <c r="EN767" i="93"/>
  <c r="EH767" i="93"/>
  <c r="EC767" i="93"/>
  <c r="DX767" i="93"/>
  <c r="DR767" i="93"/>
  <c r="DM767" i="93"/>
  <c r="DH767" i="93"/>
  <c r="DB767" i="93"/>
  <c r="DA767" i="93"/>
  <c r="CZ767" i="93"/>
  <c r="CW767" i="93"/>
  <c r="CV767" i="93"/>
  <c r="CO767" i="93"/>
  <c r="CI767" i="93"/>
  <c r="CD767" i="93"/>
  <c r="BY767" i="93"/>
  <c r="BW767" i="93"/>
  <c r="BV767" i="93"/>
  <c r="BU767" i="93"/>
  <c r="BQ767" i="93"/>
  <c r="BH767" i="93"/>
  <c r="U760" i="93"/>
  <c r="A758" i="93"/>
  <c r="U758" i="93" s="1"/>
  <c r="O1477" i="93" l="1"/>
  <c r="FL767" i="93"/>
  <c r="FV767" i="93"/>
  <c r="GG767" i="93"/>
  <c r="GR767" i="93"/>
  <c r="HB767" i="93"/>
  <c r="HM767" i="93"/>
  <c r="HX767" i="93"/>
  <c r="JF767" i="93"/>
  <c r="FB767" i="93"/>
  <c r="FM767" i="93"/>
  <c r="FX767" i="93"/>
  <c r="GH767" i="93"/>
  <c r="GS767" i="93"/>
  <c r="HD767" i="93"/>
  <c r="HN767" i="93"/>
  <c r="HY767" i="93"/>
  <c r="JM767" i="93"/>
  <c r="FN767" i="93"/>
  <c r="GJ767" i="93"/>
  <c r="JD767" i="93"/>
  <c r="FD767" i="93"/>
  <c r="FI767" i="93"/>
  <c r="FT767" i="93"/>
  <c r="FY767" i="93"/>
  <c r="GD767" i="93"/>
  <c r="GO767" i="93"/>
  <c r="GT767" i="93"/>
  <c r="GZ767" i="93"/>
  <c r="HE767" i="93"/>
  <c r="HJ767" i="93"/>
  <c r="HP767" i="93"/>
  <c r="HU767" i="93"/>
  <c r="HZ767" i="93"/>
  <c r="JN767" i="93"/>
  <c r="FE767" i="93"/>
  <c r="FJ767" i="93"/>
  <c r="FP767" i="93"/>
  <c r="FU767" i="93"/>
  <c r="FZ767" i="93"/>
  <c r="GF767" i="93"/>
  <c r="GK767" i="93"/>
  <c r="GP767" i="93"/>
  <c r="GV767" i="93"/>
  <c r="HA767" i="93"/>
  <c r="HF767" i="93"/>
  <c r="HL767" i="93"/>
  <c r="HQ767" i="93"/>
  <c r="HV767" i="93"/>
  <c r="IB767" i="93"/>
  <c r="JE767" i="93"/>
  <c r="JH768" i="93"/>
  <c r="IU768" i="93"/>
  <c r="JJ768" i="93"/>
  <c r="JD768" i="93"/>
  <c r="JL768" i="93"/>
  <c r="JK768" i="93"/>
  <c r="JC768" i="93"/>
  <c r="BG768" i="93"/>
  <c r="CY768" i="93"/>
  <c r="CT768" i="93"/>
  <c r="DB768" i="93"/>
  <c r="CM768" i="93"/>
  <c r="BV768" i="93"/>
  <c r="CW768" i="93"/>
  <c r="DW768" i="93"/>
  <c r="BI767" i="93"/>
  <c r="CE767" i="93"/>
  <c r="DD767" i="93"/>
  <c r="DN767" i="93"/>
  <c r="DY767" i="93"/>
  <c r="EJ767" i="93"/>
  <c r="ET767" i="93"/>
  <c r="IR767" i="93"/>
  <c r="JB767" i="93"/>
  <c r="A767" i="93"/>
  <c r="BM767" i="93"/>
  <c r="CA767" i="93"/>
  <c r="CG767" i="93"/>
  <c r="CL767" i="93"/>
  <c r="CQ767" i="93"/>
  <c r="DE767" i="93"/>
  <c r="DJ767" i="93"/>
  <c r="DP767" i="93"/>
  <c r="DU767" i="93"/>
  <c r="DZ767" i="93"/>
  <c r="EF767" i="93"/>
  <c r="EK767" i="93"/>
  <c r="EP767" i="93"/>
  <c r="EV767" i="93"/>
  <c r="IH767" i="93"/>
  <c r="IN767" i="93"/>
  <c r="IS767" i="93"/>
  <c r="IX767" i="93"/>
  <c r="BZ767" i="93"/>
  <c r="CK767" i="93"/>
  <c r="CP767" i="93"/>
  <c r="DI767" i="93"/>
  <c r="DT767" i="93"/>
  <c r="ED767" i="93"/>
  <c r="EO767" i="93"/>
  <c r="IG767" i="93"/>
  <c r="IL767" i="93"/>
  <c r="IW767" i="93"/>
  <c r="BE767" i="93"/>
  <c r="BP767" i="93"/>
  <c r="CC767" i="93"/>
  <c r="CH767" i="93"/>
  <c r="CM767" i="93"/>
  <c r="CS767" i="93"/>
  <c r="DF767" i="93"/>
  <c r="DL767" i="93"/>
  <c r="DQ767" i="93"/>
  <c r="DV767" i="93"/>
  <c r="EB767" i="93"/>
  <c r="EG767" i="93"/>
  <c r="EL767" i="93"/>
  <c r="ER767" i="93"/>
  <c r="ID767" i="93"/>
  <c r="IJ767" i="93"/>
  <c r="IO767" i="93"/>
  <c r="IT767" i="93"/>
  <c r="BW768" i="93"/>
  <c r="CU768" i="93"/>
  <c r="DA768" i="93"/>
  <c r="EM768" i="93"/>
  <c r="FA768" i="93"/>
  <c r="FG768" i="93"/>
  <c r="FL768" i="93"/>
  <c r="FQ768" i="93"/>
  <c r="FW768" i="93"/>
  <c r="GB768" i="93"/>
  <c r="GG768" i="93"/>
  <c r="GM768" i="93"/>
  <c r="GR768" i="93"/>
  <c r="GW768" i="93"/>
  <c r="HC768" i="93"/>
  <c r="HH768" i="93"/>
  <c r="HM768" i="93"/>
  <c r="HS768" i="93"/>
  <c r="HX768" i="93"/>
  <c r="IC768" i="93"/>
  <c r="JF768" i="93"/>
  <c r="JO767" i="93"/>
  <c r="JK767" i="93"/>
  <c r="JG767" i="93"/>
  <c r="JC767" i="93"/>
  <c r="IY767" i="93"/>
  <c r="IU767" i="93"/>
  <c r="IQ767" i="93"/>
  <c r="IM767" i="93"/>
  <c r="II767" i="93"/>
  <c r="IE767" i="93"/>
  <c r="IA767" i="93"/>
  <c r="HW767" i="93"/>
  <c r="HS767" i="93"/>
  <c r="HO767" i="93"/>
  <c r="HK767" i="93"/>
  <c r="HG767" i="93"/>
  <c r="HC767" i="93"/>
  <c r="GY767" i="93"/>
  <c r="GU767" i="93"/>
  <c r="GQ767" i="93"/>
  <c r="GM767" i="93"/>
  <c r="GI767" i="93"/>
  <c r="GE767" i="93"/>
  <c r="GA767" i="93"/>
  <c r="FW767" i="93"/>
  <c r="FS767" i="93"/>
  <c r="FO767" i="93"/>
  <c r="FK767" i="93"/>
  <c r="FG767" i="93"/>
  <c r="FC767" i="93"/>
  <c r="EY767" i="93"/>
  <c r="EU767" i="93"/>
  <c r="EQ767" i="93"/>
  <c r="EM767" i="93"/>
  <c r="EI767" i="93"/>
  <c r="EE767" i="93"/>
  <c r="EA767" i="93"/>
  <c r="DW767" i="93"/>
  <c r="DS767" i="93"/>
  <c r="DO767" i="93"/>
  <c r="DK767" i="93"/>
  <c r="DG767" i="93"/>
  <c r="DC767" i="93"/>
  <c r="CY767" i="93"/>
  <c r="CR767" i="93"/>
  <c r="CN767" i="93"/>
  <c r="CJ767" i="93"/>
  <c r="CF767" i="93"/>
  <c r="CB767" i="93"/>
  <c r="BX767" i="93"/>
  <c r="BT767" i="93"/>
  <c r="BL767" i="93"/>
  <c r="BD767" i="93"/>
  <c r="CU767" i="93"/>
  <c r="JQ768" i="93"/>
  <c r="JM768" i="93"/>
  <c r="JI768" i="93"/>
  <c r="JE768" i="93"/>
  <c r="IE768" i="93"/>
  <c r="HZ768" i="93"/>
  <c r="HV768" i="93"/>
  <c r="HR768" i="93"/>
  <c r="HN768" i="93"/>
  <c r="HJ768" i="93"/>
  <c r="HF768" i="93"/>
  <c r="HB768" i="93"/>
  <c r="GX768" i="93"/>
  <c r="GT768" i="93"/>
  <c r="GP768" i="93"/>
  <c r="GL768" i="93"/>
  <c r="GH768" i="93"/>
  <c r="GD768" i="93"/>
  <c r="FZ768" i="93"/>
  <c r="FV768" i="93"/>
  <c r="FR768" i="93"/>
  <c r="FN768" i="93"/>
  <c r="FJ768" i="93"/>
  <c r="FF768" i="93"/>
  <c r="FB768" i="93"/>
  <c r="EX768" i="93"/>
  <c r="DG768" i="93"/>
  <c r="CZ768" i="93"/>
  <c r="CV768" i="93"/>
  <c r="BY768" i="93"/>
  <c r="BU768" i="93"/>
  <c r="JP768" i="93"/>
  <c r="IE800" i="93"/>
  <c r="AM800" i="93"/>
  <c r="EF802" i="93"/>
  <c r="JH770" i="93"/>
  <c r="JI774" i="93"/>
  <c r="Z767" i="93"/>
  <c r="AD767" i="93"/>
  <c r="AH767" i="93"/>
  <c r="AL767" i="93"/>
  <c r="AP767" i="93"/>
  <c r="AT767" i="93"/>
  <c r="AX767" i="93"/>
  <c r="BB767" i="93"/>
  <c r="X767" i="93"/>
  <c r="AB767" i="93"/>
  <c r="AF767" i="93"/>
  <c r="AJ767" i="93"/>
  <c r="AN767" i="93"/>
  <c r="AR767" i="93"/>
  <c r="AV767" i="93"/>
  <c r="AZ767" i="93"/>
  <c r="W767" i="93"/>
  <c r="AA767" i="93"/>
  <c r="AE767" i="93"/>
  <c r="AI767" i="93"/>
  <c r="AM767" i="93"/>
  <c r="AQ767" i="93"/>
  <c r="AU767" i="93"/>
  <c r="AY767" i="93"/>
  <c r="Y767" i="93"/>
  <c r="AO767" i="93"/>
  <c r="AC767" i="93"/>
  <c r="AS767" i="93"/>
  <c r="AG767" i="93"/>
  <c r="AK767" i="93"/>
  <c r="AW767" i="93"/>
  <c r="BA767" i="93"/>
  <c r="JK799" i="93"/>
  <c r="IY799" i="93"/>
  <c r="HQ799" i="93"/>
  <c r="HA799" i="93"/>
  <c r="GK799" i="93"/>
  <c r="FU799" i="93"/>
  <c r="JQ803" i="93"/>
  <c r="JJ803" i="93"/>
  <c r="JD803" i="93"/>
  <c r="HO803" i="93"/>
  <c r="GY803" i="93"/>
  <c r="GI803" i="93"/>
  <c r="FS803" i="93"/>
  <c r="FC803" i="93"/>
  <c r="EX803" i="93"/>
  <c r="EF803" i="93"/>
  <c r="DE803" i="93"/>
  <c r="DA803" i="93"/>
  <c r="CW803" i="93"/>
  <c r="CH803" i="93"/>
  <c r="BW803" i="93"/>
  <c r="BD803" i="93"/>
  <c r="DA800" i="93"/>
  <c r="BX800" i="93"/>
  <c r="DC804" i="93"/>
  <c r="CY804" i="93"/>
  <c r="BV804" i="93"/>
  <c r="HV770" i="93"/>
  <c r="HW774" i="93"/>
  <c r="HP778" i="93"/>
  <c r="GU782" i="93"/>
  <c r="FP802" i="93"/>
  <c r="H889" i="93"/>
  <c r="L889" i="93"/>
  <c r="P889" i="93"/>
  <c r="H903" i="93"/>
  <c r="L903" i="93"/>
  <c r="P903" i="93"/>
  <c r="H907" i="93"/>
  <c r="L907" i="93"/>
  <c r="P907" i="93"/>
  <c r="J907" i="93"/>
  <c r="N907" i="93"/>
  <c r="K916" i="93"/>
  <c r="J912" i="93"/>
  <c r="K923" i="93"/>
  <c r="P924" i="93"/>
  <c r="JL801" i="93"/>
  <c r="HK801" i="93"/>
  <c r="GQ801" i="93"/>
  <c r="FY801" i="93"/>
  <c r="FD801" i="93"/>
  <c r="DX801" i="93"/>
  <c r="CL801" i="93"/>
  <c r="BR801" i="93"/>
  <c r="AU801" i="93"/>
  <c r="Z801" i="93"/>
  <c r="CW800" i="93"/>
  <c r="CV800" i="93"/>
  <c r="CW804" i="93"/>
  <c r="CT804" i="93"/>
  <c r="JP800"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JP804" i="93"/>
  <c r="JJ804" i="93"/>
  <c r="IC804" i="93"/>
  <c r="HU804" i="93"/>
  <c r="HM804" i="93"/>
  <c r="HE804" i="93"/>
  <c r="GW804" i="93"/>
  <c r="GO804" i="93"/>
  <c r="GG804" i="93"/>
  <c r="FY804" i="93"/>
  <c r="FQ804" i="93"/>
  <c r="FI804" i="93"/>
  <c r="FA804" i="93"/>
  <c r="DQ770" i="93"/>
  <c r="ES774" i="93"/>
  <c r="DL782" i="93"/>
  <c r="IP790" i="93"/>
  <c r="I912" i="93"/>
  <c r="F934" i="93"/>
  <c r="X768" i="93"/>
  <c r="AB768" i="93"/>
  <c r="AF768" i="93"/>
  <c r="AJ768" i="93"/>
  <c r="AN768" i="93"/>
  <c r="AR768" i="93"/>
  <c r="AV768" i="93"/>
  <c r="AZ768" i="93"/>
  <c r="Z768" i="93"/>
  <c r="AD768" i="93"/>
  <c r="AH768" i="93"/>
  <c r="AL768" i="93"/>
  <c r="AP768" i="93"/>
  <c r="AT768" i="93"/>
  <c r="AX768" i="93"/>
  <c r="BB768" i="93"/>
  <c r="Y768" i="93"/>
  <c r="AC768" i="93"/>
  <c r="AG768" i="93"/>
  <c r="AK768" i="93"/>
  <c r="AO768" i="93"/>
  <c r="AS768" i="93"/>
  <c r="AW768" i="93"/>
  <c r="BA768" i="93"/>
  <c r="AE768" i="93"/>
  <c r="AU768" i="93"/>
  <c r="AI768" i="93"/>
  <c r="AY768" i="93"/>
  <c r="W768" i="93"/>
  <c r="AM768" i="93"/>
  <c r="AQ768" i="93"/>
  <c r="AA768" i="93"/>
  <c r="HL801" i="93"/>
  <c r="O839" i="93"/>
  <c r="O838" i="93"/>
  <c r="N885" i="93"/>
  <c r="J885" i="93"/>
  <c r="O885" i="93"/>
  <c r="K885" i="93"/>
  <c r="G889" i="93"/>
  <c r="K889" i="93"/>
  <c r="O889" i="93"/>
  <c r="I894" i="93"/>
  <c r="M894" i="93"/>
  <c r="I898" i="93"/>
  <c r="M898" i="93"/>
  <c r="G903" i="93"/>
  <c r="K903" i="93"/>
  <c r="O903" i="93"/>
  <c r="I916" i="93"/>
  <c r="F925" i="93"/>
  <c r="K942" i="93"/>
  <c r="O1583" i="93"/>
  <c r="P1567" i="93" s="1"/>
  <c r="F1569" i="93"/>
  <c r="P1564" i="93" s="1"/>
  <c r="O1569" i="93"/>
  <c r="P1566" i="93" s="1"/>
  <c r="J1569" i="93"/>
  <c r="P1565" i="93" s="1"/>
  <c r="D969" i="93"/>
  <c r="C975" i="93"/>
  <c r="C977" i="93"/>
  <c r="C972" i="93"/>
  <c r="C978"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M863"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L864"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N864" i="93"/>
  <c r="K863"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46" i="93" s="1"/>
  <c r="J740" i="93"/>
  <c r="I740" i="93"/>
  <c r="M739" i="93"/>
  <c r="L739" i="93"/>
  <c r="K739" i="93"/>
  <c r="J739" i="93"/>
  <c r="I739" i="93"/>
  <c r="M738" i="93"/>
  <c r="M746" i="93" s="1"/>
  <c r="L738" i="93"/>
  <c r="K738" i="93"/>
  <c r="J738" i="93"/>
  <c r="I738" i="93"/>
  <c r="I746" i="93" s="1"/>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30" i="93" s="1"/>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P566" i="93" s="1"/>
  <c r="N565" i="93"/>
  <c r="M565" i="93"/>
  <c r="N564" i="93"/>
  <c r="M564" i="93"/>
  <c r="M566" i="93" s="1"/>
  <c r="K565" i="93"/>
  <c r="J565" i="93"/>
  <c r="K564" i="93"/>
  <c r="J564" i="93"/>
  <c r="J566" i="93" s="1"/>
  <c r="H565" i="93"/>
  <c r="G565" i="93"/>
  <c r="A565" i="93" s="1"/>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S562" i="93" s="1"/>
  <c r="G557" i="93"/>
  <c r="H557" i="93"/>
  <c r="G558" i="93"/>
  <c r="H558" i="93"/>
  <c r="G559" i="93"/>
  <c r="H559" i="93"/>
  <c r="G560" i="93"/>
  <c r="H560" i="93"/>
  <c r="G561" i="93"/>
  <c r="H561" i="93"/>
  <c r="K560" i="93"/>
  <c r="J560" i="93"/>
  <c r="J562" i="93" s="1"/>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4" i="93" s="1"/>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53" i="93" s="1"/>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W563" i="93"/>
  <c r="O563" i="93"/>
  <c r="V562" i="93"/>
  <c r="J558"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P463" i="93"/>
  <c r="M463" i="93"/>
  <c r="W460" i="93"/>
  <c r="O460" i="93"/>
  <c r="V459" i="93"/>
  <c r="S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L393" i="93" l="1"/>
  <c r="M872" i="93"/>
  <c r="M874" i="93" s="1"/>
  <c r="N861" i="93"/>
  <c r="N863" i="93"/>
  <c r="K862" i="93"/>
  <c r="M864" i="93"/>
  <c r="J827" i="93"/>
  <c r="J862" i="93"/>
  <c r="L867" i="93"/>
  <c r="M815" i="93"/>
  <c r="N827" i="93"/>
  <c r="J861" i="93"/>
  <c r="M868" i="93"/>
  <c r="J868" i="93"/>
  <c r="J867" i="93"/>
  <c r="M843" i="93"/>
  <c r="O943" i="93"/>
  <c r="K861" i="93"/>
  <c r="O858" i="93"/>
  <c r="J519" i="93"/>
  <c r="F504" i="93"/>
  <c r="S500" i="93"/>
  <c r="J500" i="93"/>
  <c r="J469" i="93"/>
  <c r="U565" i="93"/>
  <c r="G566" i="93"/>
  <c r="U540" i="93"/>
  <c r="G463" i="93"/>
  <c r="A452" i="93"/>
  <c r="G453" i="93"/>
  <c r="U546" i="93"/>
  <c r="G474" i="93"/>
  <c r="M453" i="93"/>
  <c r="M469" i="93"/>
  <c r="P469" i="93"/>
  <c r="S469" i="93"/>
  <c r="M513" i="93"/>
  <c r="G541" i="93"/>
  <c r="K730" i="93"/>
  <c r="O846" i="93"/>
  <c r="O814" i="93"/>
  <c r="O844" i="93"/>
  <c r="O941" i="93"/>
  <c r="L868" i="93"/>
  <c r="N862" i="93"/>
  <c r="N867" i="93"/>
  <c r="O855" i="93"/>
  <c r="O942" i="93"/>
  <c r="U561" i="93"/>
  <c r="U452" i="93"/>
  <c r="A450" i="93"/>
  <c r="J474" i="93"/>
  <c r="G500" i="93"/>
  <c r="M500" i="93"/>
  <c r="P500" i="93"/>
  <c r="P568" i="93" s="1"/>
  <c r="P585" i="93" s="1"/>
  <c r="P587" i="93" s="1"/>
  <c r="P589" i="93" s="1"/>
  <c r="S527" i="93"/>
  <c r="S541" i="93"/>
  <c r="G547" i="93"/>
  <c r="S547" i="93"/>
  <c r="G554" i="93"/>
  <c r="J582" i="93"/>
  <c r="J586" i="93" s="1"/>
  <c r="L730" i="93"/>
  <c r="O847" i="93"/>
  <c r="O816" i="93"/>
  <c r="O833" i="93"/>
  <c r="N815" i="93"/>
  <c r="N817" i="93" s="1"/>
  <c r="O850" i="93"/>
  <c r="U451" i="93"/>
  <c r="G513"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8" i="93"/>
  <c r="O851" i="93"/>
  <c r="L862" i="93"/>
  <c r="O856" i="93"/>
  <c r="P943" i="93"/>
  <c r="K843" i="93"/>
  <c r="P941" i="93"/>
  <c r="N837" i="93"/>
  <c r="O865" i="93"/>
  <c r="O864" i="93"/>
  <c r="J843" i="93"/>
  <c r="J841" i="93"/>
  <c r="O866" i="93"/>
  <c r="O845" i="93"/>
  <c r="P942" i="93"/>
  <c r="L863" i="93"/>
  <c r="O852" i="93"/>
  <c r="M862" i="93"/>
  <c r="O857" i="93"/>
  <c r="O859" i="93"/>
  <c r="J863" i="93"/>
  <c r="O848" i="93"/>
  <c r="O849" i="93"/>
  <c r="O853" i="93"/>
  <c r="K815" i="93"/>
  <c r="K817" i="93" s="1"/>
  <c r="K819" i="93" s="1"/>
  <c r="M827" i="93"/>
  <c r="L815" i="93"/>
  <c r="L817"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N819" i="93"/>
  <c r="O873" i="93"/>
  <c r="O829" i="93"/>
  <c r="M834" i="93"/>
  <c r="M831" i="93"/>
  <c r="O854" i="93"/>
  <c r="L843" i="93"/>
  <c r="N843" i="93"/>
  <c r="M817" i="93"/>
  <c r="M819" i="93" s="1"/>
  <c r="L819"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M568" i="93" s="1"/>
  <c r="M585" i="93" s="1"/>
  <c r="M587" i="93" s="1"/>
  <c r="M589" i="93" s="1"/>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7" i="93" l="1"/>
  <c r="O862" i="93"/>
  <c r="O823" i="93"/>
  <c r="O868" i="93"/>
  <c r="S568" i="93"/>
  <c r="E473" i="93"/>
  <c r="E472" i="93"/>
  <c r="E471" i="93"/>
  <c r="B480" i="93"/>
  <c r="J568" i="93"/>
  <c r="J585" i="93" s="1"/>
  <c r="J587" i="93" s="1"/>
  <c r="J589" i="93" s="1"/>
  <c r="O863" i="93"/>
  <c r="O841" i="93"/>
  <c r="P944" i="93" s="1"/>
  <c r="P945" i="93" s="1"/>
  <c r="O843" i="93"/>
  <c r="E972" i="93"/>
  <c r="E978" i="93" s="1"/>
  <c r="F971" i="93"/>
  <c r="G969" i="93"/>
  <c r="F977" i="93"/>
  <c r="F975" i="93"/>
  <c r="F970" i="93"/>
  <c r="O861" i="93"/>
  <c r="O837" i="93"/>
  <c r="O831" i="93"/>
  <c r="O815" i="93"/>
  <c r="O834" i="93"/>
  <c r="O819" i="93"/>
  <c r="J938" i="93" s="1"/>
  <c r="O827" i="93"/>
  <c r="O872" i="93"/>
  <c r="O817" i="93"/>
  <c r="J939" i="93"/>
  <c r="O874" i="93"/>
  <c r="J876" i="93"/>
  <c r="O876" i="93" s="1"/>
  <c r="G568" i="93"/>
  <c r="F483"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O945" i="93" l="1"/>
  <c r="J937" i="93"/>
  <c r="O944" i="93"/>
  <c r="H83" i="93"/>
  <c r="F472" i="93"/>
  <c r="F473" i="93"/>
  <c r="F471" i="93"/>
  <c r="F470" i="93" s="1"/>
  <c r="F552" i="93"/>
  <c r="F553" i="93"/>
  <c r="F551" i="93"/>
  <c r="F549"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l="1"/>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F15" i="85"/>
  <c r="D15" i="83"/>
  <c r="G1000" i="93"/>
  <c r="G1001" i="93"/>
  <c r="G1007" i="93"/>
  <c r="H999" i="93"/>
  <c r="G1005" i="93"/>
  <c r="F1002" i="93"/>
  <c r="F1008" i="93" s="1"/>
  <c r="C8" i="90"/>
  <c r="B5" i="92" s="1"/>
  <c r="E65" i="89"/>
  <c r="E5" i="89"/>
  <c r="F102" i="78"/>
  <c r="F101" i="78"/>
  <c r="G6" i="74"/>
  <c r="I999" i="93" l="1"/>
  <c r="H1000" i="93"/>
  <c r="H1001" i="93"/>
  <c r="H1005" i="93"/>
  <c r="H1007" i="93"/>
  <c r="G1002" i="93"/>
  <c r="G1008" i="93"/>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I11" i="75"/>
  <c r="I768" i="93" s="1"/>
  <c r="K768" i="93" s="1"/>
  <c r="L768" i="93" s="1"/>
  <c r="L805" i="93" l="1"/>
  <c r="L806" i="93" s="1"/>
  <c r="K230" i="72"/>
  <c r="K1784" i="93" s="1"/>
  <c r="O1665" i="93"/>
  <c r="L230" i="72"/>
  <c r="L1784" i="93" s="1"/>
  <c r="P1665" i="93"/>
  <c r="H86" i="66"/>
  <c r="H84" i="66"/>
  <c r="H83" i="66"/>
  <c r="N84" i="66" s="1"/>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N42" i="68" s="1"/>
  <c r="N405" i="93" s="1"/>
  <c r="C13" i="74"/>
  <c r="D13" i="74" s="1"/>
  <c r="N11" i="74"/>
  <c r="N3" i="74"/>
  <c r="F188" i="75"/>
  <c r="C59" i="84" s="1"/>
  <c r="K185" i="75"/>
  <c r="C60" i="84" s="1"/>
  <c r="F177" i="75"/>
  <c r="K175" i="75"/>
  <c r="F168" i="75"/>
  <c r="C58" i="84" s="1"/>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R11" i="75" l="1"/>
  <c r="R768" i="93" s="1"/>
  <c r="R10" i="75"/>
  <c r="R767" i="93" s="1"/>
  <c r="D114" i="74"/>
  <c r="D1070" i="93" s="1"/>
  <c r="N403" i="93"/>
  <c r="L394" i="93"/>
  <c r="L395" i="93" s="1"/>
  <c r="F115" i="78"/>
  <c r="C133" i="90"/>
  <c r="L59" i="85" s="1"/>
  <c r="R13" i="75"/>
  <c r="R770" i="93" s="1"/>
  <c r="Q770" i="93"/>
  <c r="E61" i="84"/>
  <c r="K61" i="84"/>
  <c r="G61" i="84"/>
  <c r="I61" i="84"/>
  <c r="I60" i="84"/>
  <c r="G60" i="84"/>
  <c r="E60" i="84"/>
  <c r="K60" i="84"/>
  <c r="E994" i="93"/>
  <c r="G11" i="86"/>
  <c r="I994" i="93"/>
  <c r="D31" i="86"/>
  <c r="C995" i="93"/>
  <c r="E12" i="86"/>
  <c r="G995" i="93"/>
  <c r="I12" i="86"/>
  <c r="K995" i="93"/>
  <c r="F32" i="86"/>
  <c r="E1024" i="93"/>
  <c r="C51" i="86"/>
  <c r="I1024" i="93"/>
  <c r="G51" i="86"/>
  <c r="C1025" i="93"/>
  <c r="H32" i="86"/>
  <c r="G1025" i="93"/>
  <c r="E52" i="86"/>
  <c r="C111" i="74"/>
  <c r="N400" i="93"/>
  <c r="G55" i="84"/>
  <c r="I55" i="84"/>
  <c r="E55" i="84"/>
  <c r="K55" i="84"/>
  <c r="I58" i="84"/>
  <c r="C62" i="84"/>
  <c r="K58" i="84"/>
  <c r="E58" i="84"/>
  <c r="G58"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P932" i="93"/>
  <c r="N928" i="93"/>
  <c r="N929"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R12" i="75"/>
  <c r="R769" i="93" s="1"/>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D59" i="74"/>
  <c r="C59" i="74"/>
  <c r="F59" i="74"/>
  <c r="B59" i="74"/>
  <c r="B29" i="74"/>
  <c r="N55" i="66"/>
  <c r="C28" i="74"/>
  <c r="D28" i="74" s="1"/>
  <c r="F116" i="78"/>
  <c r="F113" i="78"/>
  <c r="F117" i="78"/>
  <c r="O272" i="72"/>
  <c r="O1826" i="93" s="1"/>
  <c r="Q55" i="73"/>
  <c r="P42" i="73"/>
  <c r="P1136" i="93" s="1"/>
  <c r="O40" i="66"/>
  <c r="J64" i="74"/>
  <c r="D121" i="74"/>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K62" i="84" l="1"/>
  <c r="K1039" i="93"/>
  <c r="J1039" i="93"/>
  <c r="G1039" i="93"/>
  <c r="I1039" i="93"/>
  <c r="I1050" i="93" s="1"/>
  <c r="C10" i="86"/>
  <c r="F1067" i="93"/>
  <c r="F1078" i="93" s="1"/>
  <c r="C37" i="74"/>
  <c r="C1067" i="93"/>
  <c r="C1078" i="93" s="1"/>
  <c r="K1046" i="93"/>
  <c r="G1009" i="93"/>
  <c r="E23" i="87"/>
  <c r="B979" i="93"/>
  <c r="E8" i="87"/>
  <c r="C75" i="84"/>
  <c r="J1046" i="93"/>
  <c r="F1009" i="93"/>
  <c r="E22" i="87"/>
  <c r="I979" i="93"/>
  <c r="E15" i="87"/>
  <c r="J151" i="78"/>
  <c r="J153" i="78" s="1"/>
  <c r="E3"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K989" i="93"/>
  <c r="G1046" i="93"/>
  <c r="C1009" i="93"/>
  <c r="E19" i="87"/>
  <c r="F1039" i="93"/>
  <c r="E32" i="87"/>
  <c r="B1009" i="93"/>
  <c r="E18" i="87"/>
  <c r="E979" i="93"/>
  <c r="E11" i="87"/>
  <c r="B4" i="82"/>
  <c r="J1937" i="93"/>
  <c r="G1776" i="93"/>
  <c r="I422" i="93"/>
  <c r="K9" i="88"/>
  <c r="K23" i="88" s="1"/>
  <c r="K28" i="88" s="1"/>
  <c r="F39" i="88" s="1"/>
  <c r="C18" i="84"/>
  <c r="O51" i="93"/>
  <c r="T1728" i="93"/>
  <c r="M763" i="93"/>
  <c r="O763" i="93"/>
  <c r="D53" i="82"/>
  <c r="D984" i="93"/>
  <c r="C53" i="82"/>
  <c r="C984" i="93"/>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G62" i="84"/>
  <c r="I62" i="84"/>
  <c r="K68" i="84"/>
  <c r="G68" i="84"/>
  <c r="E68" i="84"/>
  <c r="I68" i="84"/>
  <c r="C1039" i="93"/>
  <c r="E29" i="87"/>
  <c r="J979" i="93"/>
  <c r="E16" i="87"/>
  <c r="B1039" i="93"/>
  <c r="E28" i="87"/>
  <c r="B1015" i="93"/>
  <c r="F3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O933" i="93"/>
  <c r="E62" i="84"/>
  <c r="K1009" i="93"/>
  <c r="E27" i="87"/>
  <c r="F979" i="93"/>
  <c r="E12" i="87"/>
  <c r="B1067" i="93"/>
  <c r="J1009" i="93"/>
  <c r="E26" i="87"/>
  <c r="F47" i="78"/>
  <c r="H18" i="84"/>
  <c r="B985" i="93"/>
  <c r="C14" i="86"/>
  <c r="F1015" i="93"/>
  <c r="C54" i="86"/>
  <c r="C1015" i="93"/>
  <c r="G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C29" i="74" s="1"/>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C985" i="93" l="1"/>
  <c r="D14" i="86"/>
  <c r="R20" i="74"/>
  <c r="I73" i="93"/>
  <c r="I1046" i="93"/>
  <c r="C1074" i="93"/>
  <c r="F1074" i="93"/>
  <c r="C993" i="93"/>
  <c r="D37" i="74"/>
  <c r="D10" i="86"/>
  <c r="E7" i="88"/>
  <c r="M1144" i="93"/>
  <c r="N1144" i="93"/>
  <c r="H1156" i="93"/>
  <c r="F1161" i="93"/>
  <c r="N1137" i="93"/>
  <c r="M1137" i="93"/>
  <c r="N1157" i="93"/>
  <c r="M1157" i="93"/>
  <c r="M1146" i="93"/>
  <c r="N1146" i="93"/>
  <c r="T1731" i="93"/>
  <c r="P934" i="93"/>
  <c r="M932" i="93" s="1"/>
  <c r="N1153" i="93"/>
  <c r="M1153" i="93"/>
  <c r="E53" i="82"/>
  <c r="E984" i="93"/>
  <c r="I1136" i="93"/>
  <c r="I1156" i="93"/>
  <c r="I1161" i="93" s="1"/>
  <c r="I1137" i="93"/>
  <c r="I1144" i="93"/>
  <c r="I1157" i="93"/>
  <c r="D1046" i="93"/>
  <c r="D1050" i="93"/>
  <c r="H987" i="93"/>
  <c r="H991" i="93"/>
  <c r="H1017" i="93"/>
  <c r="H1021" i="93"/>
  <c r="D987" i="93"/>
  <c r="D991" i="93"/>
  <c r="I1017" i="93"/>
  <c r="I1021" i="93"/>
  <c r="K40" i="84"/>
  <c r="D18" i="84"/>
  <c r="C38" i="84"/>
  <c r="M1938" i="93"/>
  <c r="M1939" i="93" s="1"/>
  <c r="J1938" i="93"/>
  <c r="J1939" i="93" s="1"/>
  <c r="G1050" i="93"/>
  <c r="D1017" i="93"/>
  <c r="D1021" i="93"/>
  <c r="F1017" i="93"/>
  <c r="F1021" i="93"/>
  <c r="E75" i="84"/>
  <c r="E77" i="84" s="1"/>
  <c r="K75" i="84"/>
  <c r="K77" i="84" s="1"/>
  <c r="C77" i="84"/>
  <c r="G75" i="84"/>
  <c r="G77" i="84" s="1"/>
  <c r="I75" i="84"/>
  <c r="I77" i="84" s="1"/>
  <c r="G1017" i="93"/>
  <c r="G1021" i="93"/>
  <c r="H78" i="93"/>
  <c r="F56" i="89"/>
  <c r="D37" i="90" s="1"/>
  <c r="H1836" i="93"/>
  <c r="H76" i="93"/>
  <c r="H77" i="93" s="1"/>
  <c r="F1154" i="93"/>
  <c r="H1149" i="93"/>
  <c r="F1140" i="93"/>
  <c r="H1135" i="93"/>
  <c r="F1147" i="93"/>
  <c r="H1142" i="93"/>
  <c r="L1954" i="93"/>
  <c r="D8" i="88"/>
  <c r="E8" i="88" s="1"/>
  <c r="N1139" i="93"/>
  <c r="M1139" i="93"/>
  <c r="M1149" i="93"/>
  <c r="N1149" i="93"/>
  <c r="N1154" i="93" s="1"/>
  <c r="K1154" i="93"/>
  <c r="I1135" i="93"/>
  <c r="I1140" i="93" s="1"/>
  <c r="I1138" i="93"/>
  <c r="I1158" i="93"/>
  <c r="I1149" i="93"/>
  <c r="I1154" i="93" s="1"/>
  <c r="I1146" i="93"/>
  <c r="J1017" i="93"/>
  <c r="J1021" i="93"/>
  <c r="F987" i="93"/>
  <c r="F991" i="93"/>
  <c r="E1050" i="93"/>
  <c r="E1046" i="93"/>
  <c r="C1050" i="93"/>
  <c r="C1046" i="93"/>
  <c r="B1017" i="93"/>
  <c r="B1021" i="93"/>
  <c r="C1017" i="93"/>
  <c r="C1021" i="93"/>
  <c r="H1050" i="93"/>
  <c r="H1046" i="93"/>
  <c r="F121" i="78"/>
  <c r="B975" i="93"/>
  <c r="B992" i="93" s="1"/>
  <c r="F558" i="93"/>
  <c r="F557" i="93"/>
  <c r="M1150" i="93"/>
  <c r="N1150" i="93"/>
  <c r="N1159" i="93"/>
  <c r="M1159" i="93"/>
  <c r="I1139" i="93"/>
  <c r="I1143" i="93"/>
  <c r="I1159" i="93"/>
  <c r="I1150" i="93"/>
  <c r="I1151" i="93"/>
  <c r="K987" i="93"/>
  <c r="J18" i="84"/>
  <c r="C40" i="84"/>
  <c r="B1074" i="93"/>
  <c r="B1078" i="93"/>
  <c r="B1050" i="93"/>
  <c r="B1046" i="93"/>
  <c r="E1074" i="93"/>
  <c r="E1078" i="93"/>
  <c r="P414" i="93"/>
  <c r="P413" i="93"/>
  <c r="P415" i="93" s="1"/>
  <c r="I423" i="93"/>
  <c r="B971" i="93"/>
  <c r="B972" i="93" s="1"/>
  <c r="E1017" i="93"/>
  <c r="E1021" i="93"/>
  <c r="C987" i="93"/>
  <c r="C991" i="93"/>
  <c r="C986" i="93"/>
  <c r="I987" i="93"/>
  <c r="I991" i="93"/>
  <c r="J1050" i="93"/>
  <c r="M1136" i="93"/>
  <c r="N1136" i="93"/>
  <c r="K1161" i="93"/>
  <c r="M1156" i="93"/>
  <c r="N1156" i="93"/>
  <c r="N1161" i="93" s="1"/>
  <c r="M1135" i="93"/>
  <c r="N1135" i="93"/>
  <c r="N1140" i="93" s="1"/>
  <c r="K1140" i="93"/>
  <c r="N1160" i="93"/>
  <c r="M1160" i="93"/>
  <c r="N1138" i="93"/>
  <c r="M1138" i="93"/>
  <c r="E14" i="74"/>
  <c r="C52" i="84"/>
  <c r="M1143" i="93"/>
  <c r="N1143" i="93"/>
  <c r="M1145" i="93"/>
  <c r="N1145" i="93"/>
  <c r="N1158" i="93"/>
  <c r="M1158" i="93"/>
  <c r="K1147" i="93"/>
  <c r="M1142" i="93"/>
  <c r="N1142" i="93"/>
  <c r="N1147" i="93" s="1"/>
  <c r="M1152" i="93"/>
  <c r="N1152" i="93"/>
  <c r="M1151" i="93"/>
  <c r="N1151" i="93"/>
  <c r="C41" i="74"/>
  <c r="D29" i="74" s="1"/>
  <c r="B997" i="93"/>
  <c r="I1152" i="93"/>
  <c r="I1145" i="93"/>
  <c r="I1160" i="93"/>
  <c r="I1142" i="93"/>
  <c r="I1147" i="93" s="1"/>
  <c r="I1153" i="93"/>
  <c r="D1078" i="93"/>
  <c r="D1074" i="93"/>
  <c r="R975" i="93"/>
  <c r="R976" i="93"/>
  <c r="K1021" i="93"/>
  <c r="K1017" i="93"/>
  <c r="J987" i="93"/>
  <c r="J991" i="93"/>
  <c r="G991" i="93"/>
  <c r="G987" i="93"/>
  <c r="E987" i="93"/>
  <c r="E991" i="93"/>
  <c r="F1046" i="93"/>
  <c r="F1050" i="93"/>
  <c r="G35" i="86"/>
  <c r="F15" i="86"/>
  <c r="O17" i="86"/>
  <c r="E35" i="86"/>
  <c r="H35" i="86"/>
  <c r="G15" i="86"/>
  <c r="E15" i="86"/>
  <c r="H55" i="86"/>
  <c r="H15" i="86"/>
  <c r="O16" i="86"/>
  <c r="D35" i="86"/>
  <c r="I15" i="86"/>
  <c r="C55" i="86"/>
  <c r="C35" i="86"/>
  <c r="D55" i="86"/>
  <c r="D15" i="86"/>
  <c r="C15" i="86"/>
  <c r="G55" i="86"/>
  <c r="E55" i="86"/>
  <c r="F35" i="86"/>
  <c r="I35" i="86"/>
  <c r="F55" i="86"/>
  <c r="K1050" i="93"/>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D985" i="93" l="1"/>
  <c r="R21" i="74"/>
  <c r="E14" i="86"/>
  <c r="C19" i="74"/>
  <c r="C36" i="74" s="1"/>
  <c r="B36" i="74"/>
  <c r="H79" i="93"/>
  <c r="K1163" i="93"/>
  <c r="O19" i="86"/>
  <c r="O23" i="86" s="1"/>
  <c r="O25" i="86" s="1"/>
  <c r="O31" i="86" s="1"/>
  <c r="D993" i="93"/>
  <c r="E37" i="74"/>
  <c r="E10" i="86"/>
  <c r="E52" i="84"/>
  <c r="G52" i="84"/>
  <c r="K52" i="84"/>
  <c r="I52" i="84"/>
  <c r="F1163" i="93"/>
  <c r="E13" i="88"/>
  <c r="L1968" i="93"/>
  <c r="P67" i="93"/>
  <c r="B16" i="74"/>
  <c r="K5" i="74" s="1"/>
  <c r="C53" i="84"/>
  <c r="D41" i="74"/>
  <c r="E29" i="74" s="1"/>
  <c r="C997" i="93"/>
  <c r="J4" i="91"/>
  <c r="D12" i="88"/>
  <c r="C81" i="84"/>
  <c r="C80" i="84"/>
  <c r="L1952" i="93"/>
  <c r="L1953" i="93" s="1"/>
  <c r="M1952" i="93" s="1"/>
  <c r="E13" i="84"/>
  <c r="F53" i="82"/>
  <c r="F984" i="93"/>
  <c r="I59" i="73"/>
  <c r="E100" i="78"/>
  <c r="G28" i="74"/>
  <c r="F19" i="74"/>
  <c r="F36" i="74" s="1"/>
  <c r="D19" i="74"/>
  <c r="D36" i="74" s="1"/>
  <c r="E19" i="74"/>
  <c r="E36" i="74" s="1"/>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9" i="74"/>
  <c r="G36" i="74" s="1"/>
  <c r="G15" i="74"/>
  <c r="J119" i="75"/>
  <c r="O117" i="75"/>
  <c r="F480" i="93" s="1"/>
  <c r="J62" i="75"/>
  <c r="H7" i="88" s="1"/>
  <c r="O60" i="75"/>
  <c r="R977" i="93" l="1"/>
  <c r="D986" i="93"/>
  <c r="E985" i="93"/>
  <c r="R22" i="74"/>
  <c r="F14" i="86"/>
  <c r="R23" i="74"/>
  <c r="E993" i="93"/>
  <c r="F37" i="74"/>
  <c r="G10" i="86" s="1"/>
  <c r="F10" i="86"/>
  <c r="J1599" i="93"/>
  <c r="P168" i="93"/>
  <c r="O168" i="93"/>
  <c r="P167" i="93"/>
  <c r="F479" i="93"/>
  <c r="J590" i="93"/>
  <c r="J591" i="93" s="1"/>
  <c r="J593" i="93" s="1"/>
  <c r="M590" i="93"/>
  <c r="M591" i="93" s="1"/>
  <c r="M593" i="93" s="1"/>
  <c r="K7" i="74"/>
  <c r="C54" i="84"/>
  <c r="C56" i="84" s="1"/>
  <c r="C64" i="84" s="1"/>
  <c r="G53" i="82"/>
  <c r="G984" i="93"/>
  <c r="G570" i="93"/>
  <c r="P479" i="93"/>
  <c r="P590" i="93"/>
  <c r="P591" i="93" s="1"/>
  <c r="P593" i="93" s="1"/>
  <c r="E41" i="74"/>
  <c r="F29" i="74" s="1"/>
  <c r="D997" i="93"/>
  <c r="I53" i="84"/>
  <c r="I54" i="84" s="1"/>
  <c r="G53" i="84"/>
  <c r="G54" i="84" s="1"/>
  <c r="G56" i="84" s="1"/>
  <c r="G64" i="84" s="1"/>
  <c r="E53" i="84"/>
  <c r="E54" i="84" s="1"/>
  <c r="K53" i="84"/>
  <c r="K54" i="84" s="1"/>
  <c r="I7" i="88"/>
  <c r="I13" i="88" s="1"/>
  <c r="H12" i="88"/>
  <c r="D34" i="90" s="1"/>
  <c r="P936" i="93"/>
  <c r="B977" i="93"/>
  <c r="B978" i="93" s="1"/>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H15" i="74"/>
  <c r="H19" i="74"/>
  <c r="H36" i="74" s="1"/>
  <c r="G16" i="74"/>
  <c r="G14" i="86" l="1"/>
  <c r="F985" i="93"/>
  <c r="F986" i="93" s="1"/>
  <c r="R979" i="93"/>
  <c r="R978" i="93"/>
  <c r="E986" i="93"/>
  <c r="B986" i="93"/>
  <c r="B987" i="93"/>
  <c r="B991" i="93"/>
  <c r="K56" i="84"/>
  <c r="K64" i="84" s="1"/>
  <c r="E56" i="84"/>
  <c r="E64" i="84" s="1"/>
  <c r="F993" i="93"/>
  <c r="G37" i="74"/>
  <c r="H53" i="82"/>
  <c r="H984" i="93"/>
  <c r="I56" i="84"/>
  <c r="I64" i="84" s="1"/>
  <c r="J594" i="93"/>
  <c r="M937" i="93"/>
  <c r="P937" i="93"/>
  <c r="P947" i="93"/>
  <c r="F41" i="74"/>
  <c r="G29" i="74" s="1"/>
  <c r="E997" i="93"/>
  <c r="F54" i="89"/>
  <c r="D33" i="90" s="1"/>
  <c r="D55" i="92" s="1"/>
  <c r="J157" i="78"/>
  <c r="J158" i="78" s="1"/>
  <c r="G15" i="82"/>
  <c r="G19" i="82" s="1"/>
  <c r="E47" i="78"/>
  <c r="N94" i="93"/>
  <c r="O1975" i="93"/>
  <c r="O1976" i="93" s="1"/>
  <c r="M1962" i="93"/>
  <c r="J1836" i="93"/>
  <c r="L1836" i="93" s="1"/>
  <c r="O1980" i="93"/>
  <c r="O1981" i="93" s="1"/>
  <c r="L1951" i="93"/>
  <c r="D570" i="93"/>
  <c r="F560" i="93"/>
  <c r="E483" i="93"/>
  <c r="N97" i="93"/>
  <c r="E514" i="93"/>
  <c r="J479" i="93"/>
  <c r="C13" i="84"/>
  <c r="D35" i="90"/>
  <c r="I64" i="92" s="1"/>
  <c r="P52" i="72"/>
  <c r="L1606" i="93"/>
  <c r="O52" i="72"/>
  <c r="K1606" i="93"/>
  <c r="H20" i="84"/>
  <c r="C20" i="84"/>
  <c r="E47" i="92"/>
  <c r="E26" i="89"/>
  <c r="C21" i="74"/>
  <c r="D13" i="86" s="1"/>
  <c r="C13" i="86"/>
  <c r="E66" i="84"/>
  <c r="K66" i="84"/>
  <c r="I66" i="84"/>
  <c r="G66" i="84"/>
  <c r="G70" i="84" s="1"/>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B22" i="74"/>
  <c r="E21" i="74"/>
  <c r="H21" i="74"/>
  <c r="I13" i="86" s="1"/>
  <c r="G21" i="74"/>
  <c r="D21" i="74"/>
  <c r="I19" i="74"/>
  <c r="I36" i="74" s="1"/>
  <c r="I14" i="74"/>
  <c r="J13" i="74"/>
  <c r="I15" i="74"/>
  <c r="I21" i="74"/>
  <c r="C33" i="86" s="1"/>
  <c r="H16" i="74"/>
  <c r="S978" i="93" l="1"/>
  <c r="G985" i="93"/>
  <c r="H14" i="86"/>
  <c r="R24" i="74"/>
  <c r="S979" i="93"/>
  <c r="S977" i="93"/>
  <c r="E70" i="84"/>
  <c r="E72" i="84" s="1"/>
  <c r="S975" i="93"/>
  <c r="S976" i="93"/>
  <c r="B35" i="74"/>
  <c r="B31" i="74"/>
  <c r="K70" i="84"/>
  <c r="K72" i="84" s="1"/>
  <c r="I70" i="84"/>
  <c r="I76" i="84" s="1"/>
  <c r="I73" i="84" s="1"/>
  <c r="G993" i="93"/>
  <c r="H37" i="74"/>
  <c r="H10" i="86"/>
  <c r="G41" i="74"/>
  <c r="H29" i="74" s="1"/>
  <c r="F997" i="93"/>
  <c r="L305" i="73"/>
  <c r="M1399" i="93"/>
  <c r="L1399" i="93" s="1"/>
  <c r="I53" i="82"/>
  <c r="I984" i="93"/>
  <c r="C22" i="74"/>
  <c r="C30" i="74" s="1"/>
  <c r="D9" i="86" s="1"/>
  <c r="D17" i="86" s="1"/>
  <c r="D18" i="86" s="1"/>
  <c r="D20" i="86" s="1"/>
  <c r="D24" i="86" s="1"/>
  <c r="K7" i="86" s="1"/>
  <c r="K19" i="88"/>
  <c r="F52" i="89"/>
  <c r="F16" i="85"/>
  <c r="D16" i="83"/>
  <c r="H19" i="84"/>
  <c r="C19" i="84"/>
  <c r="L301" i="73"/>
  <c r="M1395" i="93"/>
  <c r="L1395" i="93" s="1"/>
  <c r="O51" i="72"/>
  <c r="O1605" i="93" s="1"/>
  <c r="O1606" i="93"/>
  <c r="P51" i="72"/>
  <c r="P1605" i="93" s="1"/>
  <c r="P1606" i="93"/>
  <c r="G76" i="84"/>
  <c r="G73" i="84" s="1"/>
  <c r="G72" i="84"/>
  <c r="E22" i="74"/>
  <c r="E30" i="74" s="1"/>
  <c r="F9" i="86" s="1"/>
  <c r="F13" i="86"/>
  <c r="D22" i="74"/>
  <c r="D30" i="74" s="1"/>
  <c r="E9" i="86" s="1"/>
  <c r="E13" i="86"/>
  <c r="G22" i="74"/>
  <c r="G30" i="74" s="1"/>
  <c r="H9" i="86" s="1"/>
  <c r="H13" i="86"/>
  <c r="F22" i="74"/>
  <c r="F30" i="74" s="1"/>
  <c r="G9" i="86" s="1"/>
  <c r="G13" i="86"/>
  <c r="C76" i="84"/>
  <c r="C73" i="84" s="1"/>
  <c r="C72" i="84"/>
  <c r="B30" i="74"/>
  <c r="B44" i="82"/>
  <c r="P63" i="73"/>
  <c r="J28" i="74"/>
  <c r="O405" i="72"/>
  <c r="O1959" i="93" s="1"/>
  <c r="O282" i="72"/>
  <c r="O1836" i="93" s="1"/>
  <c r="P282" i="72"/>
  <c r="O153" i="72"/>
  <c r="P153" i="72"/>
  <c r="P1707" i="93" s="1"/>
  <c r="H22" i="74"/>
  <c r="P47" i="72"/>
  <c r="P1601" i="93" s="1"/>
  <c r="P396" i="72"/>
  <c r="P1950" i="93" s="1"/>
  <c r="O47" i="72"/>
  <c r="O1601" i="93" s="1"/>
  <c r="K13" i="74"/>
  <c r="J19" i="74"/>
  <c r="J36" i="74" s="1"/>
  <c r="J14" i="74"/>
  <c r="J15" i="74"/>
  <c r="J21" i="74"/>
  <c r="D33" i="86" s="1"/>
  <c r="I16" i="74"/>
  <c r="I22" i="74" s="1"/>
  <c r="H985" i="93" l="1"/>
  <c r="H986" i="93" s="1"/>
  <c r="I14" i="86"/>
  <c r="R25" i="74"/>
  <c r="G986" i="93"/>
  <c r="S980" i="93" s="1"/>
  <c r="R981" i="93"/>
  <c r="R980" i="93"/>
  <c r="E76" i="84"/>
  <c r="E73" i="84" s="1"/>
  <c r="F17" i="86"/>
  <c r="F18" i="86" s="1"/>
  <c r="F20" i="86" s="1"/>
  <c r="F24" i="86" s="1"/>
  <c r="K9" i="86" s="1"/>
  <c r="D44" i="82"/>
  <c r="D46" i="82" s="1"/>
  <c r="G44" i="82"/>
  <c r="G51" i="82" s="1"/>
  <c r="K76" i="84"/>
  <c r="K73" i="84" s="1"/>
  <c r="F44" i="82"/>
  <c r="F46" i="82" s="1"/>
  <c r="F35" i="74"/>
  <c r="F31" i="74"/>
  <c r="H44" i="82"/>
  <c r="H46" i="82" s="1"/>
  <c r="H31" i="74"/>
  <c r="H35" i="74"/>
  <c r="I72" i="84"/>
  <c r="I31" i="74"/>
  <c r="I35" i="74"/>
  <c r="C31" i="74"/>
  <c r="C35" i="74"/>
  <c r="E44" i="82"/>
  <c r="E51" i="82" s="1"/>
  <c r="E31" i="74"/>
  <c r="E35" i="74"/>
  <c r="C44" i="82"/>
  <c r="C51" i="82" s="1"/>
  <c r="G31" i="74"/>
  <c r="G35" i="74"/>
  <c r="D31" i="74"/>
  <c r="D35" i="74"/>
  <c r="H993" i="93"/>
  <c r="I37" i="74"/>
  <c r="I10" i="86"/>
  <c r="J53" i="82"/>
  <c r="J984" i="93"/>
  <c r="I39" i="88"/>
  <c r="K38" i="88" s="1"/>
  <c r="K21" i="88"/>
  <c r="K30" i="88" s="1"/>
  <c r="K34" i="88" s="1"/>
  <c r="H41" i="74"/>
  <c r="I29" i="74" s="1"/>
  <c r="I30" i="74" s="1"/>
  <c r="C29" i="86" s="1"/>
  <c r="G997" i="93"/>
  <c r="C9" i="86"/>
  <c r="C17" i="86" s="1"/>
  <c r="C18" i="86" s="1"/>
  <c r="C20" i="86" s="1"/>
  <c r="C24" i="86" s="1"/>
  <c r="K6" i="86" s="1"/>
  <c r="G66" i="86" s="1"/>
  <c r="N85" i="85" s="1"/>
  <c r="S24" i="74"/>
  <c r="S21" i="74"/>
  <c r="S23" i="74"/>
  <c r="S22" i="74"/>
  <c r="S20" i="74"/>
  <c r="E32" i="72"/>
  <c r="E1586" i="93" s="1"/>
  <c r="O1707" i="93"/>
  <c r="P270" i="72"/>
  <c r="P1824" i="93" s="1"/>
  <c r="P1836" i="93"/>
  <c r="K13" i="88"/>
  <c r="P1157" i="93"/>
  <c r="J598" i="93"/>
  <c r="G17" i="86"/>
  <c r="G18" i="86" s="1"/>
  <c r="G20" i="86" s="1"/>
  <c r="G24" i="86" s="1"/>
  <c r="K10" i="86" s="1"/>
  <c r="E17" i="86"/>
  <c r="E18" i="86" s="1"/>
  <c r="E20" i="86" s="1"/>
  <c r="E24" i="86" s="1"/>
  <c r="K8" i="86" s="1"/>
  <c r="H17" i="86"/>
  <c r="H18" i="86" s="1"/>
  <c r="H20" i="86" s="1"/>
  <c r="H24" i="86" s="1"/>
  <c r="K11" i="86" s="1"/>
  <c r="S19" i="74"/>
  <c r="I44" i="82"/>
  <c r="B51" i="82"/>
  <c r="B46" i="82"/>
  <c r="O396" i="72"/>
  <c r="J162" i="78"/>
  <c r="J163" i="78" s="1"/>
  <c r="J599" i="93" s="1"/>
  <c r="K28" i="74"/>
  <c r="K984" i="93" s="1"/>
  <c r="H30" i="74"/>
  <c r="I9" i="86" s="1"/>
  <c r="O270" i="72"/>
  <c r="O1824" i="93" s="1"/>
  <c r="J16" i="74"/>
  <c r="J22" i="74" s="1"/>
  <c r="K14" i="74"/>
  <c r="K19" i="74"/>
  <c r="K36" i="74" s="1"/>
  <c r="B43" i="74"/>
  <c r="K15" i="74"/>
  <c r="K21" i="74"/>
  <c r="E33" i="86" s="1"/>
  <c r="R26" i="74" l="1"/>
  <c r="C34" i="86"/>
  <c r="I985" i="93"/>
  <c r="S981" i="93"/>
  <c r="D51" i="82"/>
  <c r="G46" i="82"/>
  <c r="F51" i="82"/>
  <c r="E46" i="82"/>
  <c r="C46" i="82"/>
  <c r="H51" i="82"/>
  <c r="J44" i="82"/>
  <c r="J51" i="82" s="1"/>
  <c r="J35" i="74"/>
  <c r="J31" i="74"/>
  <c r="I17" i="86"/>
  <c r="I18" i="86" s="1"/>
  <c r="I20" i="86" s="1"/>
  <c r="I24" i="86" s="1"/>
  <c r="K12" i="86" s="1"/>
  <c r="I993" i="93"/>
  <c r="J37" i="74"/>
  <c r="C30" i="86"/>
  <c r="S25" i="74"/>
  <c r="S26" i="74"/>
  <c r="I41" i="74"/>
  <c r="J29" i="74" s="1"/>
  <c r="R27" i="74" s="1"/>
  <c r="H997" i="93"/>
  <c r="E40" i="72"/>
  <c r="E1594" i="93" s="1"/>
  <c r="O1950" i="93"/>
  <c r="G598" i="93"/>
  <c r="J601" i="93"/>
  <c r="J603" i="93" s="1"/>
  <c r="J605" i="93" s="1"/>
  <c r="J607" i="93" s="1"/>
  <c r="I51" i="82"/>
  <c r="I46" i="82"/>
  <c r="K53" i="82"/>
  <c r="G162" i="78"/>
  <c r="J165" i="78"/>
  <c r="J167" i="78" s="1"/>
  <c r="B58" i="74"/>
  <c r="J30" i="74"/>
  <c r="K16" i="74"/>
  <c r="K22" i="74" s="1"/>
  <c r="C43" i="74"/>
  <c r="B49" i="74"/>
  <c r="B66" i="74" s="1"/>
  <c r="B51" i="74"/>
  <c r="F33" i="86" s="1"/>
  <c r="B45" i="74"/>
  <c r="B44" i="74"/>
  <c r="C37" i="86" l="1"/>
  <c r="C38" i="86" s="1"/>
  <c r="C40" i="86" s="1"/>
  <c r="C44" i="86" s="1"/>
  <c r="K13" i="86" s="1"/>
  <c r="I986" i="93"/>
  <c r="R982" i="93"/>
  <c r="D34" i="86"/>
  <c r="J985" i="93"/>
  <c r="J986" i="93" s="1"/>
  <c r="B15" i="82"/>
  <c r="J169" i="78"/>
  <c r="J171" i="78" s="1"/>
  <c r="J46" i="82"/>
  <c r="K44" i="82"/>
  <c r="K51" i="82" s="1"/>
  <c r="K35" i="74"/>
  <c r="K31" i="74"/>
  <c r="J993" i="93"/>
  <c r="K37" i="74"/>
  <c r="D30" i="86"/>
  <c r="B73" i="82"/>
  <c r="B1014" i="93"/>
  <c r="B1016" i="93" s="1"/>
  <c r="J41" i="74"/>
  <c r="K29" i="74" s="1"/>
  <c r="R31" i="74" s="1"/>
  <c r="I997" i="93"/>
  <c r="D29" i="86"/>
  <c r="S27" i="74"/>
  <c r="C58" i="74"/>
  <c r="O43" i="72"/>
  <c r="O1597" i="93" s="1"/>
  <c r="R1597" i="93" s="1"/>
  <c r="D43" i="74"/>
  <c r="C44" i="74"/>
  <c r="C49" i="74"/>
  <c r="C66" i="74" s="1"/>
  <c r="C45" i="74"/>
  <c r="C51" i="74"/>
  <c r="G33" i="86" s="1"/>
  <c r="B46" i="74"/>
  <c r="B52" i="74" s="1"/>
  <c r="R32" i="74" l="1"/>
  <c r="R38" i="74"/>
  <c r="K30" i="74"/>
  <c r="E29" i="86" s="1"/>
  <c r="R35" i="74"/>
  <c r="R37" i="74"/>
  <c r="R983" i="93"/>
  <c r="S983" i="93" s="1"/>
  <c r="R992" i="93"/>
  <c r="R36" i="74"/>
  <c r="R28" i="74"/>
  <c r="R990" i="93"/>
  <c r="R994" i="93"/>
  <c r="K985" i="93"/>
  <c r="K986" i="93" s="1"/>
  <c r="E34" i="86"/>
  <c r="R33" i="74"/>
  <c r="I44" i="68" s="1"/>
  <c r="I407" i="93" s="1"/>
  <c r="R34" i="74"/>
  <c r="R30" i="74"/>
  <c r="R988" i="93"/>
  <c r="R991" i="93"/>
  <c r="S982" i="93"/>
  <c r="R985" i="93"/>
  <c r="S985" i="93" s="1"/>
  <c r="R29" i="74"/>
  <c r="M173" i="78"/>
  <c r="K46" i="82"/>
  <c r="B65" i="74"/>
  <c r="B61" i="74"/>
  <c r="K993" i="93"/>
  <c r="B67" i="74"/>
  <c r="E30" i="86"/>
  <c r="D37" i="86"/>
  <c r="D38" i="86" s="1"/>
  <c r="D40" i="86" s="1"/>
  <c r="D44" i="86" s="1"/>
  <c r="K14" i="86" s="1"/>
  <c r="K41" i="74"/>
  <c r="J997" i="93"/>
  <c r="C73" i="82"/>
  <c r="C1014" i="93"/>
  <c r="C1016" i="93" s="1"/>
  <c r="B60" i="74"/>
  <c r="B64" i="82"/>
  <c r="D58" i="74"/>
  <c r="P43" i="72"/>
  <c r="R43" i="72"/>
  <c r="C46" i="74"/>
  <c r="C52" i="74" s="1"/>
  <c r="D44" i="74"/>
  <c r="E43" i="74"/>
  <c r="D51" i="74"/>
  <c r="H33" i="86" s="1"/>
  <c r="D49" i="74"/>
  <c r="D66" i="74" s="1"/>
  <c r="D45" i="74"/>
  <c r="S28" i="74" l="1"/>
  <c r="R987" i="93"/>
  <c r="R986" i="93"/>
  <c r="S986" i="93" s="1"/>
  <c r="R989" i="93"/>
  <c r="R993" i="93"/>
  <c r="R984" i="93"/>
  <c r="S984" i="93" s="1"/>
  <c r="J175" i="78"/>
  <c r="J609" i="93"/>
  <c r="F378" i="73"/>
  <c r="C64" i="82"/>
  <c r="C71" i="82" s="1"/>
  <c r="C65" i="74"/>
  <c r="C61" i="74"/>
  <c r="E37" i="86"/>
  <c r="E38" i="86" s="1"/>
  <c r="E40" i="86" s="1"/>
  <c r="E44" i="86" s="1"/>
  <c r="K15" i="86" s="1"/>
  <c r="B1023" i="93"/>
  <c r="C67" i="74"/>
  <c r="F30" i="86"/>
  <c r="D73" i="82"/>
  <c r="D1014" i="93"/>
  <c r="D1016" i="93" s="1"/>
  <c r="S987" i="93" s="1"/>
  <c r="F29" i="86"/>
  <c r="S29" i="74"/>
  <c r="B71" i="74"/>
  <c r="K997" i="93"/>
  <c r="P441" i="72"/>
  <c r="P444" i="72" s="1"/>
  <c r="P1597" i="93"/>
  <c r="P1995" i="93" s="1"/>
  <c r="B71" i="82"/>
  <c r="B66" i="82"/>
  <c r="C60" i="74"/>
  <c r="E58" i="74"/>
  <c r="D46" i="74"/>
  <c r="D52" i="74" s="1"/>
  <c r="E44" i="74"/>
  <c r="F43" i="74"/>
  <c r="E49" i="74"/>
  <c r="E66" i="74" s="1"/>
  <c r="E45" i="74"/>
  <c r="E51" i="74"/>
  <c r="I33" i="86" s="1"/>
  <c r="C66" i="82" l="1"/>
  <c r="J378" i="73"/>
  <c r="F1472" i="93"/>
  <c r="J1472" i="93" s="1"/>
  <c r="J611" i="93"/>
  <c r="E535" i="93" s="1"/>
  <c r="J535" i="93" s="1"/>
  <c r="M609" i="93"/>
  <c r="L413" i="93"/>
  <c r="N413" i="93" s="1"/>
  <c r="I9" i="66"/>
  <c r="L412" i="93"/>
  <c r="N412" i="93" s="1"/>
  <c r="E99" i="78"/>
  <c r="J99" i="78" s="1"/>
  <c r="I20" i="93"/>
  <c r="L50" i="68"/>
  <c r="N50" i="68" s="1"/>
  <c r="C21" i="86"/>
  <c r="M61" i="85"/>
  <c r="P61" i="85" s="1"/>
  <c r="L49" i="68"/>
  <c r="D64" i="82"/>
  <c r="D71" i="82" s="1"/>
  <c r="D61" i="74"/>
  <c r="D65" i="74"/>
  <c r="F37" i="86"/>
  <c r="F38" i="86" s="1"/>
  <c r="F40" i="86" s="1"/>
  <c r="F44" i="86" s="1"/>
  <c r="K16" i="86" s="1"/>
  <c r="C1023" i="93"/>
  <c r="D67" i="74"/>
  <c r="H30" i="86" s="1"/>
  <c r="G30" i="86"/>
  <c r="C71" i="74"/>
  <c r="B1027" i="93"/>
  <c r="G29" i="86"/>
  <c r="S30" i="74"/>
  <c r="E73" i="82"/>
  <c r="E1014" i="93"/>
  <c r="E1016" i="93" s="1"/>
  <c r="S988" i="93" s="1"/>
  <c r="P1998" i="93"/>
  <c r="P1560" i="93"/>
  <c r="F58" i="74"/>
  <c r="D60" i="74"/>
  <c r="P6" i="72"/>
  <c r="E46" i="74"/>
  <c r="E52" i="74" s="1"/>
  <c r="G43" i="74"/>
  <c r="F45" i="74"/>
  <c r="F51" i="74"/>
  <c r="C53" i="86" s="1"/>
  <c r="F49" i="74"/>
  <c r="F66" i="74" s="1"/>
  <c r="F44" i="74"/>
  <c r="D66" i="82" l="1"/>
  <c r="D21" i="86"/>
  <c r="C41" i="86"/>
  <c r="D41" i="86" s="1"/>
  <c r="E41" i="86" s="1"/>
  <c r="C22" i="86"/>
  <c r="C42" i="86" s="1"/>
  <c r="D42" i="86" s="1"/>
  <c r="E42" i="86" s="1"/>
  <c r="B14" i="82"/>
  <c r="N49" i="68"/>
  <c r="E64" i="82"/>
  <c r="E66" i="82" s="1"/>
  <c r="E61" i="74"/>
  <c r="E65" i="74"/>
  <c r="G37" i="86"/>
  <c r="G38" i="86" s="1"/>
  <c r="G40" i="86" s="1"/>
  <c r="G44" i="86" s="1"/>
  <c r="K17" i="86" s="1"/>
  <c r="D1023" i="93"/>
  <c r="E67" i="74"/>
  <c r="I30" i="86" s="1"/>
  <c r="S31" i="74"/>
  <c r="F73" i="82"/>
  <c r="F1014" i="93"/>
  <c r="F1016" i="93" s="1"/>
  <c r="S989" i="93" s="1"/>
  <c r="D71" i="74"/>
  <c r="C1027" i="93"/>
  <c r="H29" i="86"/>
  <c r="H37" i="86" s="1"/>
  <c r="H38" i="86" s="1"/>
  <c r="H40" i="86" s="1"/>
  <c r="H44" i="86" s="1"/>
  <c r="K18" i="86" s="1"/>
  <c r="E71" i="82"/>
  <c r="E60" i="74"/>
  <c r="G58" i="74"/>
  <c r="F46" i="74"/>
  <c r="F52" i="74" s="1"/>
  <c r="H43" i="74"/>
  <c r="G44" i="74"/>
  <c r="G45" i="74"/>
  <c r="G51" i="74"/>
  <c r="D53" i="86" s="1"/>
  <c r="G49" i="74"/>
  <c r="G66" i="74" s="1"/>
  <c r="G20" i="82" l="1"/>
  <c r="B20" i="82"/>
  <c r="B21" i="82" s="1"/>
  <c r="D22" i="86"/>
  <c r="E21" i="86"/>
  <c r="F65" i="74"/>
  <c r="F61" i="74"/>
  <c r="E1023" i="93"/>
  <c r="F67" i="74"/>
  <c r="E71" i="74"/>
  <c r="D1027" i="93"/>
  <c r="I29" i="86"/>
  <c r="I37" i="86" s="1"/>
  <c r="I38" i="86" s="1"/>
  <c r="I40" i="86" s="1"/>
  <c r="I44" i="86" s="1"/>
  <c r="K19" i="86" s="1"/>
  <c r="S32" i="74"/>
  <c r="G73" i="82"/>
  <c r="G1014" i="93"/>
  <c r="G1016" i="93" s="1"/>
  <c r="S990" i="93" s="1"/>
  <c r="F60" i="74"/>
  <c r="S33" i="74" s="1"/>
  <c r="F64" i="82"/>
  <c r="H58" i="74"/>
  <c r="I43" i="74"/>
  <c r="H44" i="74"/>
  <c r="H45" i="74"/>
  <c r="H51" i="74"/>
  <c r="E53" i="86" s="1"/>
  <c r="H49" i="74"/>
  <c r="H66" i="74" s="1"/>
  <c r="G46" i="74"/>
  <c r="G52" i="74" s="1"/>
  <c r="F21" i="86" l="1"/>
  <c r="E22" i="86"/>
  <c r="G61" i="74"/>
  <c r="G65" i="74"/>
  <c r="F1023" i="93"/>
  <c r="G67" i="74"/>
  <c r="D50" i="86" s="1"/>
  <c r="D57" i="86" s="1"/>
  <c r="D58" i="86" s="1"/>
  <c r="D60" i="86" s="1"/>
  <c r="D64" i="86" s="1"/>
  <c r="K21" i="86" s="1"/>
  <c r="C50" i="86"/>
  <c r="H73" i="82"/>
  <c r="H1014" i="93"/>
  <c r="H1016" i="93" s="1"/>
  <c r="S991" i="93" s="1"/>
  <c r="F71" i="74"/>
  <c r="E1027" i="93"/>
  <c r="C49" i="86"/>
  <c r="G60" i="74"/>
  <c r="S34" i="74" s="1"/>
  <c r="G64" i="82"/>
  <c r="F71" i="82"/>
  <c r="F66" i="82"/>
  <c r="B25" i="82" s="1"/>
  <c r="I58" i="74"/>
  <c r="H46" i="74"/>
  <c r="H52" i="74" s="1"/>
  <c r="I44" i="74"/>
  <c r="I49" i="74"/>
  <c r="I66" i="74" s="1"/>
  <c r="J43" i="74"/>
  <c r="I51" i="74"/>
  <c r="F53" i="86" s="1"/>
  <c r="I45" i="74"/>
  <c r="G21" i="86" l="1"/>
  <c r="F22" i="86"/>
  <c r="H65" i="74"/>
  <c r="H61" i="74"/>
  <c r="C57" i="86"/>
  <c r="C58" i="86" s="1"/>
  <c r="C60" i="86" s="1"/>
  <c r="C64" i="86" s="1"/>
  <c r="K20" i="86" s="1"/>
  <c r="G1023" i="93"/>
  <c r="H67" i="74"/>
  <c r="G71" i="74"/>
  <c r="G1027" i="93" s="1"/>
  <c r="F1027" i="93"/>
  <c r="I73" i="82"/>
  <c r="I1014" i="93"/>
  <c r="I1016" i="93" s="1"/>
  <c r="S992"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J49" i="74"/>
  <c r="J66" i="74" s="1"/>
  <c r="J44" i="74"/>
  <c r="J51" i="74"/>
  <c r="G53" i="86" s="1"/>
  <c r="J45" i="74"/>
  <c r="G22" i="86" l="1"/>
  <c r="H21" i="86"/>
  <c r="I61" i="74"/>
  <c r="I65" i="74"/>
  <c r="H1023" i="93"/>
  <c r="I67" i="74"/>
  <c r="E50" i="86"/>
  <c r="E57" i="86" s="1"/>
  <c r="E58" i="86" s="1"/>
  <c r="E60" i="86" s="1"/>
  <c r="E64" i="86" s="1"/>
  <c r="K22" i="86" s="1"/>
  <c r="J73" i="82"/>
  <c r="J1014" i="93"/>
  <c r="J1016" i="93" s="1"/>
  <c r="S993"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S994" i="93" s="1"/>
  <c r="B73" i="74"/>
  <c r="K44" i="74"/>
  <c r="K45" i="74"/>
  <c r="K51" i="74"/>
  <c r="H53" i="86" s="1"/>
  <c r="K49" i="74"/>
  <c r="K66" i="74" s="1"/>
  <c r="J46" i="74"/>
  <c r="J52" i="74" s="1"/>
  <c r="I21" i="86" l="1"/>
  <c r="I22" i="86" s="1"/>
  <c r="H22" i="86"/>
  <c r="J61" i="74"/>
  <c r="J65" i="74"/>
  <c r="I1023" i="93"/>
  <c r="J67" i="74"/>
  <c r="F50" i="86"/>
  <c r="F57" i="86" s="1"/>
  <c r="F58" i="86" s="1"/>
  <c r="F60" i="86" s="1"/>
  <c r="F64" i="86" s="1"/>
  <c r="K23" i="86" s="1"/>
  <c r="B29" i="82"/>
  <c r="G21" i="82"/>
  <c r="B56" i="82"/>
  <c r="J60" i="74"/>
  <c r="S37" i="74" s="1"/>
  <c r="J64" i="82"/>
  <c r="I71" i="82"/>
  <c r="I74" i="82" s="1"/>
  <c r="I75" i="82" s="1"/>
  <c r="I76" i="82" s="1"/>
  <c r="I66" i="82"/>
  <c r="K73" i="82"/>
  <c r="B88" i="74"/>
  <c r="B1044" i="93" s="1"/>
  <c r="B1045" i="93" s="1"/>
  <c r="K46" i="74"/>
  <c r="K52" i="74" s="1"/>
  <c r="C73" i="74"/>
  <c r="B81" i="74"/>
  <c r="B74" i="74"/>
  <c r="B79" i="74"/>
  <c r="B95" i="74" s="1"/>
  <c r="B75" i="74"/>
  <c r="K61" i="74" l="1"/>
  <c r="K65" i="74"/>
  <c r="J1023" i="93"/>
  <c r="K67" i="74"/>
  <c r="G50" i="86"/>
  <c r="G57" i="86" s="1"/>
  <c r="G58" i="86" s="1"/>
  <c r="G60" i="86" s="1"/>
  <c r="G64" i="86" s="1"/>
  <c r="K24" i="86" s="1"/>
  <c r="J71" i="82"/>
  <c r="J74" i="82" s="1"/>
  <c r="J75" i="82" s="1"/>
  <c r="J76" i="82" s="1"/>
  <c r="J66" i="82"/>
  <c r="K60" i="74"/>
  <c r="S38" i="74" s="1"/>
  <c r="K64" i="82"/>
  <c r="I45" i="68"/>
  <c r="I408" i="93" s="1"/>
  <c r="C88" i="74"/>
  <c r="C1044" i="93" s="1"/>
  <c r="C1045" i="93" s="1"/>
  <c r="D73" i="74"/>
  <c r="C79" i="74"/>
  <c r="C95" i="74" s="1"/>
  <c r="C81" i="74"/>
  <c r="C75" i="74"/>
  <c r="C74" i="74"/>
  <c r="B76" i="74"/>
  <c r="B82" i="74" s="1"/>
  <c r="B89" i="74" l="1"/>
  <c r="B94" i="74"/>
  <c r="B90" i="74"/>
  <c r="C85" i="90"/>
  <c r="K1023" i="93"/>
  <c r="L63" i="85"/>
  <c r="O8" i="86"/>
  <c r="O14" i="86" s="1"/>
  <c r="O33" i="86" s="1"/>
  <c r="H63" i="86" s="1"/>
  <c r="L93" i="85"/>
  <c r="B96" i="74"/>
  <c r="H50" i="86"/>
  <c r="H57" i="86" s="1"/>
  <c r="H58" i="86" s="1"/>
  <c r="H60" i="86" s="1"/>
  <c r="H64" i="86" s="1"/>
  <c r="K25" i="86" s="1"/>
  <c r="F408" i="93"/>
  <c r="F85" i="92"/>
  <c r="F89" i="92" s="1"/>
  <c r="F105" i="92" s="1"/>
  <c r="K71" i="82"/>
  <c r="K74" i="82" s="1"/>
  <c r="K75" i="82" s="1"/>
  <c r="K76" i="82" s="1"/>
  <c r="K66" i="82"/>
  <c r="D88" i="74"/>
  <c r="D1044" i="93" s="1"/>
  <c r="D1045" i="93" s="1"/>
  <c r="C76" i="74"/>
  <c r="C82" i="74" s="1"/>
  <c r="E73" i="74"/>
  <c r="D81" i="74"/>
  <c r="D75" i="74"/>
  <c r="D79" i="74"/>
  <c r="D95" i="74" s="1"/>
  <c r="D74" i="74"/>
  <c r="C89" i="74" l="1"/>
  <c r="C94" i="74"/>
  <c r="C90" i="74"/>
  <c r="B1052" i="93"/>
  <c r="C96" i="74"/>
  <c r="E88" i="74"/>
  <c r="E1044" i="93" s="1"/>
  <c r="E1045" i="93" s="1"/>
  <c r="D76" i="74"/>
  <c r="D82" i="74" s="1"/>
  <c r="F73" i="74"/>
  <c r="E74" i="74"/>
  <c r="E79" i="74"/>
  <c r="E95" i="74" s="1"/>
  <c r="E75" i="74"/>
  <c r="E81" i="74"/>
  <c r="D89" i="74" l="1"/>
  <c r="D90" i="74"/>
  <c r="D94" i="74"/>
  <c r="C1052" i="93"/>
  <c r="D96" i="74"/>
  <c r="F88" i="74"/>
  <c r="F1044" i="93" s="1"/>
  <c r="F1045" i="93" s="1"/>
  <c r="E76" i="74"/>
  <c r="E82" i="74" s="1"/>
  <c r="G73" i="74"/>
  <c r="F75" i="74"/>
  <c r="F74" i="74"/>
  <c r="F81" i="74"/>
  <c r="F79" i="74"/>
  <c r="F95" i="74" s="1"/>
  <c r="E89" i="74" l="1"/>
  <c r="E90" i="74"/>
  <c r="E94" i="74"/>
  <c r="D1052" i="93"/>
  <c r="E96" i="74"/>
  <c r="G88" i="74"/>
  <c r="G1044" i="93" s="1"/>
  <c r="G1045" i="93" s="1"/>
  <c r="H73" i="74"/>
  <c r="G74" i="74"/>
  <c r="G79" i="74"/>
  <c r="G95" i="74" s="1"/>
  <c r="G75" i="74"/>
  <c r="G81" i="74"/>
  <c r="F76" i="74"/>
  <c r="F82" i="74" s="1"/>
  <c r="F89" i="74" l="1"/>
  <c r="F90" i="74"/>
  <c r="F94" i="74"/>
  <c r="E1052" i="93"/>
  <c r="F96" i="74"/>
  <c r="H88" i="74"/>
  <c r="H1044" i="93" s="1"/>
  <c r="H1045" i="93" s="1"/>
  <c r="G76" i="74"/>
  <c r="G82" i="74" s="1"/>
  <c r="I73" i="74"/>
  <c r="H81" i="74"/>
  <c r="H75" i="74"/>
  <c r="H74" i="74"/>
  <c r="H79" i="74"/>
  <c r="H95" i="74" s="1"/>
  <c r="G89" i="74" l="1"/>
  <c r="G94" i="74"/>
  <c r="G90" i="74"/>
  <c r="F1052" i="93"/>
  <c r="G96" i="74"/>
  <c r="I88" i="74"/>
  <c r="I1044" i="93" s="1"/>
  <c r="I1045" i="93" s="1"/>
  <c r="J73" i="74"/>
  <c r="I79" i="74"/>
  <c r="I95" i="74" s="1"/>
  <c r="I74" i="74"/>
  <c r="I81" i="74"/>
  <c r="I75" i="74"/>
  <c r="H76" i="74"/>
  <c r="H82" i="74" s="1"/>
  <c r="H89" i="74" l="1"/>
  <c r="H90" i="74"/>
  <c r="H94" i="74"/>
  <c r="G1052" i="93"/>
  <c r="H96" i="74"/>
  <c r="J88" i="74"/>
  <c r="J1044" i="93" s="1"/>
  <c r="J1045" i="93" s="1"/>
  <c r="I76" i="74"/>
  <c r="I82" i="74" s="1"/>
  <c r="K73" i="74"/>
  <c r="J79" i="74"/>
  <c r="J95" i="74" s="1"/>
  <c r="J81" i="74"/>
  <c r="J75" i="74"/>
  <c r="J74" i="74"/>
  <c r="I89" i="74" l="1"/>
  <c r="I90" i="74"/>
  <c r="I94" i="74"/>
  <c r="H1052" i="93"/>
  <c r="I96" i="74"/>
  <c r="K88" i="74"/>
  <c r="K1044" i="93" s="1"/>
  <c r="K1045" i="93" s="1"/>
  <c r="J76" i="74"/>
  <c r="J82" i="74" s="1"/>
  <c r="B101" i="74"/>
  <c r="K74" i="74"/>
  <c r="K75" i="74"/>
  <c r="K81" i="74"/>
  <c r="K79" i="74"/>
  <c r="K95" i="74" s="1"/>
  <c r="J89" i="74" l="1"/>
  <c r="J94" i="74"/>
  <c r="J90" i="74"/>
  <c r="I1052" i="93"/>
  <c r="J96" i="74"/>
  <c r="B116" i="74"/>
  <c r="B1072" i="93" s="1"/>
  <c r="B1073" i="93" s="1"/>
  <c r="K76" i="74"/>
  <c r="K82" i="74" s="1"/>
  <c r="C101" i="74"/>
  <c r="B109" i="74"/>
  <c r="B107" i="74"/>
  <c r="B123" i="74" s="1"/>
  <c r="B102" i="74"/>
  <c r="B103" i="74"/>
  <c r="K89" i="74" l="1"/>
  <c r="K94" i="74"/>
  <c r="K90" i="74"/>
  <c r="J1052" i="93"/>
  <c r="K96" i="74"/>
  <c r="C116" i="74"/>
  <c r="C1072" i="93" s="1"/>
  <c r="C1073" i="93" s="1"/>
  <c r="D101" i="74"/>
  <c r="C109" i="74"/>
  <c r="C107" i="74"/>
  <c r="C123" i="74" s="1"/>
  <c r="C103" i="74"/>
  <c r="C102" i="74"/>
  <c r="B104" i="74"/>
  <c r="B110" i="74" s="1"/>
  <c r="B117" i="74" l="1"/>
  <c r="B118" i="74"/>
  <c r="B122" i="74"/>
  <c r="K1052" i="93"/>
  <c r="B124" i="74"/>
  <c r="D116" i="74"/>
  <c r="D1072" i="93" s="1"/>
  <c r="D1073" i="93" s="1"/>
  <c r="C104" i="74"/>
  <c r="C110" i="74" s="1"/>
  <c r="D107" i="74"/>
  <c r="D123" i="74" s="1"/>
  <c r="D102" i="74"/>
  <c r="E101" i="74"/>
  <c r="D103" i="74"/>
  <c r="D109" i="74"/>
  <c r="C117" i="74" l="1"/>
  <c r="C118" i="74"/>
  <c r="C122" i="74"/>
  <c r="B1080" i="93"/>
  <c r="C124" i="74"/>
  <c r="E116" i="74"/>
  <c r="E1072" i="93" s="1"/>
  <c r="E1073" i="93" s="1"/>
  <c r="D104" i="74"/>
  <c r="D110" i="74" s="1"/>
  <c r="F101" i="74"/>
  <c r="E102" i="74"/>
  <c r="E109" i="74"/>
  <c r="E103" i="74"/>
  <c r="E107" i="74"/>
  <c r="E123" i="74" s="1"/>
  <c r="D117" i="74" l="1"/>
  <c r="D118" i="74"/>
  <c r="D122" i="74"/>
  <c r="C1080" i="93"/>
  <c r="D124" i="74"/>
  <c r="F116" i="74"/>
  <c r="F1072" i="93" s="1"/>
  <c r="F1073" i="93" s="1"/>
  <c r="E104" i="74"/>
  <c r="E110" i="74" s="1"/>
  <c r="F109" i="74"/>
  <c r="F103" i="74"/>
  <c r="F102" i="74"/>
  <c r="F107" i="74"/>
  <c r="F123" i="74" s="1"/>
  <c r="E117" i="74" l="1"/>
  <c r="E118" i="74"/>
  <c r="E122" i="74"/>
  <c r="D1080" i="93"/>
  <c r="E124" i="74"/>
  <c r="F104" i="74"/>
  <c r="F110" i="74" s="1"/>
  <c r="F117" i="74" l="1"/>
  <c r="F118" i="74"/>
  <c r="F122" i="74"/>
  <c r="E1080" i="93"/>
  <c r="F124" i="74"/>
  <c r="F1080" i="93"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<sst xmlns="http://schemas.openxmlformats.org/spreadsheetml/2006/main" count="13153" uniqueCount="4823">
  <si>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</si>
  <si>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</si>
  <si>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</si>
  <si>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</si>
  <si>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</si>
  <si>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</si>
  <si>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</si>
  <si>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</si>
  <si>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</si>
  <si>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</si>
  <si>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</si>
  <si>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</si>
  <si>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</si>
  <si>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</si>
  <si>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</si>
  <si>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</si>
  <si>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</si>
  <si>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</si>
  <si>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</si>
  <si>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</si>
  <si>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</si>
  <si>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</si>
  <si>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</si>
  <si>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</si>
  <si>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</si>
  <si>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</si>
  <si>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</si>
  <si>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</si>
  <si>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</si>
  <si>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</si>
  <si>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</si>
  <si>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</si>
  <si>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</si>
  <si>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</si>
  <si>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</si>
  <si>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</si>
  <si>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</si>
  <si>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</si>
  <si>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</si>
  <si>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</si>
  <si>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</si>
  <si>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</si>
  <si>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</si>
  <si>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</si>
  <si>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</si>
  <si>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</si>
  <si>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</si>
  <si>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</si>
  <si>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</si>
  <si>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</si>
  <si>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</si>
  <si>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</si>
  <si>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</si>
  <si>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</si>
  <si>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</si>
  <si>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</si>
  <si>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</si>
  <si>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</si>
  <si>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</si>
  <si>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</si>
  <si>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</si>
  <si>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</si>
  <si>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</si>
  <si>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</si>
  <si>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</si>
  <si>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</si>
  <si>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</si>
  <si>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</si>
  <si>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</si>
  <si>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</si>
  <si>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</si>
  <si>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</si>
  <si>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</si>
  <si>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</si>
  <si>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</si>
  <si>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</si>
  <si>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</si>
  <si>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</si>
  <si>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</si>
  <si>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</si>
  <si>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</si>
  <si>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</si>
  <si>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</si>
  <si>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</si>
  <si>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</si>
  <si>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</si>
  <si>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</si>
  <si>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</si>
  <si>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</si>
  <si>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</si>
  <si>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</si>
  <si>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</si>
  <si>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</si>
  <si>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</si>
  <si>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</si>
  <si>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</si>
  <si>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</si>
  <si>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</si>
  <si>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</si>
  <si>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</si>
  <si>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</si>
  <si>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</si>
  <si>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</si>
  <si>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</si>
  <si>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</si>
  <si>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</si>
  <si>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</si>
  <si>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</si>
  <si>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</si>
  <si>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</si>
  <si>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</si>
  <si>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</si>
  <si>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</si>
  <si>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</si>
  <si>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</si>
  <si>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</si>
  <si>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</si>
  <si>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</si>
  <si>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</si>
  <si>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</si>
  <si>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</si>
  <si>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</si>
  <si>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</si>
  <si>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</si>
  <si>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</si>
  <si>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</si>
  <si>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</si>
  <si>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</si>
  <si>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</si>
  <si>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</si>
  <si>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</si>
  <si>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</si>
  <si>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</si>
  <si>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</si>
  <si>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</si>
  <si>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</si>
  <si>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</si>
  <si>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</si>
  <si>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</si>
  <si>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</si>
  <si>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</si>
  <si>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</si>
  <si>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</si>
  <si>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</si>
  <si>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</si>
  <si>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</si>
  <si>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</si>
  <si>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</si>
  <si>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</si>
  <si>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</si>
  <si>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</si>
  <si>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</si>
  <si>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</si>
  <si>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</si>
  <si>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</si>
  <si>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</si>
  <si>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</si>
  <si>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</si>
  <si>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</si>
  <si>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</si>
  <si>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</si>
  <si>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</si>
  <si>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</si>
  <si>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</si>
  <si>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</si>
  <si>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</si>
  <si>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</si>
  <si>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</si>
  <si>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</si>
  <si>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</si>
  <si>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</si>
  <si>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</si>
  <si>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</si>
  <si>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</si>
  <si>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</si>
  <si>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</si>
  <si>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</si>
  <si>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</si>
  <si>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</si>
  <si>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</si>
  <si>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</si>
  <si>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</si>
  <si>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</si>
  <si>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</si>
  <si>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</si>
  <si>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</si>
  <si>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</si>
  <si>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</si>
  <si>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</si>
  <si>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</si>
  <si>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</si>
  <si>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</si>
  <si>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</si>
  <si>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</si>
  <si>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</si>
  <si>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</si>
  <si>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</si>
  <si>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</si>
  <si>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</si>
  <si>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</si>
  <si>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</si>
  <si>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</si>
  <si>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</si>
  <si>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</si>
  <si>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</si>
  <si>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</si>
  <si>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</si>
  <si>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</si>
  <si>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</si>
  <si>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</si>
  <si>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</si>
  <si>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</si>
  <si>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</si>
  <si>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</si>
  <si>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</si>
  <si>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</si>
  <si>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</si>
  <si>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</si>
  <si>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</si>
  <si>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</si>
  <si>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</si>
  <si>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</si>
  <si>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</si>
  <si>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</si>
  <si>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</si>
  <si>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</si>
  <si>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</si>
  <si>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</si>
  <si>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</si>
  <si>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</si>
  <si>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</si>
  <si>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</si>
  <si>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</si>
  <si>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</si>
  <si>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</si>
  <si>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</si>
  <si>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</si>
  <si>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</si>
  <si>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</si>
  <si>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</si>
  <si>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</si>
  <si>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</si>
  <si>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</si>
  <si>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</si>
  <si>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</si>
  <si>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</si>
  <si>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</si>
  <si>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</si>
  <si>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</si>
  <si>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</si>
  <si>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</si>
  <si>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</si>
  <si>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</si>
  <si>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</si>
  <si>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</si>
  <si>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</si>
  <si>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</si>
  <si>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</si>
  <si>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</si>
  <si>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</si>
  <si>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</si>
  <si>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</si>
  <si>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</si>
  <si>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</si>
  <si>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</si>
  <si>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</si>
  <si>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</si>
  <si>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</si>
  <si>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</si>
  <si>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</si>
  <si>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</si>
  <si>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</si>
  <si>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</si>
  <si>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</si>
  <si>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</si>
  <si>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</si>
  <si>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</si>
  <si>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</si>
  <si>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</si>
  <si>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</si>
  <si>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</si>
  <si>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</si>
  <si>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</si>
  <si>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</si>
  <si>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</si>
  <si>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</si>
  <si>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</si>
  <si>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</si>
  <si>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</si>
  <si>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</si>
  <si>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</si>
  <si>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</si>
  <si>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</si>
  <si>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</si>
  <si>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</si>
  <si>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</si>
  <si>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</si>
  <si>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</si>
  <si>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</si>
  <si>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</si>
  <si>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</si>
  <si>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</si>
  <si>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</si>
  <si>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</si>
  <si>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</si>
  <si>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</si>
  <si>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</si>
  <si>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</si>
  <si>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</si>
  <si>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</si>
  <si>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</si>
  <si>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</si>
  <si>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</si>
  <si>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</si>
  <si>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</si>
  <si>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</si>
  <si>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</si>
  <si>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</si>
  <si>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</si>
  <si>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</si>
  <si>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</si>
  <si>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</si>
  <si>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</si>
  <si>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</si>
  <si>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</si>
  <si>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</si>
  <si>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</si>
  <si>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</si>
  <si>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</si>
  <si>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</si>
  <si>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</si>
  <si>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</si>
  <si>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</si>
  <si>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</si>
  <si>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</si>
  <si>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</si>
  <si>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</si>
  <si>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</si>
  <si>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</si>
  <si>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</si>
  <si>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</si>
  <si>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</si>
  <si>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</si>
  <si>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</si>
  <si>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</si>
  <si>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</si>
  <si>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</si>
  <si>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</si>
  <si>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</si>
  <si>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</si>
  <si>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</si>
  <si>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</si>
  <si>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</si>
  <si>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</si>
  <si>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</si>
  <si>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</si>
  <si>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</si>
  <si>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</si>
  <si>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</si>
  <si>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</si>
  <si>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</si>
  <si>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</si>
  <si>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</si>
  <si>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</si>
  <si>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</si>
  <si>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</si>
  <si>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</si>
  <si>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</si>
  <si>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</si>
  <si>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</si>
  <si>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</si>
  <si>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</si>
  <si>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</si>
  <si>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</si>
  <si>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</si>
  <si>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</si>
  <si>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</si>
  <si>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</si>
  <si>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</si>
  <si>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</si>
  <si>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</si>
  <si>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</si>
  <si>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</si>
  <si>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</si>
  <si>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</si>
  <si>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</si>
  <si>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</si>
  <si>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</si>
  <si>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</si>
  <si>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</si>
  <si>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</si>
  <si>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</si>
  <si>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</si>
  <si>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</si>
  <si>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</si>
  <si>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</si>
  <si>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</si>
  <si>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</si>
  <si>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</si>
  <si>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</si>
  <si>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</si>
  <si>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</si>
  <si>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</si>
  <si>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</si>
  <si>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</si>
  <si>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</si>
  <si>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</si>
  <si>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</si>
  <si>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</si>
  <si>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</si>
  <si>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</si>
  <si>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</si>
  <si>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</si>
  <si>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</si>
  <si>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</si>
  <si>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</si>
  <si>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</si>
  <si>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</si>
  <si>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</si>
  <si>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</si>
  <si>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</si>
  <si>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</si>
  <si>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</si>
  <si>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</si>
  <si>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</si>
  <si>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</si>
  <si>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</si>
  <si>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</si>
  <si>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</si>
  <si>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</si>
  <si>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</si>
  <si>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</si>
  <si>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</si>
  <si>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</si>
  <si>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</si>
  <si>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</si>
  <si>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</si>
  <si>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</si>
  <si>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</si>
  <si>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</si>
  <si>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</si>
  <si>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</si>
  <si>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</si>
  <si>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</si>
  <si>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</si>
  <si>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</si>
  <si>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</si>
  <si>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</si>
  <si>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</si>
  <si>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</si>
  <si>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</si>
  <si>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</si>
  <si>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</si>
  <si>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</si>
  <si>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</si>
  <si>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</si>
  <si>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</si>
  <si>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</si>
  <si>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</si>
  <si>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</si>
  <si>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</si>
  <si>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</si>
  <si>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</si>
  <si>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</si>
  <si>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</si>
  <si>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</si>
  <si>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</si>
  <si>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</si>
  <si>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</si>
  <si>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</si>
  <si>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</si>
  <si>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</si>
  <si>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</si>
  <si>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</si>
  <si>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</si>
  <si>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</si>
  <si>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</si>
  <si>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</si>
  <si>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</si>
  <si>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</si>
  <si>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</si>
  <si>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</si>
  <si>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</si>
  <si>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</si>
  <si>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</si>
  <si>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</si>
  <si>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</si>
  <si>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</si>
  <si>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</si>
  <si>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</si>
  <si>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</si>
  <si>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</si>
  <si>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</si>
  <si>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</si>
  <si>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</si>
  <si>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</si>
  <si>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</si>
  <si>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</si>
  <si>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</si>
  <si>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</si>
  <si>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</si>
  <si>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</si>
  <si>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</si>
  <si>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</si>
  <si>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</si>
  <si>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</si>
  <si>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</si>
  <si>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</si>
  <si>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</si>
  <si>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</si>
  <si>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</si>
  <si>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</si>
  <si>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</si>
  <si>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</si>
  <si>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</si>
  <si>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</si>
  <si>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</si>
  <si>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</si>
  <si>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</si>
  <si>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</si>
  <si>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</si>
  <si>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</si>
  <si>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</si>
  <si>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</si>
  <si>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</si>
  <si>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</si>
  <si>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</si>
  <si>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</si>
  <si>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</si>
  <si>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</si>
  <si>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</si>
  <si>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</si>
  <si>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</si>
  <si>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</si>
  <si>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</si>
  <si>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</si>
  <si>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</si>
  <si>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</si>
  <si>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</si>
  <si>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</si>
  <si>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</si>
  <si>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</si>
  <si>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</si>
  <si>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</si>
  <si>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</si>
  <si>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</si>
  <si>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</si>
  <si>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</si>
  <si>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</si>
  <si>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</si>
  <si>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</si>
  <si>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</si>
  <si>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</si>
  <si>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</si>
  <si>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</si>
  <si>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</si>
  <si>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</si>
  <si>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</si>
  <si>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</si>
  <si>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</si>
  <si>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</si>
  <si>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</si>
  <si>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</si>
  <si>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</si>
  <si>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</si>
  <si>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</si>
  <si>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</si>
  <si>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</si>
  <si>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</si>
  <si>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</si>
  <si>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</si>
  <si>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</si>
  <si>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</si>
  <si>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</si>
  <si>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</si>
  <si>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</si>
  <si>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</si>
  <si>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</si>
  <si>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</si>
  <si>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</si>
  <si>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</si>
  <si>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</si>
  <si>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</si>
  <si>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</si>
  <si>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</si>
  <si>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</si>
  <si>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</si>
  <si>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</si>
  <si>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</si>
  <si>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</si>
  <si>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</si>
  <si>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</si>
  <si>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</si>
  <si>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</si>
  <si>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</si>
  <si>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</si>
  <si>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</si>
  <si>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</si>
  <si>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</si>
  <si>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</si>
  <si>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</si>
  <si>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</si>
  <si>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</si>
  <si>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</si>
  <si>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</si>
  <si>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</si>
  <si>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</si>
  <si>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</si>
  <si>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</si>
  <si>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</si>
  <si>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</si>
  <si>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</si>
  <si>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</si>
  <si>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</si>
  <si>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</si>
  <si>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</si>
  <si>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</si>
  <si>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</si>
  <si>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</si>
  <si>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</si>
  <si>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</si>
  <si>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</si>
  <si>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</si>
  <si>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</si>
  <si>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</si>
  <si>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</si>
  <si>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</si>
  <si>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</si>
  <si>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</si>
  <si>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</si>
  <si>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</si>
  <si>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</si>
  <si>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</si>
  <si>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</si>
  <si>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</si>
  <si>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</si>
  <si>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</si>
  <si>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</si>
  <si>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</si>
  <si>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</si>
  <si>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</si>
  <si>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</si>
  <si>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</si>
  <si>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</si>
  <si>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</si>
  <si>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</si>
  <si>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</si>
  <si>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</si>
  <si>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</si>
  <si>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</si>
  <si>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</si>
  <si>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</si>
  <si>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</si>
  <si>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</si>
  <si>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</si>
  <si>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</si>
  <si>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</si>
  <si>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</si>
  <si>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</si>
  <si>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</si>
  <si>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</si>
  <si>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</si>
  <si>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</si>
  <si>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</si>
  <si>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</si>
  <si>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</si>
  <si>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</si>
  <si>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</si>
  <si>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</si>
  <si>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</si>
  <si>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</si>
  <si>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</si>
  <si>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</si>
  <si>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</si>
  <si>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</si>
  <si>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</si>
  <si>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</si>
  <si>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</si>
  <si>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</si>
  <si>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</si>
  <si>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</si>
  <si>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</si>
  <si>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</si>
  <si>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</si>
  <si>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</si>
  <si>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</si>
  <si>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</si>
  <si>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</si>
  <si>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</si>
  <si>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</si>
  <si>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</si>
  <si>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</si>
  <si>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</si>
  <si>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</si>
  <si>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</si>
  <si>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</si>
  <si>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</si>
  <si>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</si>
  <si>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</si>
  <si>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</si>
  <si>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</si>
  <si>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</si>
  <si>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</si>
  <si>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</si>
  <si>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</si>
  <si>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</si>
  <si>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</si>
  <si>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</si>
  <si>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</si>
  <si>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</si>
  <si>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</si>
  <si>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</si>
  <si>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</si>
  <si>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</si>
  <si>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</si>
  <si>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</si>
  <si>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</si>
  <si>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</si>
  <si>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</si>
  <si>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</si>
  <si>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</si>
  <si>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</si>
  <si>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</si>
  <si>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</si>
  <si>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</si>
  <si>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</si>
  <si>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</si>
  <si>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</si>
  <si>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</si>
  <si>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</si>
  <si>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</si>
  <si>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</si>
  <si>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</si>
  <si>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</si>
  <si>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</si>
  <si>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</si>
  <si>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</si>
  <si>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</si>
  <si>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</si>
  <si>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</si>
  <si>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</si>
  <si>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</si>
  <si>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</si>
  <si>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</si>
  <si>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</si>
  <si>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</si>
  <si>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</si>
  <si>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</si>
  <si>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</si>
  <si>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</si>
  <si>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</si>
  <si>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</si>
  <si>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</si>
  <si>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</si>
  <si>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</si>
  <si>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</si>
  <si>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</si>
  <si>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</si>
  <si>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</si>
  <si>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</si>
  <si>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</si>
  <si>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</si>
  <si>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</si>
  <si>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</si>
  <si>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</si>
  <si>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</si>
  <si>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</si>
  <si>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</si>
  <si>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</si>
  <si>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</si>
  <si>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</si>
  <si>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</si>
  <si>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</si>
  <si>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</si>
  <si>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</si>
  <si>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</si>
  <si>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</si>
  <si>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</si>
  <si>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</si>
  <si>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</si>
  <si>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</si>
  <si>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</si>
  <si>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</si>
  <si>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</si>
  <si>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</si>
  <si>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</si>
  <si>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</si>
  <si>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</si>
  <si>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</si>
  <si>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</si>
  <si>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</si>
  <si>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</si>
  <si>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</si>
  <si>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</si>
  <si>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</si>
  <si>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</si>
  <si>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</si>
  <si>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</si>
  <si>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</si>
  <si>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</si>
  <si>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</si>
  <si>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</si>
  <si>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</si>
  <si>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</si>
  <si>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</si>
  <si>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</si>
  <si>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</si>
  <si>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</si>
  <si>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</si>
  <si>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</si>
  <si>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</si>
  <si>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</si>
  <si>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</si>
  <si>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</si>
  <si>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</si>
  <si>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</si>
  <si>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</si>
  <si>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</si>
  <si>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</si>
  <si>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</si>
  <si>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</si>
  <si>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</si>
  <si>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</si>
  <si>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</si>
  <si>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</si>
  <si>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</si>
  <si>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</si>
  <si>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</si>
  <si>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</si>
  <si>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</si>
  <si>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</si>
  <si>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</si>
  <si>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</si>
  <si>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</si>
  <si>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</si>
  <si>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</si>
  <si>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</si>
  <si>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</si>
  <si>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</si>
  <si>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</si>
  <si>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</si>
  <si>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</si>
  <si>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</si>
  <si>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</si>
  <si>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</si>
  <si>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</si>
  <si>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</si>
  <si>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</si>
  <si>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</si>
  <si>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</si>
  <si>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</si>
  <si>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</si>
  <si>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</si>
  <si>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</si>
  <si>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</si>
  <si>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</si>
  <si>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</si>
  <si>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</si>
  <si>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</si>
  <si>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</si>
  <si>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</si>
  <si>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</si>
  <si>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</si>
  <si>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</si>
  <si>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</si>
  <si>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</si>
  <si>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</si>
  <si>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</si>
  <si>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</si>
  <si>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</si>
  <si>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</si>
  <si>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</si>
  <si>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</si>
  <si>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</si>
  <si>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</si>
  <si>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</si>
  <si>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</si>
  <si>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</si>
  <si>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</si>
  <si>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</si>
  <si>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</si>
  <si>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</si>
  <si>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</si>
  <si>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</si>
  <si>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</si>
  <si>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</si>
  <si>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</si>
  <si>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</si>
  <si>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</si>
  <si>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</si>
  <si>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</si>
  <si>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</si>
  <si>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</si>
  <si>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</si>
  <si>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</si>
  <si>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</si>
  <si>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</si>
  <si>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</si>
  <si>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</si>
  <si>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</si>
  <si>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</si>
  <si>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</si>
  <si>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</si>
  <si>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</si>
  <si>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</si>
  <si>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</si>
  <si>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</si>
  <si>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</si>
  <si>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</si>
  <si>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</si>
  <si>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</si>
  <si>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</si>
  <si>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</si>
  <si>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</si>
  <si>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</si>
  <si>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</si>
  <si>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</si>
  <si>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</si>
  <si>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</si>
  <si>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</si>
  <si>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</si>
  <si>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</si>
  <si>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</si>
  <si>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</si>
  <si>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</si>
  <si>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</si>
  <si>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</si>
  <si>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</si>
  <si>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</si>
  <si>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</si>
  <si>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</si>
  <si>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</si>
  <si>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</si>
  <si>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</si>
  <si>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</si>
  <si>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</si>
  <si>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</si>
  <si>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</si>
  <si>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</si>
  <si>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</si>
  <si>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</si>
  <si>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</si>
  <si>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</si>
  <si>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</si>
  <si>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</si>
  <si>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</si>
  <si>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</si>
  <si>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</si>
  <si>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</si>
  <si>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</si>
  <si>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</si>
  <si>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</si>
  <si>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</si>
  <si>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</si>
  <si>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</si>
  <si>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</si>
  <si>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</si>
  <si>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</si>
  <si>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</si>
  <si>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</si>
  <si>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</si>
  <si>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</si>
  <si>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</si>
  <si>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</si>
  <si>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</si>
  <si>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</si>
  <si>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</si>
  <si>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</si>
  <si>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</si>
  <si>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</si>
  <si>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</si>
  <si>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</si>
  <si>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</si>
  <si>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</si>
  <si>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</si>
  <si>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</si>
  <si>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</si>
  <si>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</si>
  <si>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</si>
  <si>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</si>
  <si>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</si>
  <si>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</si>
  <si>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</si>
  <si>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</si>
  <si>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</si>
  <si>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</si>
  <si>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</si>
  <si>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</si>
  <si>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</si>
  <si>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</si>
  <si>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</si>
  <si>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</si>
  <si>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</si>
  <si>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</si>
  <si>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</si>
  <si>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</si>
  <si>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</si>
  <si>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</si>
  <si>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</si>
  <si>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</si>
  <si>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</si>
  <si>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</si>
  <si>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</si>
  <si>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</si>
  <si>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</si>
  <si>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</si>
  <si>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</si>
  <si>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</si>
  <si>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</si>
  <si>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</si>
  <si>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</si>
  <si>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</si>
  <si>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</si>
  <si>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</si>
  <si>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</si>
  <si>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</si>
  <si>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</si>
  <si>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</si>
  <si>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</si>
  <si>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</si>
  <si>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</si>
  <si>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</si>
  <si>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</si>
  <si>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</si>
  <si>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</si>
  <si>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</si>
  <si>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</si>
  <si>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</si>
  <si>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</si>
  <si>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</si>
  <si>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</si>
  <si>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</si>
  <si>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</si>
  <si>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</si>
  <si>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</si>
  <si>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</si>
  <si>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</si>
  <si>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</si>
  <si>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</si>
  <si>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</si>
  <si>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</si>
  <si>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</si>
  <si>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</si>
  <si>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</si>
  <si>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</si>
  <si>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</si>
  <si>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</si>
  <si>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</si>
  <si>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</si>
  <si>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</si>
  <si>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</si>
  <si>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</si>
  <si>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</si>
  <si>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</si>
  <si>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</si>
  <si>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</si>
  <si>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</si>
  <si>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</si>
  <si>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</si>
  <si>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</si>
  <si>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</si>
  <si>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</si>
  <si>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</si>
  <si>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</si>
  <si>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</si>
  <si>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</si>
  <si>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</si>
  <si>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</si>
  <si>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</si>
  <si>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</si>
  <si>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</si>
  <si>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</si>
  <si>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</si>
  <si>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</si>
  <si>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</si>
  <si>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</si>
  <si>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</si>
  <si>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</si>
  <si>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</si>
  <si>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</si>
  <si>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</si>
  <si>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</si>
  <si>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</si>
  <si>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</si>
  <si>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</si>
  <si>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</si>
  <si>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</si>
  <si>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</si>
  <si>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</si>
  <si>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</si>
  <si>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</si>
  <si>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</si>
  <si>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</si>
  <si>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</si>
  <si>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</si>
  <si>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</si>
  <si>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</si>
  <si>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</si>
  <si>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</si>
  <si>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</si>
  <si>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</si>
  <si>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</si>
  <si>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</si>
  <si>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</si>
  <si>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</si>
  <si>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</si>
  <si>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</si>
  <si>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</si>
  <si>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</si>
  <si>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</si>
  <si>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</si>
  <si>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</si>
  <si>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</si>
  <si>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</si>
  <si>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</si>
  <si>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</si>
  <si>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</si>
  <si>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</si>
  <si>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</si>
  <si>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</si>
  <si>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</si>
  <si>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</si>
  <si>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</si>
  <si>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</si>
  <si>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</si>
  <si>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</si>
  <si>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</si>
  <si>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</si>
  <si>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</si>
  <si>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</si>
  <si>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</si>
  <si>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</si>
  <si>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</si>
  <si>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</si>
  <si>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</si>
  <si>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</si>
  <si>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</si>
  <si>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</si>
  <si>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</si>
  <si>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</si>
  <si>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</si>
  <si>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</si>
  <si>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</si>
  <si>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</si>
  <si>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</si>
  <si>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</si>
  <si>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</si>
  <si>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</si>
  <si>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</si>
  <si>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</si>
  <si>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</si>
  <si>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</si>
  <si>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</si>
  <si>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</si>
  <si>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</si>
  <si>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</si>
  <si>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</si>
  <si>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</si>
  <si>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</si>
  <si>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</si>
  <si>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</si>
  <si>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</si>
  <si>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</si>
  <si>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</si>
  <si>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</si>
  <si>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</si>
  <si>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</si>
  <si>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</si>
  <si>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</si>
  <si>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</si>
  <si>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</si>
  <si>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</si>
  <si>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</si>
  <si>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</si>
  <si>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</si>
  <si>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</si>
  <si>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</si>
  <si>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</si>
  <si>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</si>
  <si>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</si>
  <si>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</si>
  <si>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</si>
  <si>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</si>
  <si>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</si>
  <si>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</si>
  <si>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</si>
  <si>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</si>
  <si>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</si>
  <si>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</si>
  <si>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</si>
  <si>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</si>
  <si>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</si>
  <si>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</si>
  <si>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</si>
  <si>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</si>
  <si>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</si>
  <si>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</si>
  <si>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</si>
  <si>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</si>
  <si>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</si>
  <si>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</si>
  <si>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</si>
  <si>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</si>
  <si>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</si>
  <si>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</si>
  <si>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</si>
  <si>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</si>
  <si>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</si>
  <si>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</si>
  <si>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</si>
  <si>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</si>
  <si>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</si>
  <si>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</si>
  <si>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</si>
  <si>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</si>
  <si>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</si>
  <si>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</si>
  <si>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</si>
  <si>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</si>
  <si>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</si>
  <si>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</si>
  <si>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</si>
  <si>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</si>
  <si>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</si>
  <si>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</si>
  <si>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</si>
  <si>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</si>
  <si>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</si>
  <si>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</si>
  <si>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</si>
  <si>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</si>
  <si>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</si>
  <si>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</si>
  <si>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</si>
  <si>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</si>
  <si>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</si>
  <si>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</si>
  <si>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</si>
  <si>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</si>
  <si>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</si>
  <si>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</si>
  <si>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</si>
  <si>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</si>
  <si>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</si>
  <si>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</si>
  <si>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</si>
  <si>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</si>
  <si>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</si>
  <si>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</si>
  <si>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</si>
  <si>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</si>
  <si>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</si>
  <si>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</si>
  <si>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</si>
  <si>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</si>
  <si>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</si>
  <si>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</si>
  <si>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</si>
  <si>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</si>
  <si>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</si>
  <si>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</si>
  <si>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</si>
  <si>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</si>
  <si>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</si>
  <si>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</si>
  <si>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</si>
  <si>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</si>
  <si>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</si>
  <si>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</si>
  <si>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</si>
  <si>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</si>
  <si>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</si>
  <si>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</si>
  <si>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</si>
  <si>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</si>
  <si>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</si>
  <si>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</si>
  <si>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</si>
  <si>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</si>
  <si>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</si>
  <si>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</si>
  <si>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</si>
  <si>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</si>
  <si>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</si>
  <si>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</si>
  <si>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</si>
  <si>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</si>
  <si>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</si>
  <si>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</si>
  <si>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</si>
  <si>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</si>
  <si>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</si>
  <si>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</si>
  <si>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</si>
  <si>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</si>
  <si>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</si>
  <si>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</si>
  <si>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</si>
  <si>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</si>
  <si>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</si>
  <si>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</si>
  <si>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</si>
  <si>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</si>
  <si>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</si>
  <si>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</si>
  <si>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</si>
  <si>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</si>
  <si>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</si>
  <si>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</si>
  <si>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</si>
  <si>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</si>
  <si>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</si>
  <si>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</si>
  <si>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</si>
  <si>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</si>
  <si>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</si>
  <si>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</si>
  <si>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</si>
  <si>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</si>
  <si>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</si>
  <si>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</si>
  <si>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</si>
  <si>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</si>
  <si>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</si>
  <si>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</si>
  <si>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</si>
  <si>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</si>
  <si>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</si>
  <si>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</si>
  <si>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</si>
  <si>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</si>
  <si>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</si>
  <si>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</si>
  <si>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</si>
  <si>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</si>
  <si>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</si>
  <si>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</si>
  <si>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</si>
  <si>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</si>
  <si>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</si>
  <si>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</si>
  <si>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</si>
  <si>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</si>
  <si>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</si>
  <si>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</si>
  <si>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</si>
  <si>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</si>
  <si>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</si>
  <si>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</si>
  <si>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</si>
  <si>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</si>
  <si>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</si>
  <si>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</si>
  <si>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</si>
  <si>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</si>
  <si>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</si>
  <si>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</si>
  <si>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</si>
  <si>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</si>
  <si>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</si>
  <si>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</si>
  <si>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</si>
  <si>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</si>
  <si>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</si>
  <si>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</si>
  <si>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</si>
  <si>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</si>
  <si>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</si>
  <si>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</si>
  <si>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</si>
  <si>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</si>
  <si>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</si>
  <si>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</si>
  <si>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</si>
  <si>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</si>
  <si>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</si>
  <si>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</si>
  <si>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</si>
  <si>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</si>
  <si>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</si>
  <si>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</si>
  <si>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</si>
  <si>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</si>
  <si>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</si>
  <si>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</si>
  <si>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</si>
  <si>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</si>
  <si>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</si>
  <si>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</si>
  <si>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</si>
  <si>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</si>
  <si>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</si>
  <si>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</si>
  <si>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</si>
  <si>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</si>
  <si>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</si>
  <si>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</si>
  <si>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</si>
  <si>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</si>
  <si>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</si>
  <si>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</si>
  <si>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</si>
  <si>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</si>
  <si>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</si>
  <si>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</si>
  <si>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</si>
  <si>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</si>
  <si>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</si>
  <si>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</si>
  <si>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</si>
  <si>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</si>
  <si>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</si>
  <si>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</si>
  <si>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</si>
  <si>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</si>
  <si>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</si>
  <si>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</si>
  <si>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</si>
  <si>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</si>
  <si>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</si>
  <si>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</si>
  <si>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</si>
  <si>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</si>
  <si>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</si>
  <si>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</si>
  <si>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</si>
  <si>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</si>
  <si>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</si>
  <si>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</si>
  <si>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</si>
  <si>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</si>
  <si>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</si>
  <si>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</si>
  <si>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</si>
  <si>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</si>
  <si>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</si>
  <si>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</si>
  <si>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</si>
  <si>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</si>
  <si>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</si>
  <si>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</si>
  <si>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</si>
  <si>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</si>
  <si>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</si>
  <si>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</si>
  <si>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</si>
  <si>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</si>
  <si>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</si>
  <si>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</si>
  <si>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</si>
  <si>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</si>
  <si>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</si>
  <si>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</si>
  <si>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</si>
  <si>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</si>
  <si>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</si>
  <si>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</si>
  <si>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</si>
  <si>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</si>
  <si>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</si>
  <si>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</si>
  <si>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</si>
  <si>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</si>
  <si>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</si>
  <si>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</si>
  <si>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</si>
  <si>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</si>
  <si>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</si>
  <si>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</si>
  <si>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</si>
  <si>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</si>
  <si>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</si>
  <si>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</si>
  <si>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</si>
  <si>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</si>
  <si>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</si>
  <si>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</si>
  <si>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</si>
  <si>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</si>
  <si>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</si>
  <si>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</si>
  <si>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</si>
  <si>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</si>
  <si>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</si>
  <si>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</si>
  <si>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</si>
  <si>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</si>
  <si>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</si>
  <si>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</si>
  <si>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</si>
  <si>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</si>
  <si>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</si>
  <si>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</si>
  <si>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</si>
  <si>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</si>
  <si>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</si>
  <si>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</si>
  <si>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</si>
  <si>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</si>
  <si>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</si>
  <si>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</si>
  <si>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</si>
  <si>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</si>
  <si>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</si>
  <si>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</si>
  <si>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</si>
  <si>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</si>
  <si>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</si>
  <si>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</si>
  <si>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</si>
  <si>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</si>
  <si>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</si>
  <si>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</si>
  <si>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</si>
  <si>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</si>
  <si>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</si>
  <si>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</si>
  <si>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</si>
  <si>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</si>
  <si>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</si>
  <si>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</si>
  <si>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</si>
  <si>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</si>
  <si>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</si>
  <si>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</si>
  <si>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</si>
  <si>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</si>
  <si>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</si>
  <si>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</si>
  <si>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</si>
  <si>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</si>
  <si>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</si>
  <si>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</si>
  <si>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</si>
  <si>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</si>
  <si>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</si>
  <si>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</si>
  <si>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</si>
  <si>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</si>
  <si>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</si>
  <si>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</si>
  <si>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</si>
  <si>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</si>
  <si>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</si>
  <si>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</si>
  <si>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</si>
  <si>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</si>
  <si>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</si>
  <si>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</si>
  <si>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</si>
  <si>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</si>
  <si>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</si>
  <si>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</si>
  <si>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</si>
  <si>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</si>
  <si>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</si>
  <si>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</si>
  <si>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</si>
  <si>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</si>
  <si>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</si>
  <si>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</si>
  <si>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</si>
  <si>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</si>
  <si>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</si>
  <si>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</si>
  <si>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</si>
  <si>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</si>
  <si>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</si>
  <si>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</si>
  <si>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</si>
  <si>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</si>
  <si>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</si>
  <si>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</si>
  <si>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</si>
  <si>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</si>
  <si>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</si>
  <si>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</si>
  <si>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</si>
  <si>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</si>
  <si>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</si>
  <si>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</si>
  <si>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</si>
  <si>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</si>
  <si>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</si>
  <si>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</si>
  <si>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</si>
  <si>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</si>
  <si>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</si>
  <si>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</si>
  <si>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</si>
  <si>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</si>
  <si>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</si>
  <si>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</si>
  <si>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</si>
  <si>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</si>
  <si>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</si>
  <si>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</si>
  <si>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</si>
  <si>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</si>
  <si>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</si>
  <si>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</si>
  <si>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</si>
  <si>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</si>
  <si>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</si>
  <si>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</si>
  <si>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</si>
  <si>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</si>
  <si>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</si>
  <si>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</si>
  <si>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</si>
  <si>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</si>
  <si>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</si>
  <si>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</si>
  <si>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</si>
  <si>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</si>
  <si>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</si>
  <si>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</si>
  <si>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</si>
  <si>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</si>
  <si>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</si>
  <si>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</si>
  <si>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</si>
  <si>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</si>
  <si>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</si>
  <si>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</si>
  <si>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</si>
  <si>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</si>
  <si>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</si>
  <si>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</si>
  <si>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</si>
  <si>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</si>
  <si>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</si>
  <si>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</si>
  <si>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</si>
  <si>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</si>
  <si>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</si>
  <si>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</si>
  <si>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</si>
  <si>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</si>
  <si>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</si>
  <si>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</si>
  <si>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</si>
  <si>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</si>
  <si>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</si>
  <si>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</si>
  <si>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</si>
  <si>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</si>
  <si>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</si>
  <si>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</si>
  <si>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</si>
  <si>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</si>
  <si>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</si>
  <si>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</si>
  <si>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</si>
  <si>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</si>
  <si>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</si>
  <si>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</si>
  <si>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</si>
  <si>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</si>
  <si>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</si>
  <si>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</si>
  <si>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</si>
  <si>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</si>
  <si>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</si>
  <si>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</si>
  <si>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</si>
  <si>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</si>
  <si>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</si>
  <si>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</si>
  <si>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</si>
  <si>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</si>
  <si>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</si>
  <si>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</si>
  <si>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</si>
  <si>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</si>
  <si>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</si>
  <si>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</si>
  <si>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</si>
  <si>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</si>
  <si>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</si>
  <si>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</si>
  <si>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</si>
  <si>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</si>
  <si>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</si>
  <si>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</si>
  <si>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</si>
  <si>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</si>
  <si>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</si>
  <si>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</si>
  <si>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</si>
  <si>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</si>
  <si>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</si>
  <si>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</si>
  <si>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</si>
  <si>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</si>
  <si>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</si>
  <si>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</si>
  <si>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</si>
  <si>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</si>
  <si>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</si>
  <si>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</si>
  <si>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</si>
  <si>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</si>
  <si>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</si>
  <si>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</si>
  <si>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</si>
  <si>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</si>
  <si>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</si>
  <si>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</si>
  <si>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</si>
  <si>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</si>
  <si>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</si>
  <si>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</si>
  <si>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</si>
  <si>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</si>
  <si>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</si>
  <si>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</si>
  <si>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</si>
  <si>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</si>
  <si>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</si>
  <si>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</si>
  <si>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</si>
  <si>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</si>
  <si>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</si>
  <si>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</si>
  <si>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</si>
  <si>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</si>
  <si>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</si>
  <si>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</si>
  <si>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</si>
  <si>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</si>
  <si>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</si>
  <si>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</si>
  <si>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</si>
  <si>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</si>
  <si>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</si>
  <si>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</si>
  <si>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</si>
  <si>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</si>
  <si>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</si>
  <si>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</si>
  <si>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</si>
  <si>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</si>
  <si>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</si>
  <si>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</si>
  <si>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</si>
  <si>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</si>
  <si>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</si>
  <si>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</si>
  <si>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</si>
  <si>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</si>
  <si>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</si>
  <si>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</si>
  <si>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</si>
  <si>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</si>
  <si>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</si>
  <si>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</si>
  <si>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</si>
  <si>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</si>
  <si>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</si>
  <si>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</si>
  <si>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</si>
  <si>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</si>
  <si>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</si>
  <si>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</si>
  <si>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</si>
  <si>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</si>
  <si>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</si>
  <si>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</si>
  <si>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</si>
  <si>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</si>
  <si>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</si>
  <si>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</si>
  <si>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</si>
  <si>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</si>
  <si>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</si>
  <si>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</si>
  <si>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</si>
  <si>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</si>
  <si>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</si>
  <si>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</si>
  <si>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</si>
  <si>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</si>
  <si>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</si>
  <si>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</si>
  <si>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</si>
  <si>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</si>
  <si>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</si>
  <si>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</si>
  <si>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</si>
  <si>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</si>
  <si>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</si>
  <si>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</si>
  <si>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</si>
  <si>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</si>
  <si>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</si>
  <si>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</si>
  <si>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</si>
  <si>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</si>
  <si>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</si>
  <si>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</si>
  <si>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</si>
  <si>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</si>
  <si>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</si>
  <si>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</si>
  <si>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</si>
  <si>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</si>
  <si>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</si>
  <si>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</si>
  <si>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</si>
  <si>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</si>
  <si>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</si>
  <si>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</si>
  <si>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</si>
  <si>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</si>
  <si>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</si>
  <si>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</si>
  <si>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</si>
  <si>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</si>
  <si>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</si>
  <si>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</si>
  <si>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</si>
  <si>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</si>
  <si>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</si>
  <si>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</si>
  <si>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</si>
  <si>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</si>
  <si>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</si>
  <si>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</si>
  <si>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</si>
  <si>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</si>
  <si>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</si>
  <si>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</si>
  <si>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</si>
  <si>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</si>
  <si>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</si>
  <si>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</si>
  <si>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</si>
  <si>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</si>
  <si>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</si>
  <si>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</si>
  <si>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</si>
  <si>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</si>
  <si>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</si>
  <si>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</si>
  <si>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</si>
  <si>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</si>
  <si>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</si>
  <si>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</si>
  <si>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</si>
  <si>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</si>
  <si>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</si>
  <si>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</si>
  <si>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</si>
  <si>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</si>
  <si>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</si>
  <si>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</si>
  <si>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</si>
  <si>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</si>
  <si>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</si>
  <si>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</si>
  <si>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</si>
  <si>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</si>
  <si>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</si>
  <si>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</si>
  <si>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</si>
  <si>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</si>
  <si>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</si>
  <si>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</si>
  <si>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</si>
  <si>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</si>
  <si>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</si>
  <si>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</si>
  <si>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</si>
  <si>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</si>
  <si>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</si>
  <si>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</si>
  <si>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</si>
  <si>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</si>
  <si>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</si>
  <si>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</si>
  <si>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</si>
  <si>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</si>
  <si>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</si>
  <si>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</si>
  <si>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</si>
  <si>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</si>
  <si>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</si>
  <si>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</si>
  <si>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</si>
  <si>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</si>
  <si>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</si>
  <si>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</si>
  <si>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</si>
  <si>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</si>
  <si>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</si>
  <si>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</si>
  <si>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</si>
  <si>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</si>
  <si>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</si>
  <si>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</si>
  <si>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</si>
  <si>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</si>
  <si>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</si>
  <si>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</si>
  <si>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</si>
  <si>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</si>
  <si>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</si>
  <si>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</si>
  <si>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</si>
  <si>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</si>
  <si>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</si>
  <si>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</si>
  <si>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</si>
  <si>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</si>
  <si>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</si>
  <si>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</si>
  <si>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</si>
  <si>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</si>
  <si>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</si>
  <si>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</si>
  <si>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</si>
  <si>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</si>
  <si>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</si>
  <si>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</si>
  <si>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</si>
  <si>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</si>
  <si>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</si>
  <si>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</si>
  <si>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</si>
  <si>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</si>
  <si>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</si>
  <si>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</si>
  <si>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</si>
  <si>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</si>
  <si>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</si>
  <si>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</si>
  <si>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</si>
  <si>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</si>
  <si>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</si>
  <si>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</si>
  <si>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</si>
  <si>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</si>
  <si>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</si>
  <si>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</si>
  <si>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</si>
  <si>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</si>
  <si>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</si>
  <si>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</si>
  <si>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</si>
  <si>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</si>
  <si>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</si>
  <si>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</si>
  <si>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</si>
  <si>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</si>
  <si>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</si>
  <si>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</si>
  <si>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</si>
  <si>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</si>
  <si>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</si>
  <si>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</si>
  <si>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</si>
  <si>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</si>
  <si>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</si>
  <si>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</si>
  <si>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</si>
  <si>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</si>
  <si>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</si>
  <si>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</si>
  <si>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</si>
  <si>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</si>
  <si>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</si>
  <si>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</si>
  <si>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</si>
  <si>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</si>
  <si>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</si>
  <si>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</si>
  <si>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</si>
  <si>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</si>
  <si>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</si>
  <si>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</si>
  <si>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</si>
  <si>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</si>
  <si>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</si>
  <si>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</si>
  <si>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</si>
  <si>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</si>
  <si>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</si>
  <si>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</si>
  <si>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</si>
  <si>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</si>
  <si>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</si>
  <si>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</si>
  <si>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</si>
  <si>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</si>
  <si>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</si>
  <si>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</si>
  <si>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</si>
  <si>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</si>
  <si>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</si>
  <si>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</si>
  <si>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</si>
  <si>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</si>
  <si>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</si>
  <si>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</si>
  <si>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</si>
  <si>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</si>
  <si>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</si>
  <si>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</si>
  <si>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</si>
  <si>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</si>
  <si>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</si>
  <si>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</si>
  <si>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</si>
  <si>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</si>
  <si>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</si>
  <si>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</si>
  <si>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</si>
  <si>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</si>
  <si>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</si>
  <si>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</si>
  <si>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</si>
  <si>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</si>
  <si>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</si>
  <si>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</si>
  <si>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</si>
  <si>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</si>
  <si>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</si>
  <si>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</si>
  <si>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</si>
  <si>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</si>
  <si>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</si>
  <si>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</si>
  <si>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</si>
  <si>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</si>
  <si>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</si>
  <si>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</si>
  <si>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</si>
  <si>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</si>
  <si>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</si>
  <si>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</si>
  <si>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</si>
  <si>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</si>
  <si>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</si>
  <si>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</si>
  <si>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</si>
  <si>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</si>
  <si>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</si>
  <si>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</si>
  <si>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</si>
  <si>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</si>
  <si>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</si>
  <si>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</si>
  <si>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</si>
  <si>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</si>
  <si>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</si>
  <si>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</si>
  <si>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</si>
  <si>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</si>
  <si>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</si>
  <si>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</si>
  <si>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</si>
  <si>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</si>
  <si>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</si>
  <si>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</si>
  <si>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</si>
  <si>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</si>
  <si>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</si>
  <si>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</si>
  <si>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</si>
  <si>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</si>
  <si>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</si>
  <si>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</si>
  <si>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</si>
  <si>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</si>
  <si>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</si>
  <si>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</si>
  <si>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</si>
  <si>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</si>
  <si>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</si>
  <si>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</si>
  <si>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</si>
  <si>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</si>
  <si>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</si>
  <si>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</si>
  <si>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</si>
  <si>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</si>
  <si>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</si>
  <si>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</si>
  <si>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</si>
  <si>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</si>
  <si>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</si>
  <si>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</si>
  <si>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</si>
  <si>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</si>
  <si>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</si>
  <si>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</si>
  <si>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</si>
  <si>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</si>
  <si>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</si>
  <si>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</si>
  <si>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</si>
  <si>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</si>
  <si>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</si>
  <si>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</si>
  <si>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</si>
  <si>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</si>
  <si>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</si>
  <si>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</si>
  <si>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</si>
  <si>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</si>
  <si>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</si>
  <si>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</si>
  <si>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</si>
  <si>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</si>
  <si>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</si>
  <si>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</si>
  <si>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</si>
  <si>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</si>
  <si>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</si>
  <si>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</si>
  <si>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</si>
  <si>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</si>
  <si>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</si>
  <si>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</si>
  <si>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</si>
  <si>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</si>
  <si>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</si>
  <si>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</si>
  <si>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</si>
  <si>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</si>
  <si>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</si>
  <si>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</si>
  <si>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</si>
  <si>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</si>
  <si>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</si>
  <si>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</si>
  <si>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</si>
  <si>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</si>
  <si>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</si>
  <si>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</si>
  <si>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</si>
  <si>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</si>
  <si>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</si>
  <si>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</si>
  <si>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</si>
  <si>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</si>
  <si>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</si>
  <si>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</si>
  <si>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</si>
  <si>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</si>
  <si>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</si>
  <si>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</si>
  <si>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</si>
  <si>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</si>
  <si>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</si>
  <si>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</si>
  <si>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</si>
  <si>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</si>
  <si>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</si>
  <si>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</si>
  <si>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</si>
  <si>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</si>
  <si>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</si>
  <si>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</si>
  <si>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</si>
  <si>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</si>
  <si>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</si>
  <si>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</si>
  <si>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</si>
  <si>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</si>
  <si>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</si>
  <si>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</si>
  <si>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</si>
  <si>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</si>
  <si>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</si>
  <si>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</si>
  <si>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</si>
  <si>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</si>
  <si>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</si>
  <si>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</si>
  <si>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</si>
  <si>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</si>
  <si>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</si>
  <si>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</si>
  <si>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</si>
  <si>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</si>
  <si>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</si>
  <si>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</si>
  <si>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</si>
  <si>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</si>
  <si>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</si>
  <si>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</si>
  <si>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</si>
  <si>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</si>
  <si>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</si>
  <si>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</si>
  <si>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</si>
  <si>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</si>
  <si>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</si>
  <si>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</si>
  <si>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</si>
  <si>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</si>
  <si>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</si>
  <si>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</si>
  <si>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</si>
  <si>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</si>
  <si>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</si>
  <si>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</si>
  <si>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</si>
  <si>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</si>
  <si>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</si>
  <si>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</si>
  <si>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</si>
  <si>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</si>
  <si>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</si>
  <si>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</si>
  <si>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</si>
  <si>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</si>
  <si>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</si>
  <si>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</si>
  <si>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</si>
  <si>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</si>
  <si>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</si>
  <si>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</si>
  <si>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</si>
  <si>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</si>
  <si>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</si>
  <si>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</si>
  <si>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</si>
  <si>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</si>
  <si>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</si>
  <si>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</si>
  <si>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</si>
  <si>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</si>
  <si>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</si>
  <si>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</si>
  <si>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</si>
  <si>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</si>
  <si>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</si>
  <si>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</si>
  <si>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</si>
  <si>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</si>
  <si>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</si>
  <si>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</si>
  <si>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</si>
  <si>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</si>
  <si>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</si>
  <si>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</si>
  <si>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</si>
  <si>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</si>
  <si>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</si>
  <si>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</si>
  <si>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</si>
  <si>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</si>
  <si>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</si>
  <si>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</si>
  <si>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</si>
  <si>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</si>
  <si>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</si>
  <si>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</si>
  <si>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</si>
  <si>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</si>
  <si>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</si>
  <si>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</si>
  <si>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</si>
  <si>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</si>
  <si>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</si>
  <si>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</si>
  <si>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</si>
  <si>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</si>
  <si>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</si>
  <si>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</si>
  <si>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</si>
  <si>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</si>
  <si>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</si>
  <si>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</si>
  <si>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</si>
  <si>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</si>
  <si>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</si>
  <si>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</si>
  <si>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</si>
  <si>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</si>
  <si>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</si>
  <si>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</si>
  <si>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</si>
  <si>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</si>
  <si>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</si>
  <si>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</si>
  <si>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</si>
  <si>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</si>
  <si>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</si>
  <si>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</si>
  <si>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</si>
  <si>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</si>
  <si>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</si>
  <si>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</si>
  <si>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</si>
  <si>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</si>
  <si>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</si>
  <si>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</si>
  <si>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</si>
  <si>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</si>
  <si>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</si>
  <si>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</si>
  <si>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</si>
  <si>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</si>
  <si>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</si>
  <si>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</si>
  <si>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</si>
  <si>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</si>
  <si>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</si>
  <si>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</si>
  <si>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</si>
  <si>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</si>
  <si>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</si>
  <si>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</si>
  <si>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</si>
  <si>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</si>
  <si>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</si>
  <si>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</si>
  <si>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</si>
  <si>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</si>
  <si>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</si>
  <si>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</si>
  <si>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</si>
  <si>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</si>
  <si>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</si>
  <si>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</si>
  <si>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</si>
  <si>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</si>
  <si>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</si>
  <si>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</si>
  <si>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</si>
  <si>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</si>
  <si>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</si>
  <si>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</si>
  <si>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</si>
  <si>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</si>
  <si>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</si>
  <si>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</si>
  <si>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</si>
  <si>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</si>
  <si>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</si>
  <si>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</si>
  <si>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</si>
  <si>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</si>
  <si>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</si>
  <si>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</si>
  <si>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</si>
  <si>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</si>
  <si>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</si>
  <si>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</si>
  <si>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</si>
  <si>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</si>
  <si>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</si>
  <si>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</si>
  <si>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</si>
  <si>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</si>
  <si>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</si>
  <si>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</si>
  <si>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</si>
  <si>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</si>
  <si>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</si>
  <si>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</si>
  <si>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</si>
  <si>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</si>
  <si>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</si>
  <si>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</si>
  <si>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</si>
  <si>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</si>
  <si>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</si>
  <si>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</si>
  <si>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</si>
  <si>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</si>
  <si>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</si>
  <si>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</si>
  <si>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</si>
  <si>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</si>
  <si>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</si>
  <si>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</si>
  <si>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</si>
  <si>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</si>
  <si>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</si>
  <si>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</si>
  <si>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</si>
  <si>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</si>
  <si>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</si>
  <si>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</si>
  <si>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</si>
  <si>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</si>
  <si>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</si>
  <si>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</si>
  <si>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</si>
  <si>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</si>
  <si>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</si>
  <si>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</si>
  <si>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</si>
  <si>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</si>
  <si>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</si>
  <si>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</si>
  <si>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</si>
  <si>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</si>
  <si>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</si>
  <si>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</si>
  <si>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</si>
  <si>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</si>
  <si>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</si>
  <si>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</si>
  <si>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</si>
  <si>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</si>
  <si>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</si>
  <si>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</si>
  <si>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</si>
  <si>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</si>
  <si>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</si>
  <si>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</si>
  <si>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</si>
  <si>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</si>
  <si>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</si>
  <si>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</si>
  <si>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</si>
  <si>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</si>
  <si>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</si>
  <si>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</si>
  <si>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</si>
  <si>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</si>
  <si>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</si>
  <si>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</si>
  <si>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</si>
  <si>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</si>
  <si>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</si>
  <si>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</si>
  <si>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</si>
  <si>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</si>
  <si>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</si>
  <si>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</si>
  <si>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</si>
  <si>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</si>
  <si>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</si>
  <si>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</si>
  <si>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</si>
  <si>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</si>
  <si>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</si>
  <si>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</si>
  <si>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</si>
  <si>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</si>
  <si>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</si>
  <si>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</si>
  <si>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</si>
  <si>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</si>
  <si>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</si>
  <si>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</si>
  <si>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</si>
  <si>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</si>
  <si>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</si>
  <si>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</si>
  <si>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</si>
  <si>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</si>
  <si>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</si>
  <si>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</si>
  <si>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</si>
  <si>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</si>
  <si>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</si>
  <si>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</si>
  <si>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</si>
  <si>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</si>
  <si>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</si>
  <si>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</si>
  <si>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</si>
  <si>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</si>
  <si>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</si>
  <si>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</si>
  <si>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</si>
  <si>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</si>
  <si>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</si>
  <si>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</si>
  <si>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</si>
  <si>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</si>
  <si>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</si>
  <si>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</si>
  <si>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</si>
  <si>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</si>
  <si>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</si>
  <si>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</si>
  <si>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</si>
  <si>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</si>
  <si>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</si>
  <si>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</si>
  <si>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</si>
  <si>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</si>
  <si>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</si>
  <si>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</si>
  <si>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</si>
  <si>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</si>
  <si>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</si>
  <si>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</si>
  <si>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</si>
  <si>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</si>
  <si>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</si>
  <si>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</si>
  <si>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</si>
  <si>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</si>
  <si>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</si>
  <si>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</si>
  <si>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</si>
  <si>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</si>
  <si>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</si>
  <si>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</si>
  <si>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</si>
  <si>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</si>
  <si>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</si>
  <si>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</si>
  <si>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</si>
  <si>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</si>
  <si>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</si>
  <si>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</si>
  <si>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</si>
  <si>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</si>
  <si>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</si>
  <si>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</si>
  <si>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</si>
  <si>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</si>
  <si>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</si>
  <si>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</si>
  <si>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</si>
  <si>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</si>
  <si>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</si>
  <si>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</si>
  <si>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</si>
  <si>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</si>
  <si>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</si>
  <si>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</si>
  <si>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</si>
  <si>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</si>
  <si>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</si>
  <si>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</si>
  <si>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</si>
  <si>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</si>
  <si>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</si>
  <si>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</si>
  <si>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</si>
  <si>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</si>
  <si>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</si>
  <si>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</si>
  <si>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</si>
  <si>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</si>
  <si>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</si>
  <si>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</si>
  <si>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</si>
  <si>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</si>
  <si>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</si>
  <si>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</si>
  <si>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</si>
  <si>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</si>
  <si>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</si>
  <si>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</si>
  <si>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</si>
  <si>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</si>
  <si>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</si>
  <si>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</si>
  <si>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</si>
  <si>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</si>
  <si>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</si>
  <si>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</si>
  <si>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</si>
  <si>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</si>
  <si>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</si>
  <si>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</si>
  <si>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</si>
  <si>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</si>
  <si>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</si>
  <si>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</si>
  <si>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</si>
  <si>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</si>
  <si>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</si>
  <si>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</si>
  <si>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</si>
  <si>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</si>
  <si>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</si>
  <si>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</si>
  <si>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</si>
  <si>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</si>
  <si>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</si>
  <si>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</si>
  <si>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</si>
  <si>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</si>
  <si>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</si>
  <si>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</si>
  <si>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</si>
  <si>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</si>
  <si>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</si>
  <si>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</si>
  <si>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</si>
  <si>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</si>
  <si>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</si>
  <si>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</si>
  <si>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</si>
  <si>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</si>
  <si>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</si>
  <si>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</si>
  <si>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</si>
  <si>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</si>
  <si>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</si>
  <si>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</si>
  <si>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</si>
  <si>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</si>
  <si>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</si>
  <si>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</si>
  <si>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</si>
  <si>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</si>
  <si>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</si>
  <si>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</si>
  <si>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</si>
  <si>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</si>
  <si>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</si>
  <si>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</si>
  <si>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</si>
  <si>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</si>
  <si>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</si>
  <si>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</si>
  <si>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</si>
  <si>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</si>
  <si>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</si>
  <si>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</si>
  <si>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</si>
  <si>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</si>
  <si>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</si>
  <si>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</si>
  <si>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</si>
  <si>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</si>
  <si>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</si>
  <si>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</si>
  <si>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</si>
  <si>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</si>
  <si>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</si>
  <si>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</si>
  <si>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</si>
  <si>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</si>
  <si>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</si>
  <si>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</si>
  <si>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</si>
  <si>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</si>
  <si>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</si>
  <si>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</si>
  <si>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</si>
  <si>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</si>
  <si>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</si>
  <si>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</si>
  <si>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</si>
  <si>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</si>
  <si>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</si>
  <si>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</si>
  <si>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</si>
  <si>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</si>
  <si>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</si>
  <si>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</si>
  <si>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</si>
  <si>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</si>
  <si>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</si>
  <si>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</si>
  <si>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</si>
  <si>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</si>
  <si>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</si>
  <si>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</si>
  <si>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</si>
  <si>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</si>
  <si>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</si>
  <si>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</si>
  <si>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</si>
  <si>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</si>
  <si>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</si>
  <si>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</si>
  <si>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</si>
  <si>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</si>
  <si>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</si>
  <si>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</si>
  <si>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</si>
  <si>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</si>
  <si>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</si>
  <si>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</si>
  <si>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</si>
  <si>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</si>
  <si>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</si>
  <si>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</si>
  <si>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</si>
  <si>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</si>
  <si>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</si>
  <si>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</si>
  <si>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</si>
  <si>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</si>
  <si>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</si>
  <si>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</si>
  <si>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</si>
  <si>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</si>
  <si>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</si>
  <si>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</si>
  <si>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</si>
  <si>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</si>
  <si>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</si>
  <si>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</si>
  <si>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</si>
  <si>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</si>
  <si>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</si>
  <si>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</si>
  <si>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</si>
  <si>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</si>
  <si>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</si>
  <si>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</si>
  <si>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</si>
  <si>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</si>
  <si>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</si>
  <si>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</si>
  <si>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</si>
  <si>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</si>
  <si>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</si>
  <si>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</si>
  <si>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</si>
  <si>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</si>
  <si>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</si>
  <si>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</si>
  <si>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</si>
  <si>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</si>
  <si>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</si>
  <si>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</si>
  <si>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</si>
  <si>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</si>
  <si>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</si>
  <si>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</si>
  <si>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</si>
  <si>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</si>
  <si>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</si>
  <si>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</si>
  <si>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</si>
  <si>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</si>
  <si>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</si>
  <si>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</si>
  <si>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</si>
  <si>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</si>
  <si>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</si>
  <si>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</si>
  <si>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</si>
  <si>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</si>
  <si>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</si>
  <si>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</si>
  <si>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</si>
  <si>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</si>
  <si>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</si>
  <si>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</si>
  <si>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</si>
  <si>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</si>
  <si>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</si>
  <si>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</si>
  <si>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</si>
  <si>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</si>
  <si>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</si>
  <si>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</si>
  <si>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</si>
  <si>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</si>
  <si>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</si>
  <si>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</si>
  <si>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</si>
  <si>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</si>
  <si>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</si>
  <si>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</si>
  <si>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</si>
  <si>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</si>
  <si>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</si>
  <si>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</si>
  <si>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</si>
  <si>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</si>
  <si>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</si>
  <si>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</si>
  <si>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</si>
  <si>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</si>
  <si>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</si>
  <si>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</si>
  <si>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</si>
  <si>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</si>
  <si>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</si>
  <si>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</si>
  <si>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</si>
  <si>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</si>
  <si>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</si>
  <si>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</si>
  <si>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</si>
  <si>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</si>
  <si>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</si>
  <si>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</si>
  <si>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</si>
  <si>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</si>
  <si>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</si>
  <si>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</si>
  <si>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</si>
  <si>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</si>
  <si>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</si>
  <si>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</si>
  <si>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</si>
  <si>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</si>
  <si>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</si>
  <si>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</si>
  <si>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</si>
  <si>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</si>
  <si>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</si>
  <si>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</si>
  <si>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</si>
  <si>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</si>
  <si>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</si>
  <si>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</si>
  <si>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</si>
  <si>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</si>
  <si>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</si>
  <si>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</si>
  <si>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</si>
  <si>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</si>
  <si>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</si>
  <si>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</si>
  <si>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</si>
  <si>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</si>
  <si>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</si>
  <si>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</si>
  <si>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</si>
  <si>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</si>
  <si>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</si>
  <si>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</si>
  <si>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</si>
  <si>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</si>
  <si>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</si>
  <si>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</si>
  <si>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</si>
  <si>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</si>
  <si>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</si>
  <si>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</si>
  <si>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</si>
  <si>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</si>
  <si>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</si>
  <si>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</si>
  <si>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</si>
  <si>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</si>
  <si>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</si>
  <si>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</si>
  <si>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</si>
  <si>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</si>
  <si>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</si>
  <si>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</si>
  <si>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</si>
  <si>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</si>
  <si>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</si>
  <si>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</si>
  <si>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</si>
  <si>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</si>
  <si>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</si>
  <si>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</si>
  <si>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</si>
  <si>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</si>
  <si>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</si>
  <si>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</si>
  <si>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</si>
  <si>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</si>
  <si>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</si>
  <si>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</si>
  <si>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</si>
  <si>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</si>
  <si>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</si>
  <si>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</si>
  <si>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</si>
  <si>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</si>
  <si>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</si>
  <si>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</si>
  <si>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</si>
  <si>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</si>
  <si>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</si>
  <si>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</si>
  <si>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</si>
  <si>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</si>
  <si>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</si>
  <si>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</si>
  <si>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</si>
  <si>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</si>
  <si>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</si>
  <si>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</si>
  <si>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</si>
  <si>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</si>
  <si>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</si>
  <si>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</si>
  <si>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</si>
  <si>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</si>
  <si>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</si>
  <si>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</si>
  <si>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</si>
  <si>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</si>
  <si>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</si>
  <si>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</si>
  <si>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</si>
  <si>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</si>
  <si>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</si>
  <si>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</si>
  <si>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</si>
  <si>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</si>
  <si>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</si>
  <si>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</si>
  <si>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</si>
  <si>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</si>
  <si>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</si>
  <si>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</si>
  <si>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</si>
  <si>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</si>
  <si>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</si>
  <si>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</si>
  <si>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</si>
  <si>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</si>
  <si>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</si>
  <si>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</si>
  <si>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</si>
  <si>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</si>
  <si>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</si>
  <si>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</si>
  <si>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</si>
  <si>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</si>
  <si>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</si>
  <si>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</si>
  <si>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</si>
  <si>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</si>
  <si>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</si>
  <si>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</si>
  <si>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</si>
  <si>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</si>
  <si>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</si>
  <si>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</si>
  <si>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</si>
  <si>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</si>
  <si>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</si>
  <si>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</si>
  <si>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</si>
  <si>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</si>
  <si>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</si>
  <si>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</si>
  <si>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</si>
  <si>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</si>
  <si>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</si>
  <si>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</si>
  <si>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</si>
  <si>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</si>
  <si>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</si>
  <si>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</si>
  <si>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</si>
  <si>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</si>
  <si>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</si>
  <si>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</si>
  <si>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</si>
  <si>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</si>
  <si>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</si>
  <si>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</si>
  <si>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</si>
  <si>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</si>
  <si>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</si>
  <si>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</si>
  <si>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</si>
  <si>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</si>
  <si>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</si>
  <si>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</si>
  <si>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</si>
  <si>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</si>
  <si>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</si>
  <si>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</si>
  <si>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</si>
  <si>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</si>
  <si>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</si>
  <si>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</si>
  <si>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</si>
  <si>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</si>
  <si>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</si>
  <si>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</si>
  <si>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</si>
  <si>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</si>
  <si>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</si>
  <si>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</si>
  <si>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</si>
  <si>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</si>
  <si>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</si>
  <si>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</si>
  <si>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</si>
  <si>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</si>
  <si>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</si>
  <si>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</si>
  <si>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</si>
  <si>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</si>
  <si>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</si>
  <si>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</si>
  <si>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</si>
  <si>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</si>
  <si>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</si>
  <si>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</si>
  <si>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</si>
  <si>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</si>
  <si>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</si>
  <si>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</si>
  <si>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</si>
  <si>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</si>
  <si>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</si>
  <si>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</si>
  <si>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</si>
  <si>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</si>
  <si>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</si>
  <si>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</si>
  <si>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</si>
  <si>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</si>
  <si>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</si>
  <si>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</si>
  <si>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</si>
  <si>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</si>
  <si>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</si>
  <si>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</si>
  <si>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</si>
  <si>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</si>
  <si>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</si>
  <si>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</si>
  <si>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</si>
  <si>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</si>
  <si>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</si>
  <si>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</si>
  <si>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</si>
  <si>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</si>
  <si>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</si>
  <si>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</si>
  <si>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</si>
  <si>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</si>
  <si>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</si>
  <si>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</si>
  <si>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</si>
  <si>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</si>
  <si>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</si>
  <si>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</si>
  <si>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</si>
  <si>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</si>
  <si>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</si>
  <si>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</si>
  <si>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</si>
  <si>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</si>
  <si>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</si>
  <si>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</si>
  <si>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</si>
  <si>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</si>
  <si>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</si>
  <si>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</si>
  <si>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</si>
  <si>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</si>
  <si>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</si>
  <si>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</si>
  <si>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</si>
  <si>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</si>
  <si>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</si>
  <si>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</si>
  <si>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</si>
  <si>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</si>
  <si>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</si>
  <si>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</si>
  <si>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</si>
  <si>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</si>
  <si>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</si>
  <si>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</si>
  <si>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</si>
  <si>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</si>
  <si>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</si>
  <si>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</si>
  <si>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</si>
  <si>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</si>
  <si>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</si>
  <si>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</si>
  <si>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</si>
  <si>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</si>
  <si>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</si>
  <si>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</si>
  <si>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</si>
  <si>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</si>
  <si>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</si>
  <si>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</si>
  <si>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</si>
  <si>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</si>
  <si>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</si>
  <si>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</si>
  <si>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</si>
  <si>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</si>
  <si>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</si>
  <si>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</si>
  <si>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</si>
  <si>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</si>
  <si>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</si>
  <si>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</si>
  <si>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</si>
  <si>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</si>
  <si>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</si>
  <si>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</si>
  <si>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</si>
  <si>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</si>
  <si>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</si>
  <si>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</si>
  <si>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</si>
  <si>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</si>
  <si>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</si>
  <si>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</si>
  <si>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</si>
  <si>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</si>
  <si>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</si>
  <si>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</si>
  <si>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</si>
  <si>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</si>
  <si>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</si>
  <si>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</si>
  <si>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</si>
  <si>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</si>
  <si>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</si>
  <si>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</si>
  <si>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</si>
  <si>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</si>
  <si>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</si>
  <si>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</si>
  <si>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</si>
  <si>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</si>
  <si>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</si>
  <si>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</si>
  <si>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</si>
  <si>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</si>
  <si>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</si>
  <si>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</si>
  <si>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</si>
  <si>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</si>
  <si>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</si>
  <si>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</si>
  <si>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</si>
  <si>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</si>
  <si>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</si>
  <si>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</si>
  <si>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</si>
  <si>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</si>
  <si>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</si>
  <si>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</si>
  <si>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</si>
  <si>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</si>
  <si>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</si>
  <si>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</si>
  <si>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</si>
  <si>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</si>
  <si>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</si>
  <si>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</si>
  <si>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</si>
  <si>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</si>
  <si>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</si>
  <si>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</si>
  <si>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</si>
  <si>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</si>
  <si>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</si>
  <si>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</si>
  <si>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</si>
  <si>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</si>
  <si>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</si>
  <si>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</si>
  <si>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</si>
  <si>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</si>
  <si>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</si>
  <si>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</si>
  <si>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</si>
  <si>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</si>
  <si>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</si>
  <si>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</si>
  <si>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</si>
  <si>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</si>
  <si>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</si>
  <si>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</si>
  <si>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</si>
  <si>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</si>
  <si>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</si>
  <si>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</si>
  <si>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</si>
  <si>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</si>
  <si>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</si>
  <si>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</si>
  <si>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</si>
  <si>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</si>
  <si>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</si>
  <si>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</si>
  <si>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</si>
  <si>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</si>
  <si>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</si>
  <si>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</si>
  <si>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</si>
  <si>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</si>
  <si>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</si>
  <si>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</si>
  <si>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</si>
  <si>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</si>
  <si>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</si>
  <si>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</si>
  <si>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</si>
  <si>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</si>
  <si>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</si>
  <si>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</si>
  <si>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</si>
  <si>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</si>
  <si>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</si>
  <si>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</si>
  <si>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</si>
  <si>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</si>
  <si>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</si>
  <si>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</si>
  <si>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</si>
  <si>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</si>
  <si>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</si>
  <si>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</si>
  <si>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</si>
  <si>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</si>
  <si>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</si>
  <si>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</si>
  <si>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</si>
  <si>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</si>
  <si>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</si>
  <si>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</si>
  <si>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</si>
  <si>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</si>
  <si>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</si>
  <si>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</si>
  <si>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</si>
  <si>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</si>
  <si>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</si>
  <si>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</si>
  <si>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</si>
  <si>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</si>
  <si>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</si>
  <si>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</si>
  <si>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</si>
  <si>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</si>
  <si>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</si>
  <si>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</si>
  <si>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</si>
  <si>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</si>
  <si>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</si>
  <si>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</si>
  <si>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</si>
  <si>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</si>
  <si>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</si>
  <si>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</si>
  <si>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</si>
  <si>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</si>
  <si>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</si>
  <si>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</si>
  <si>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</si>
  <si>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</si>
  <si>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</si>
  <si>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</si>
  <si>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</si>
  <si>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</si>
  <si>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</si>
  <si>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</si>
  <si>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</si>
  <si>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</si>
  <si>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</si>
  <si>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</si>
  <si>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</si>
  <si>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</si>
  <si>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</si>
  <si>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</si>
  <si>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</si>
  <si>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</si>
  <si>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</si>
  <si>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</si>
  <si>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</si>
  <si>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</si>
  <si>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</si>
  <si>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</si>
  <si>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</si>
  <si>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</si>
  <si>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</si>
  <si>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</si>
  <si>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</si>
  <si>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</si>
  <si>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</si>
  <si>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</si>
  <si>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</si>
  <si>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</si>
  <si>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</si>
  <si>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</si>
  <si>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</si>
  <si>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</si>
  <si>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</si>
  <si>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</si>
  <si>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</si>
  <si>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</si>
  <si>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</si>
  <si>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</si>
  <si>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</si>
  <si>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</si>
  <si>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</si>
  <si>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</si>
  <si>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</si>
  <si>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</si>
  <si>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</si>
  <si>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</si>
  <si>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</si>
  <si>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</si>
  <si>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</si>
  <si>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</si>
  <si>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</si>
  <si>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</si>
  <si>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</si>
  <si>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</si>
  <si>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</si>
  <si>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</si>
  <si>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</si>
  <si>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</si>
  <si>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</si>
  <si>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</si>
  <si>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</si>
  <si>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</si>
  <si>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</si>
  <si>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</si>
  <si>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</si>
  <si>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</si>
  <si>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</si>
  <si>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</si>
  <si>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</si>
  <si>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</si>
  <si>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</si>
  <si>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</si>
  <si>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</si>
  <si>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</si>
  <si>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</si>
  <si>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</si>
  <si>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</si>
  <si>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</si>
  <si>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</si>
  <si>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</si>
  <si>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</si>
  <si>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</si>
  <si>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</si>
  <si>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</si>
  <si>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</si>
  <si>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</si>
  <si>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</si>
  <si>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</si>
  <si>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</si>
  <si>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</si>
  <si>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</si>
  <si>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</si>
  <si>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</si>
  <si>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</si>
  <si>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</si>
  <si>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</si>
  <si>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</si>
  <si>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</si>
  <si>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</si>
  <si>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</si>
  <si>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</si>
  <si>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</si>
  <si>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</si>
  <si>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</si>
  <si>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</si>
  <si>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</si>
  <si>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</si>
  <si>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</si>
  <si>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</si>
  <si>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</si>
  <si>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</si>
  <si>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</si>
  <si>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</si>
  <si>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</si>
  <si>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</si>
  <si>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</si>
  <si>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</si>
  <si>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</si>
  <si>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</si>
  <si>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</si>
  <si>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</si>
  <si>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</si>
  <si>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</si>
  <si>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</si>
  <si>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</si>
  <si>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</si>
  <si>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</si>
  <si>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</si>
  <si>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</si>
  <si>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</si>
  <si>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</si>
  <si>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</si>
  <si>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</si>
  <si>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</si>
  <si>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</si>
  <si>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</si>
  <si>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</si>
  <si>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</si>
  <si>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</si>
  <si>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</si>
  <si>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</si>
  <si>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</si>
  <si>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</si>
  <si>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</si>
  <si>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</si>
  <si>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</si>
  <si>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</si>
  <si>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</si>
  <si>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</si>
  <si>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</si>
  <si>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</si>
  <si>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</si>
  <si>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</si>
  <si>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</si>
  <si>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</si>
  <si>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</si>
  <si>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</si>
  <si>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</si>
  <si>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</si>
  <si>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</si>
  <si>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</si>
  <si>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</si>
  <si>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</si>
  <si>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</si>
  <si>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</si>
  <si>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</si>
  <si>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</si>
  <si>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</si>
  <si>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</si>
  <si>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</si>
  <si>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</si>
  <si>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</si>
  <si>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</si>
  <si>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</si>
  <si>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</si>
  <si>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</si>
  <si>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</si>
  <si>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</si>
  <si>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</si>
  <si>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</si>
  <si>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</si>
  <si>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</si>
  <si>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</si>
  <si>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</si>
  <si>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</si>
  <si>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</si>
  <si>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</si>
  <si>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</si>
  <si>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</si>
  <si>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</si>
  <si>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</si>
  <si>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</si>
  <si>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</si>
  <si>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</si>
  <si>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</si>
  <si>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</si>
  <si>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</si>
  <si>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</si>
  <si>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</si>
  <si>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</si>
  <si>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</si>
  <si>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</si>
  <si>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</si>
  <si>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</si>
  <si>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</si>
  <si>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</si>
  <si>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</si>
  <si>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</si>
  <si>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</si>
  <si>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</si>
  <si>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</si>
  <si>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</si>
  <si>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</si>
  <si>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</si>
  <si>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</si>
  <si>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</si>
  <si>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</si>
  <si>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</si>
  <si>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</si>
  <si>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</si>
  <si>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</si>
  <si>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</si>
  <si>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</si>
  <si>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</si>
  <si>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</si>
  <si>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</si>
  <si>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</si>
  <si>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</si>
  <si>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</si>
  <si>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</si>
  <si>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</si>
  <si>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</si>
  <si>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</si>
  <si>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</si>
  <si>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</si>
  <si>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</si>
  <si>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</si>
  <si>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</si>
  <si>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</si>
  <si>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</si>
  <si>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</si>
  <si>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</si>
  <si>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</si>
  <si>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</si>
  <si>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</si>
  <si>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</si>
  <si>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</si>
  <si>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</si>
  <si>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</si>
  <si>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</si>
  <si>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</si>
  <si>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</si>
  <si>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</si>
  <si>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</si>
  <si>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</si>
  <si>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</si>
  <si>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</si>
  <si>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</si>
  <si>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</si>
  <si>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</si>
  <si>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</si>
  <si>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</si>
  <si>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</si>
  <si>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</si>
  <si>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</si>
  <si>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</si>
  <si>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</si>
  <si>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</si>
  <si>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</si>
  <si>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</si>
  <si>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</si>
  <si>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</si>
  <si>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</si>
  <si>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</si>
  <si>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</si>
  <si>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</si>
  <si>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</si>
  <si>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</si>
  <si>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</si>
  <si>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</si>
  <si>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</si>
  <si>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</si>
  <si>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</si>
  <si>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</si>
  <si>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</si>
  <si>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</si>
  <si>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</si>
  <si>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</si>
  <si>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</si>
  <si>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</si>
  <si>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</si>
  <si>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</si>
  <si>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</si>
  <si>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</si>
  <si>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</si>
  <si>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</si>
  <si>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</si>
  <si>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</si>
  <si>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</si>
  <si>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</si>
  <si>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</si>
  <si>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</si>
  <si>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</si>
  <si>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</si>
  <si>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</si>
  <si>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</si>
  <si>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</si>
  <si>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</si>
  <si>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</si>
  <si>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</si>
  <si>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</si>
  <si>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</si>
  <si>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</si>
  <si>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</si>
  <si>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</si>
  <si>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</si>
  <si>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</si>
  <si>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</si>
  <si>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</si>
  <si>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</si>
  <si>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</si>
  <si>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</si>
  <si>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</si>
  <si>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</si>
  <si>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</si>
  <si>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</si>
  <si>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</si>
  <si>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</si>
  <si>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</si>
  <si>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</si>
  <si>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</si>
  <si>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</si>
  <si>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</si>
  <si>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</si>
  <si>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</si>
  <si>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</si>
  <si>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</si>
  <si>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</si>
  <si>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</si>
  <si>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</si>
  <si>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</si>
  <si>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</si>
  <si>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</si>
  <si>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</si>
  <si>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</si>
  <si>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</si>
  <si>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</si>
  <si>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</si>
  <si>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</si>
  <si>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</si>
  <si>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</si>
  <si>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</si>
  <si>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</si>
  <si>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</si>
  <si>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</si>
  <si>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</si>
  <si>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</si>
  <si>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</si>
  <si>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</si>
  <si>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</si>
  <si>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</si>
  <si>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</si>
  <si>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</si>
  <si>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</si>
  <si>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</si>
  <si>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</si>
  <si>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</si>
  <si>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</si>
  <si>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</si>
  <si>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</si>
  <si>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</si>
  <si>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</si>
  <si>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</si>
  <si>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</si>
  <si>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</si>
  <si>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</si>
  <si>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</si>
  <si>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</si>
  <si>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</si>
  <si>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</si>
  <si>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</si>
  <si>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</si>
  <si>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</si>
  <si>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</si>
  <si>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</si>
  <si>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</si>
  <si>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</si>
  <si>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</si>
  <si>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</si>
  <si>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</si>
  <si>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</si>
  <si>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</si>
  <si>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</si>
  <si>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</si>
  <si>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</si>
  <si>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</si>
  <si>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</si>
  <si>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</si>
  <si>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</si>
  <si>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</si>
  <si>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</si>
  <si>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</si>
  <si>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</si>
  <si>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</si>
  <si>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</si>
  <si>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</si>
  <si>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</si>
  <si>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</si>
  <si>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</si>
  <si>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</si>
  <si>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</si>
  <si>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</si>
  <si>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</si>
  <si>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</si>
  <si>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</si>
  <si>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</si>
  <si>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</si>
  <si>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</si>
  <si>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</si>
  <si>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</si>
  <si>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</si>
  <si>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</si>
  <si>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</si>
  <si>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</si>
  <si>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</si>
  <si>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</si>
  <si>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</si>
  <si>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</si>
  <si>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</si>
  <si>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</si>
  <si>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</si>
  <si>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</si>
  <si>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</si>
  <si>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</si>
  <si>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</si>
  <si>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</si>
  <si>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</si>
  <si>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</si>
  <si>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</si>
  <si>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</si>
  <si>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</si>
  <si>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</si>
  <si>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</si>
  <si>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</si>
  <si>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</si>
  <si>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</si>
  <si>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</si>
  <si>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</si>
  <si>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</si>
  <si>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</si>
  <si>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</si>
  <si>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</si>
  <si>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</si>
  <si>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</si>
  <si>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</si>
  <si>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</si>
  <si>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</si>
  <si>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</si>
  <si>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</si>
  <si>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</si>
  <si>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</si>
  <si>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</si>
  <si>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</si>
  <si>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</si>
  <si>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</si>
  <si>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</si>
  <si>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</si>
  <si>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</si>
  <si>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</si>
  <si>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</si>
  <si>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</si>
  <si>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</si>
  <si>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</si>
  <si>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</si>
  <si>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</si>
  <si>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</si>
  <si>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</si>
  <si>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</si>
  <si>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</si>
  <si>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</si>
  <si>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</si>
  <si>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</si>
  <si>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</si>
  <si>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</si>
  <si>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</si>
  <si>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</si>
  <si>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</si>
  <si>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</si>
  <si>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</si>
  <si>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</si>
  <si>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</si>
  <si>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</si>
  <si>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</si>
  <si>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</si>
  <si>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</si>
  <si>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</si>
  <si>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</si>
  <si>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</si>
  <si>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</si>
  <si>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</si>
  <si>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</si>
  <si>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</si>
  <si>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</si>
  <si>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</si>
  <si>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</si>
  <si>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</si>
  <si>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</si>
  <si>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</si>
  <si>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</si>
  <si>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</si>
  <si>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</si>
  <si>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</si>
  <si>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</si>
  <si>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</si>
  <si>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</si>
  <si>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</si>
  <si>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</si>
  <si>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</si>
  <si>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</si>
  <si>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</si>
  <si>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</si>
  <si>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</si>
  <si>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</si>
  <si>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</si>
  <si>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</si>
  <si>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</si>
  <si>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</si>
  <si>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</si>
  <si>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</si>
  <si>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</si>
  <si>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</si>
  <si>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</si>
  <si>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</si>
  <si>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</si>
  <si>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</si>
  <si>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</si>
  <si>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</si>
  <si>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</si>
  <si>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</si>
  <si>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</si>
  <si>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</si>
  <si>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</si>
  <si>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</si>
  <si>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</si>
  <si>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</si>
  <si>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</si>
  <si>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</si>
  <si>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</si>
  <si>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</si>
  <si>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</si>
  <si>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</si>
  <si>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</si>
  <si>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</si>
  <si>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</si>
  <si>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</si>
  <si>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</si>
  <si>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</si>
  <si>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</si>
  <si>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</si>
  <si>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</si>
  <si>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</si>
  <si>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</si>
  <si>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</si>
  <si>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</si>
  <si>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</si>
  <si>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</si>
  <si>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</si>
  <si>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</si>
  <si>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</si>
  <si>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</si>
  <si>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</si>
  <si>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</si>
  <si>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</si>
  <si>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</si>
  <si>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</si>
  <si>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</si>
  <si>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</si>
  <si>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</si>
  <si>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</si>
  <si>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</si>
  <si>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</si>
  <si>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</si>
  <si>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</si>
  <si>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</si>
  <si>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</si>
  <si>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</si>
  <si>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</si>
  <si>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</si>
  <si>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</si>
  <si>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</si>
  <si>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</si>
  <si>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</si>
  <si>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</si>
  <si>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</si>
  <si>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</si>
  <si>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</si>
  <si>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</si>
  <si>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</si>
  <si>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</si>
  <si>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</si>
  <si>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</si>
  <si>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</si>
  <si>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</si>
  <si>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</si>
  <si>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</si>
  <si>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</si>
  <si>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</si>
  <si>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</si>
  <si>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</si>
  <si>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</si>
  <si>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</si>
  <si>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</si>
  <si>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</si>
  <si>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</si>
  <si>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</si>
  <si>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</si>
  <si>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</si>
  <si>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</si>
  <si>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</si>
  <si>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</si>
  <si>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</si>
  <si>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</si>
  <si>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</si>
  <si>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</si>
  <si>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</si>
  <si>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</si>
  <si>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</si>
  <si>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</si>
  <si>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</si>
  <si>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</si>
  <si>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</si>
  <si>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</si>
  <si>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</si>
  <si>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</si>
  <si>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</si>
  <si>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</si>
  <si>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</si>
  <si>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</si>
  <si>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</si>
  <si>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</si>
  <si>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</si>
  <si>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</si>
  <si>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</si>
  <si>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</si>
  <si>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</si>
  <si>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</si>
  <si>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</si>
  <si>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</si>
  <si>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</si>
  <si>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</si>
  <si>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</si>
  <si>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</si>
  <si>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</si>
  <si>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</si>
  <si>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</si>
  <si>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</si>
  <si>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</si>
  <si>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</si>
  <si>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</si>
  <si>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</si>
  <si>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</si>
  <si>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</si>
  <si>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</si>
  <si>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</si>
  <si>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</si>
  <si>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</si>
  <si>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</si>
  <si>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</si>
  <si>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</si>
  <si>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</si>
  <si>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</si>
  <si>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</si>
  <si>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</si>
  <si>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</si>
  <si>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</si>
  <si>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</si>
  <si>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</si>
  <si>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</si>
  <si>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</si>
  <si>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</si>
  <si>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</si>
  <si>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</si>
  <si>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</si>
  <si>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</si>
  <si>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</si>
  <si>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</si>
  <si>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</si>
  <si>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</si>
  <si>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</si>
  <si>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</si>
  <si>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</si>
  <si>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</si>
  <si>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</si>
  <si>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</si>
  <si>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</si>
  <si>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</si>
  <si>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</si>
  <si>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</si>
  <si>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</si>
  <si>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</si>
  <si>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</si>
  <si>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</si>
  <si>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</si>
  <si>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</si>
  <si>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</si>
  <si>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</si>
  <si>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</si>
  <si>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</si>
  <si>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</si>
  <si>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</si>
  <si>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</si>
  <si>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</si>
  <si>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</si>
  <si>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</si>
  <si>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</si>
  <si>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</si>
  <si>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</si>
  <si>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</si>
  <si>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</si>
  <si>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</si>
  <si>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</si>
  <si>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</si>
  <si>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</si>
  <si>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</si>
  <si>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</si>
  <si>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</si>
  <si>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</si>
  <si>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</si>
  <si>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</si>
  <si>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</si>
  <si>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</si>
  <si>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</si>
  <si>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</si>
  <si>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</si>
  <si>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</si>
  <si>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</si>
  <si>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</si>
  <si>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</si>
  <si>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</si>
  <si>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</si>
  <si>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</si>
  <si>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</si>
  <si>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</si>
  <si>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</si>
  <si>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</si>
  <si>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</si>
  <si>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</si>
  <si>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</si>
  <si>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</si>
  <si>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</si>
  <si>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</si>
  <si>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</si>
  <si>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</si>
  <si>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</si>
  <si>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</si>
  <si>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</si>
  <si>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</si>
  <si>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</si>
  <si>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</si>
  <si>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</si>
  <si>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</si>
  <si>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</si>
  <si>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</si>
  <si>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</si>
  <si>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</si>
  <si>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</si>
  <si>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</si>
  <si>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</si>
  <si>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</si>
  <si>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</si>
  <si>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</si>
  <si>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</si>
  <si>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</si>
  <si>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</si>
  <si>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</si>
  <si>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</si>
  <si>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</si>
  <si>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</si>
  <si>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</si>
  <si>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</si>
  <si>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</si>
  <si>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</si>
  <si>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</si>
  <si>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</si>
  <si>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</si>
  <si>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</si>
  <si>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</si>
  <si>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</si>
  <si>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</si>
  <si>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</si>
  <si>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</si>
  <si>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</si>
  <si>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</si>
  <si>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</si>
  <si>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</si>
  <si>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</si>
  <si>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</si>
  <si>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</si>
  <si>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</si>
  <si>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</si>
  <si>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</si>
  <si>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</si>
  <si>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</si>
  <si>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</si>
  <si>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</si>
  <si>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</si>
  <si>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</si>
  <si>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</si>
  <si>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</si>
  <si>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</si>
  <si>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</si>
  <si>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</si>
  <si>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</si>
  <si>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</si>
  <si>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</si>
  <si>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</si>
  <si>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</si>
  <si>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</si>
  <si>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</si>
  <si>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</si>
  <si>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</si>
  <si>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</si>
  <si>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</si>
  <si>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</si>
  <si>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</si>
  <si>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</si>
  <si>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</si>
  <si>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</si>
  <si>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</si>
  <si>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</si>
  <si>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</si>
  <si>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</si>
  <si>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</si>
  <si>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</si>
  <si>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</si>
  <si>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</si>
  <si>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</si>
  <si>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</si>
  <si>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</si>
  <si>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</si>
  <si>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</si>
  <si>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</si>
  <si>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</si>
  <si>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</si>
  <si>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</si>
  <si>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</si>
  <si>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</si>
  <si>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</si>
  <si>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</si>
  <si>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</si>
  <si>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</si>
  <si>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</si>
  <si>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</si>
  <si>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</si>
  <si>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</si>
  <si>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</si>
  <si>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</si>
  <si>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</si>
  <si>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</si>
  <si>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</si>
  <si>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</si>
  <si>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</si>
  <si>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</si>
  <si>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</si>
  <si>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</si>
  <si>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</si>
  <si>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</si>
  <si>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</si>
  <si>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</si>
  <si>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</si>
  <si>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</si>
  <si>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</si>
  <si>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</si>
  <si>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</si>
  <si>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</si>
  <si>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</si>
  <si>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</si>
  <si>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</si>
  <si>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</si>
  <si>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</si>
  <si>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</si>
  <si>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</si>
  <si>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</si>
  <si>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</si>
  <si>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</si>
  <si>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</si>
  <si>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</si>
  <si>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</si>
  <si>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</si>
  <si>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</si>
  <si>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</si>
  <si>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</si>
  <si>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</si>
  <si>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</si>
  <si>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</si>
  <si>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</si>
  <si>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</si>
  <si>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</si>
  <si>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</si>
  <si>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</si>
  <si>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</si>
  <si>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</si>
  <si>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</si>
  <si>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</si>
  <si>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</si>
  <si>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</si>
  <si>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</si>
  <si>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</si>
  <si>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</si>
  <si>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</si>
  <si>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</si>
  <si>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</si>
  <si>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</si>
  <si>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</si>
  <si>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</si>
  <si>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</si>
  <si>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</si>
  <si>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</si>
  <si>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</si>
  <si>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</si>
  <si>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</si>
  <si>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</si>
  <si>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</si>
  <si>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</si>
  <si>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</si>
  <si>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</si>
  <si>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</si>
  <si>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</si>
  <si>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</si>
  <si>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</si>
  <si>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</si>
  <si>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</si>
  <si>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</si>
  <si>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</si>
  <si>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</si>
  <si>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</si>
  <si>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</si>
  <si>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</si>
  <si>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</si>
  <si>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</si>
  <si>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</si>
  <si>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</si>
  <si>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</si>
  <si>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</si>
  <si>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</si>
  <si>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</si>
  <si>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</si>
  <si>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</si>
  <si>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</si>
  <si>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</si>
  <si>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</si>
  <si>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</si>
  <si>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</si>
  <si>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</si>
  <si>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</si>
  <si>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</si>
  <si>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</si>
  <si>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</si>
  <si>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</si>
  <si>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</si>
  <si>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</si>
  <si>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</si>
  <si>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</si>
  <si>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</si>
  <si>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</si>
  <si>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</si>
  <si>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</si>
  <si>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</si>
  <si>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</si>
  <si>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</si>
  <si>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</si>
  <si>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</si>
  <si>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</si>
  <si>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</si>
  <si>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</si>
  <si>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</si>
  <si>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</si>
  <si>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</si>
  <si>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</si>
  <si>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</si>
  <si>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</si>
  <si>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</si>
  <si>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</si>
  <si>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</si>
  <si>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</si>
  <si>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</si>
  <si>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</si>
  <si>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</si>
  <si>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</si>
  <si>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</si>
  <si>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</si>
  <si>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</si>
  <si>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</si>
  <si>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</si>
  <si>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</si>
  <si>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</si>
  <si>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</si>
  <si>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</si>
  <si>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</si>
  <si>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</si>
  <si>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</si>
  <si>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</si>
  <si>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</si>
  <si>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</si>
  <si>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</si>
  <si>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</si>
  <si>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</si>
  <si>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</si>
  <si>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</si>
  <si>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</si>
  <si>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</si>
  <si>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</si>
  <si>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</si>
  <si>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</si>
  <si>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</si>
  <si>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</si>
  <si>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</si>
  <si>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</si>
  <si>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</si>
  <si>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</si>
  <si>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</si>
  <si>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</si>
  <si>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</si>
  <si>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</si>
  <si>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</si>
  <si>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</si>
  <si>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</si>
  <si>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</si>
  <si>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</si>
  <si>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</si>
  <si>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</si>
  <si>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</si>
  <si>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</si>
  <si>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</si>
  <si>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</si>
  <si>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</si>
  <si>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</si>
  <si>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</si>
  <si>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</si>
  <si>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</si>
  <si>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</si>
  <si>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</si>
  <si>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</si>
  <si>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</si>
  <si>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</si>
  <si>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</si>
  <si>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</si>
  <si>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</si>
  <si>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</si>
  <si>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</si>
  <si>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</si>
  <si>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</si>
  <si>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</si>
  <si>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</si>
  <si>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</si>
  <si>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</si>
  <si>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</si>
  <si>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</si>
  <si>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</si>
  <si>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</si>
  <si>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</si>
  <si>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</si>
  <si>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</si>
  <si>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</si>
  <si>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</si>
  <si>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</si>
  <si>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</si>
  <si>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</si>
  <si>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</si>
  <si>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</si>
  <si>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</si>
  <si>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</si>
  <si>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</si>
  <si>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</si>
  <si>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</si>
  <si>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</si>
  <si>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</si>
  <si>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</si>
  <si>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</si>
  <si>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</si>
  <si>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</si>
  <si>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</si>
  <si>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</si>
  <si>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</si>
  <si>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</si>
  <si>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</si>
  <si>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</si>
  <si>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</si>
  <si>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</si>
  <si>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</si>
  <si>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</si>
  <si>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</si>
  <si>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</si>
  <si>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</si>
  <si>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</si>
  <si>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</si>
  <si>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</si>
  <si>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</si>
  <si>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</si>
  <si>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</si>
  <si>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</si>
  <si>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</si>
  <si>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</si>
  <si>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</si>
  <si>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</si>
  <si>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</si>
  <si>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</si>
  <si>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</si>
  <si>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</si>
  <si>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</si>
  <si>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</si>
  <si>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</si>
  <si>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</si>
  <si>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</si>
  <si>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</si>
  <si>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</si>
  <si>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</si>
  <si>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</si>
  <si>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</si>
  <si>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</si>
  <si>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</si>
  <si>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</si>
  <si>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</si>
  <si>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</si>
  <si>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</si>
  <si>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</si>
  <si>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</si>
  <si>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</si>
  <si>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</si>
  <si>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</si>
  <si>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</si>
  <si>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</si>
  <si>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</si>
  <si>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</si>
  <si>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</si>
  <si>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</si>
  <si>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</si>
  <si>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</si>
  <si>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</si>
  <si>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</si>
  <si>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</si>
  <si>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</si>
  <si>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</si>
  <si>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</si>
  <si>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</si>
  <si>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</si>
  <si>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</si>
  <si>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</si>
  <si>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</si>
  <si>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</si>
  <si>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</si>
  <si>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</si>
  <si>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</si>
  <si>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</si>
  <si>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</si>
  <si>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</si>
  <si>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</si>
  <si>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</si>
  <si>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</si>
  <si>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</si>
  <si>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</si>
  <si>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</si>
  <si>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</si>
  <si>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</si>
  <si>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</si>
  <si>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</si>
  <si>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</si>
  <si>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</si>
  <si>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</si>
  <si>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</si>
  <si>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</si>
  <si>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</si>
  <si>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</si>
  <si>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</si>
  <si>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</si>
  <si>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</si>
  <si>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</si>
  <si>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</si>
  <si>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</si>
  <si>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</si>
  <si>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</si>
  <si>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</si>
  <si>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</si>
  <si>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</si>
  <si>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</si>
  <si>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</si>
  <si>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</si>
  <si>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</si>
  <si>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</si>
  <si>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</si>
  <si>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</si>
  <si>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</si>
  <si>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</si>
  <si>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</si>
  <si>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</si>
  <si>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</si>
  <si>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</si>
  <si>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</si>
  <si>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</si>
  <si>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</si>
  <si>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</si>
  <si>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</si>
  <si>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</si>
  <si>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</si>
  <si>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</si>
  <si>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</si>
  <si>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</si>
  <si>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</si>
  <si>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</si>
  <si>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</si>
  <si>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</si>
  <si>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</si>
  <si>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</si>
  <si>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</si>
  <si>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</si>
  <si>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</si>
  <si>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</si>
  <si>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</si>
  <si>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</si>
  <si>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</si>
  <si>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</si>
  <si>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</si>
  <si>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</si>
  <si>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</si>
  <si>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</si>
  <si>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</si>
  <si>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</si>
  <si>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</si>
  <si>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</si>
  <si>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</si>
  <si>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</si>
  <si>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</si>
  <si>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</si>
  <si>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</si>
  <si>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</si>
  <si>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</si>
  <si>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</si>
  <si>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</si>
  <si>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</si>
  <si>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</si>
  <si>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</si>
  <si>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</si>
  <si>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</si>
  <si>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</si>
  <si>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</si>
  <si>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</si>
  <si>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</si>
  <si>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</si>
  <si>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</si>
  <si>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</si>
  <si>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</si>
  <si>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</si>
  <si>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</si>
  <si>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</si>
  <si>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</si>
  <si>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</si>
  <si>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</si>
  <si>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</si>
  <si>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</si>
  <si>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</si>
  <si>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</si>
  <si>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</si>
  <si>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</si>
  <si>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</si>
  <si>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</si>
  <si>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</si>
  <si>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</si>
  <si>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</si>
  <si>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</si>
  <si>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</si>
  <si>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</si>
  <si>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</si>
  <si>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</si>
  <si>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</si>
  <si>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</si>
  <si>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</si>
  <si>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</si>
  <si>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</si>
  <si>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</si>
  <si>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</si>
  <si>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</si>
  <si>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</si>
  <si>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</si>
  <si>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</si>
  <si>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</si>
  <si>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</si>
  <si>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</si>
  <si>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</si>
  <si>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</si>
  <si>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</si>
  <si>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</si>
  <si>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</si>
  <si>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</si>
  <si>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</si>
  <si>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</si>
  <si>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</si>
  <si>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</si>
  <si>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</si>
  <si>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</si>
  <si>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</si>
  <si>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</si>
  <si>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</si>
  <si>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</si>
  <si>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</si>
  <si>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</si>
  <si>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</si>
  <si>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</si>
  <si>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</si>
  <si>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</si>
  <si>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</si>
  <si>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</si>
  <si>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</si>
  <si>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</si>
  <si>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</si>
  <si>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</si>
  <si>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</si>
  <si>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</si>
  <si>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</si>
  <si>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</si>
  <si>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</si>
  <si>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</si>
  <si>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</si>
  <si>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</si>
  <si>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</si>
  <si>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</si>
  <si>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</si>
  <si>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</si>
  <si>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</si>
  <si>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</si>
  <si>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</si>
  <si>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</si>
  <si>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</si>
  <si>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</si>
  <si>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</si>
  <si>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</si>
  <si>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</si>
  <si>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</si>
  <si>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</si>
  <si>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</si>
  <si>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</si>
  <si>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</si>
  <si>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</si>
  <si>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</si>
  <si>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</si>
  <si>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</si>
  <si>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</si>
  <si>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</si>
  <si>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</si>
  <si>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</si>
  <si>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</si>
  <si>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</si>
  <si>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</si>
  <si>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</si>
  <si>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</si>
  <si>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</si>
  <si>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</si>
  <si>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</si>
  <si>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</si>
  <si>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</si>
  <si>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</si>
  <si>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</si>
  <si>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</si>
  <si>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</si>
  <si>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</si>
  <si>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</si>
  <si>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</si>
  <si>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</si>
  <si>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</si>
  <si>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</si>
  <si>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</si>
  <si>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</si>
  <si>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</si>
  <si>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</si>
  <si>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</si>
  <si>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</si>
  <si>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</si>
  <si>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</si>
  <si>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</si>
  <si>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</si>
  <si>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</si>
  <si>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</si>
  <si>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</si>
  <si>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</si>
  <si>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</si>
  <si>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</si>
  <si>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</si>
  <si>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</si>
  <si>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</si>
  <si>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</si>
  <si>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</si>
  <si>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</si>
  <si>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</si>
  <si>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</si>
  <si>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</si>
  <si>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</si>
  <si>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</si>
  <si>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</si>
  <si>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</si>
  <si>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</si>
  <si>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</si>
  <si>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</si>
  <si>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</si>
  <si>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</si>
  <si>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</si>
  <si>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</si>
  <si>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</si>
  <si>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</si>
  <si>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</si>
  <si>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</si>
  <si>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</si>
  <si>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</si>
  <si>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</si>
  <si>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</si>
  <si>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</si>
  <si>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</si>
  <si>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</si>
  <si>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</si>
  <si>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</si>
  <si>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</si>
  <si>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</si>
  <si>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</si>
  <si>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</si>
  <si>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</si>
  <si>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</si>
  <si>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</si>
  <si>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</si>
  <si>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</si>
  <si>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</si>
  <si>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</si>
  <si>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</si>
  <si>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</si>
  <si>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2018PA-509</t>
  </si>
  <si>
    <t>Thompson Gooding</t>
  </si>
  <si>
    <t>President</t>
  </si>
  <si>
    <t>1214 Hickory Drive</t>
  </si>
  <si>
    <t>tgooding@parkterracecompanies.com</t>
  </si>
  <si>
    <t>Oracle Consulting Services</t>
  </si>
  <si>
    <t>Caryn Winter</t>
  </si>
  <si>
    <t>Member</t>
  </si>
  <si>
    <t>P.O. Box 22378</t>
  </si>
  <si>
    <t>c.winter@oracledesign.net</t>
  </si>
  <si>
    <t>McIntosh Woods</t>
  </si>
  <si>
    <t>123 Chastain Loop</t>
  </si>
  <si>
    <t>33.375611°</t>
  </si>
  <si>
    <t>-84.777895°</t>
  </si>
  <si>
    <t>130771703.05</t>
  </si>
  <si>
    <t>Within City Limits</t>
  </si>
  <si>
    <t>City of Newnan, Georgia</t>
  </si>
  <si>
    <t>http://www.cityofnewnan.org</t>
  </si>
  <si>
    <t>Keith Brady</t>
  </si>
  <si>
    <t>Mayor</t>
  </si>
  <si>
    <t>25 LaGrange Street</t>
  </si>
  <si>
    <t>kbrady@cityofnewnan.ord</t>
  </si>
  <si>
    <t>N/A - 4% Bond</t>
  </si>
  <si>
    <t>48 Ball Street</t>
  </si>
  <si>
    <t>Sandra Strozier</t>
  </si>
  <si>
    <t>Executive Director</t>
  </si>
  <si>
    <t>Oracle Newnan 2018, LP</t>
  </si>
  <si>
    <t>Pending</t>
  </si>
  <si>
    <t>Manager</t>
  </si>
  <si>
    <t>Oracle Newnan 2018 GP, LLC</t>
  </si>
  <si>
    <t>PROPOSED - Bank of America Merrill Lynch</t>
  </si>
  <si>
    <t>100 N. Tryon Street</t>
  </si>
  <si>
    <t>Thomas Barry</t>
  </si>
  <si>
    <t>Senior Vice President</t>
  </si>
  <si>
    <t>Charlotte</t>
  </si>
  <si>
    <t>www.baml.com</t>
  </si>
  <si>
    <t>thomas.f.barry@baml.com</t>
  </si>
  <si>
    <t>Same Proposed as Federal Limited Partner</t>
  </si>
  <si>
    <t>Oracle Consulting Services, LLC</t>
  </si>
  <si>
    <t>Park Terrace Development, LLC</t>
  </si>
  <si>
    <t>www.parkterracecompanies.com</t>
  </si>
  <si>
    <t>tgooding@parkterrracecompanies.com</t>
  </si>
  <si>
    <t>To be determined via negotiated bid during design phase</t>
  </si>
  <si>
    <t>PROPOSED - Gateway Management Company</t>
  </si>
  <si>
    <t>22 Inverness Center Pkwy, Suite 222</t>
  </si>
  <si>
    <t>Randy Fleece</t>
  </si>
  <si>
    <t>Birmingham</t>
  </si>
  <si>
    <t>https://thegatewaycompanies.com/</t>
  </si>
  <si>
    <t>rfleece@gatewaymgt.com</t>
  </si>
  <si>
    <t>Adam Saad</t>
  </si>
  <si>
    <t>Partner</t>
  </si>
  <si>
    <t>Saad &amp; Saad LLP</t>
  </si>
  <si>
    <t>500 S. Front Street, Suite 250</t>
  </si>
  <si>
    <t>http://www.saad-startitle.com</t>
  </si>
  <si>
    <t>adamsaad@saad-startitle.com</t>
  </si>
  <si>
    <t>Tidwell Group</t>
  </si>
  <si>
    <t>4249 Easton Way, Suite 210</t>
  </si>
  <si>
    <t>todd.fentress@tidwellgroup.com</t>
  </si>
  <si>
    <t>www.tidwellgroup.com</t>
  </si>
  <si>
    <t>Todd Fentress</t>
  </si>
  <si>
    <t>Managing Partner</t>
  </si>
  <si>
    <t>PROPOSED - Holliday Architects (Architect of record)</t>
  </si>
  <si>
    <t>30 Jackson Road, Suite A-4</t>
  </si>
  <si>
    <t>Scott Nehring</t>
  </si>
  <si>
    <t>Senior Project Manager</t>
  </si>
  <si>
    <t>Medford</t>
  </si>
  <si>
    <t>https://hollidayarchitects.com</t>
  </si>
  <si>
    <t>snehring@hollidayarchitects.com</t>
  </si>
  <si>
    <t>Chastain Park Communities, LLC</t>
  </si>
  <si>
    <t>Charles Bussey (Through Broker)</t>
  </si>
  <si>
    <t>1004 Elaine Court</t>
  </si>
  <si>
    <t>jcharlesbussey@hotmail.com</t>
  </si>
  <si>
    <t>Owner and Consulting Architect</t>
  </si>
  <si>
    <t>There is a conflict of interest between a potential consulting architect and the Owner. Mark Wright, of Oracle Design Group, is a member of the general partner and may assist the architect of record with the design process on a consulting architect basis.</t>
  </si>
  <si>
    <t>For Profit</t>
  </si>
  <si>
    <t>Developer is also a member of the general partner. A member of the general partner may consult with the architect of record during the design process.</t>
  </si>
  <si>
    <t>Same as Federal Ltd Partner</t>
  </si>
  <si>
    <t>Developer is also a member of the general partner</t>
  </si>
  <si>
    <t>Select</t>
  </si>
  <si>
    <t>Bank of America</t>
  </si>
  <si>
    <t>Amortizing</t>
  </si>
  <si>
    <t>DDA/QCT</t>
  </si>
  <si>
    <t>The construction hard cost budget has been developed based on the owner/developer's recent experience, discussions with potential general contractors, and the specifics of the proposed project site and buildings. We believe this is a cost-efficient budget which includes enough money to construction this type of high-quality project.</t>
  </si>
  <si>
    <t>Georgia Department of Community Affairs, South Region</t>
  </si>
  <si>
    <t>MF</t>
  </si>
  <si>
    <t>Electric Heat Pump</t>
  </si>
  <si>
    <t>Miscellaneous Taxes &amp; Fees</t>
  </si>
  <si>
    <t>Real estate tax budget estimate is based upon the findings of the appraiser. Their methodology and results can be found in the Feasibility tab of the application, as well as in the appraisal report.
Insurance budget estimate is based upon a preliminary quote from the applicant's insurance agent.</t>
  </si>
  <si>
    <t>The applicant has taken every effort to ensure the proposed project is feasible, viable, and meets all goals and requirements of the QAP. Budgeted costs are based on the Development Team's previous expereince with similar projects and any project-specific data that is currently available. Construciton costs are based on discussions with general contractors about current market pricing.</t>
  </si>
  <si>
    <t>Budgeted development costs are below DCA cost limits.</t>
  </si>
  <si>
    <t>The proposed project will have a family tenancy.</t>
  </si>
  <si>
    <t>Agree</t>
  </si>
  <si>
    <t>Monthly birthday parties</t>
  </si>
  <si>
    <t>Monthly classes of interest to residents. May be taught by manager or outside organization</t>
  </si>
  <si>
    <t>The proposed project does not involve rehabilitation of existing congregate supportive housing, therefore question IV.C has been intentionally left blank.</t>
  </si>
  <si>
    <t>Bowen National Research</t>
  </si>
  <si>
    <t>9 months</t>
  </si>
  <si>
    <t>Columbia Woods</t>
  </si>
  <si>
    <t>2015-011</t>
  </si>
  <si>
    <t>Foxworth Forest</t>
  </si>
  <si>
    <t>Newnan Crossing</t>
  </si>
  <si>
    <t>2006-029</t>
  </si>
  <si>
    <t>Pines by the Creek</t>
  </si>
  <si>
    <t>2011-029</t>
  </si>
  <si>
    <t>Forest at York</t>
  </si>
  <si>
    <t>2014-021</t>
  </si>
  <si>
    <t>Wisteria Place</t>
  </si>
  <si>
    <t>The market study included with this application shows strong support for the proposed project, unit mix, and amenities. The capture rate for the project is well below DCA maximum. This will provide much-needed affordbale housing within a strong community with substantial unmet demand. At the time of application, DCA's previous project mapping database was locked for credentialled users only. Therefore some project numbers were unavailable.</t>
  </si>
  <si>
    <t>Crown Appraisal Group</t>
  </si>
  <si>
    <t>The appraisal included with this application substantiates the purchase price. There is no identity of interest between applicant and seller, therefore question VI.C has been intentionally left blank. The proposed project does not involve the use of HOME funds, therefore question VI.B.4 has been intentionally left blank.</t>
  </si>
  <si>
    <t>TTL, Inc.</t>
  </si>
  <si>
    <t>Noise - The environmental professional (TTL) evaluated the subject site for potential impacts from noise sources. The site is not within the specified distances of any roadway with AADT greater than 10,000, any railroad, or any military airfield. The site is within 5 miles of a civilian airport, and TTL utilized airport traffic data to complete the HUD Airport Noise Worksheet. Based on the results of the worksheet exercise, “it is assumed that the noise attributed to the airplanes will not extend beyond the boundaries of the airport.” For this reason, no further noise assessment activities were conducted for the nearby airport operations or other noise sources.
Wetlands and Flood Zone - A portion of the subject site contains 100-year flood zone and/or suspected wetlands. The proposed development was intentionally designed around these areas, and will not impact or encroach upon these areas or any associated buffers. The land which is covered by the wetlands and flood zone is still highly valuable to the project, as the density allowed by these areas contributes to the allowable number of units which can be built on the site under the local zoning restrictions.
HOME/HUD - The proposed project does not involve and HUD or HOMD funding, therefore questions F through J have been intentionally left blank.</t>
  </si>
  <si>
    <t>Purchase Contract</t>
  </si>
  <si>
    <t>Oracle Consulting Services, LLC (with unilateral right to assign)</t>
  </si>
  <si>
    <t>The applicant has site control by virtue of the enclosed purchase contract and ammendments. There is a conflict of interest between the entity with site control (the Developer) and the applicant: The Developer is the managing member of the applicant, and will assign the purchase contract to the applicant before land closing.</t>
  </si>
  <si>
    <t>The proposed project will be accessible from Greison Trail, a paved public roadway. This is indicated on the site plan, and is shown on the aerial photographs and site photos.</t>
  </si>
  <si>
    <t>N/Ap</t>
  </si>
  <si>
    <t>The included zoning letter confirms the current zoning classification (RU-2) and the land use classification (Townhouse Residential) under the current zoning ordinance. The site is currently vacant. The included zoning ordinance excerpts show the requirements of the zoning district and the dimensional requirements (setbacks, density, unit size, etc.). An administrative variance from the minimum unit sizes was granted by the City of Newnan, and evidence of such variance is included in this application.</t>
  </si>
  <si>
    <t>None included in project</t>
  </si>
  <si>
    <t>Newnan Utilities</t>
  </si>
  <si>
    <t>The Newnan Utilities department has confirmed the ability to serve this project with electricity service.</t>
  </si>
  <si>
    <t>The Newnan Utilities department has confirmed the ability to serve this project with water and sewer services. There is a sewer line running through the subject site, and water service is available in public right of way along Greison Trail. With respect to question XII.C, there are no easements required for water and sewer service, but commitments from the local water and sewer authority to serve the property are included in the application. The proposed project does not include any single-family detatched component or any annexation or infrastructure improvements, therefore questions XII.A.2 and XII.D are intentionally left blank.</t>
  </si>
  <si>
    <t>Covered Porch</t>
  </si>
  <si>
    <t>On-site laundry</t>
  </si>
  <si>
    <t>Furnished Exercise /Fitness Center</t>
  </si>
  <si>
    <t>Applicant agrees to provide all required and additional amenities as noted above. The proposed project will have a Family tenancy, therefore questions XIII.D.1 and XIII.D.2 are intentionally left blank.</t>
  </si>
  <si>
    <t>The proposed project involves only new construction, therefore section XIV has been intentionally left blank.</t>
  </si>
  <si>
    <t>All required maps, photographs, and site plan information has been provided as required.</t>
  </si>
  <si>
    <t>Applicant agrees to adhere to all building sustainability requirements of the 2018 QAP.</t>
  </si>
  <si>
    <t>PROPOSED - Zeffert &amp; Associates</t>
  </si>
  <si>
    <t>The applicant will adhere to all DCA accessibility requirements under the 2018 QAP.</t>
  </si>
  <si>
    <t>The applicant will adhere to all DCA design and quality standards. The proposed project does not involve rehabilitation, therefore question XVIII.A has been intentionally left blank.</t>
  </si>
  <si>
    <t>The applicant received approval to submit the proposed project under the 2018 QAP, and was directed by DCA that this QD wuld be valid and the applicant could submit the proposed project in 2019.</t>
  </si>
  <si>
    <t>The proposed project is not applying for the non-profit setaside, therefore section XXI has been intentionally left blank.</t>
  </si>
  <si>
    <t>The proposed project is not applying for the rural HOME preservation setaside, therefore section XXII has been intentionally left blank.</t>
  </si>
  <si>
    <t>The proposed project is not applying for the CHDO setaside, therefore section XXIII has been intentionally left blank.</t>
  </si>
  <si>
    <t>The proposed project does not involve any elements noted above which would require legal opinions. Therefore section XXIV has been intentionally left blank.</t>
  </si>
  <si>
    <t>The proposed project site is currently vacant and the project will not relocate or displace any current tenants/occupants. Therefore most of section XXV has been intentionally left blank.</t>
  </si>
  <si>
    <t>The applicant agrees to adhere to all DCA requirements for Affirmatively Furthering Fair Housing.</t>
  </si>
  <si>
    <t>The proposed project represents an excellent utilization of DCA resources. All underwriting is within DCA quidelines, and the project does not require any of DCA's limited resources (9% credits, HOME funds, etc.). This project will bring affordable rental units to an underserved area for 15-years during the compliance period, then will assist low-income tenants with beginning homeownership as they are able after this period.</t>
  </si>
  <si>
    <t xml:space="preserve">     The proposed McIntosh Woods project involves new construction of 96 townhome units on approximately 15 acres of a 19 acre tract at the intersection of Greison Trail and McIntosh Parkway within the city limits of Newnan, (Coweta County) Georgia. (The remaining portions of the parcel are located in wetland and/or flood zones and will not be disturbed, but contribute significant value to the project by increasing the allowable density of the project.) Newnan is an established, growing community approximately 40 minutes southwest of downtown Atlanta. Most of the comparable properties in the area are utilizing wait lists for new tenants, and this project will provide quality affordable housing to a population which is currently underserved.  The proposed project will target family tenancy and will feature family-oriented amenities such as a clubhouse with fitness center and computer center, playground, on-site management, and outdoor spaces such as a grilling pavilion and covered patio gathering area. Units will be a mix of two- and three-bedroom, and rents will be targeted to families at 60% AMI. The anticipated financing for this project will come from a mixture of federal and state 4% LIHTC equity and mortgage debt. Some or all of the construction and/or permanent debt will be financed with tax-exempt financing. The applicant has already secured bond inducement and TEFRA approval.
     The proposed project will consist of individually-platted condo/townhome units and has a tenant ownership plan in place which outlines the means by which existing tenants shall have a right of first refusal to purchase their units at the end of the 15-year compliance period, in accordance with all Section 42 requirements. The applicant requests DCA’s cooperation in executing this tenant ownership plan, including the release of LURC requirements for units which are sold under the tenant ownership plan, in accordance with Section 42 guidelines, at the end of the 15-year compliance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</si>
</sst>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82" fontId="45" fillId="5" borderId="30" xfId="0" quotePrefix="1"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167" fontId="45" fillId="5" borderId="2" xfId="0" applyNumberFormat="1" applyFont="1" applyFill="1" applyBorder="1" applyAlignment="1" applyProtection="1">
      <alignment horizontal="left" vertical="center"/>
      <protection locked="0"/>
    </xf>
    <xf numFmtId="0" fontId="45" fillId="0" borderId="19" xfId="0" applyFont="1" applyBorder="1" applyProtection="1">
      <protection locked="0"/>
    </xf>
    <xf numFmtId="169" fontId="45" fillId="5" borderId="82"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29" xfId="0" applyFont="1" applyBorder="1" applyProtection="1">
      <protection locked="0"/>
    </xf>
    <xf numFmtId="167" fontId="45" fillId="0" borderId="58" xfId="0" applyNumberFormat="1" applyFont="1" applyBorder="1" applyProtection="1">
      <protection locked="0"/>
    </xf>
    <xf numFmtId="167" fontId="45" fillId="0" borderId="29"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2" fillId="5" borderId="77"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28" xfId="0" applyNumberFormat="1" applyFont="1" applyFill="1" applyBorder="1" applyAlignment="1" applyProtection="1">
      <alignment horizontal="right" vertical="center"/>
      <protection locked="0"/>
    </xf>
    <xf numFmtId="38" fontId="45" fillId="5" borderId="29" xfId="0" applyNumberFormat="1" applyFont="1" applyFill="1" applyBorder="1" applyAlignment="1" applyProtection="1">
      <alignment horizontal="righ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81" xfId="0" applyFont="1" applyFill="1" applyBorder="1" applyAlignment="1" applyProtection="1">
      <alignment horizontal="left" vertical="center" wrapText="1"/>
      <protection locked="0"/>
    </xf>
    <xf numFmtId="0" fontId="2" fillId="5" borderId="85"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175" fontId="2" fillId="5" borderId="81" xfId="0" applyNumberFormat="1" applyFont="1" applyFill="1" applyBorder="1" applyAlignment="1" applyProtection="1">
      <alignment horizontal="left" vertical="center"/>
      <protection locked="0"/>
    </xf>
    <xf numFmtId="175" fontId="2" fillId="5" borderId="82" xfId="0" applyNumberFormat="1" applyFont="1" applyFill="1" applyBorder="1" applyAlignment="1" applyProtection="1">
      <alignment horizontal="left" vertical="center"/>
      <protection locked="0"/>
    </xf>
    <xf numFmtId="0" fontId="2"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81" xfId="1" applyNumberFormat="1" applyFont="1" applyFill="1" applyBorder="1" applyAlignment="1" applyProtection="1">
      <alignment vertical="center"/>
      <protection locked="0"/>
    </xf>
    <xf numFmtId="38" fontId="11" fillId="5" borderId="82" xfId="1" applyNumberFormat="1" applyFont="1" applyFill="1" applyBorder="1" applyAlignment="1" applyProtection="1">
      <alignment vertical="center"/>
      <protection locked="0"/>
    </xf>
    <xf numFmtId="3" fontId="11" fillId="5" borderId="81" xfId="0" applyNumberFormat="1" applyFont="1" applyFill="1" applyBorder="1" applyAlignment="1" applyProtection="1">
      <alignment horizontal="right" vertical="center"/>
      <protection locked="0"/>
    </xf>
    <xf numFmtId="3" fontId="11" fillId="5" borderId="82" xfId="0" applyNumberFormat="1" applyFont="1" applyFill="1" applyBorder="1" applyAlignment="1" applyProtection="1">
      <alignment horizontal="right" vertical="center"/>
      <protection locked="0"/>
    </xf>
    <xf numFmtId="38" fontId="11" fillId="5" borderId="81" xfId="1" applyNumberFormat="1" applyFont="1" applyFill="1" applyBorder="1" applyAlignment="1" applyProtection="1">
      <alignment horizontal="right" vertical="center"/>
      <protection locked="0"/>
    </xf>
    <xf numFmtId="38" fontId="11" fillId="5" borderId="82" xfId="1" applyNumberFormat="1" applyFont="1" applyFill="1" applyBorder="1" applyAlignment="1" applyProtection="1">
      <alignment horizontal="righ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10" fontId="13" fillId="5" borderId="26" xfId="0" applyNumberFormat="1" applyFont="1" applyFill="1" applyBorder="1" applyAlignment="1" applyProtection="1">
      <alignment horizontal="left" vertical="center"/>
      <protection locked="0"/>
    </xf>
    <xf numFmtId="10" fontId="13" fillId="5" borderId="32" xfId="0" applyNumberFormat="1" applyFont="1" applyFill="1" applyBorder="1" applyAlignment="1" applyProtection="1">
      <alignment horizontal="left" vertical="center"/>
      <protection locked="0"/>
    </xf>
    <xf numFmtId="0" fontId="13" fillId="5" borderId="31" xfId="0" applyFont="1" applyFill="1" applyBorder="1" applyAlignment="1" applyProtection="1">
      <alignment horizontal="left" vertical="center"/>
      <protection locked="0"/>
    </xf>
    <xf numFmtId="38" fontId="53" fillId="11" borderId="81" xfId="2" applyNumberFormat="1" applyFont="1" applyFill="1" applyBorder="1" applyAlignment="1" applyProtection="1">
      <alignment horizontal="right" vertical="center"/>
      <protection locked="0"/>
    </xf>
    <xf numFmtId="38" fontId="53" fillId="11" borderId="82" xfId="2" applyNumberFormat="1" applyFont="1" applyFill="1" applyBorder="1" applyAlignment="1" applyProtection="1">
      <alignment horizontal="right"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RowHeight="12.75"/>
  <cols>
    <col min="1" max="1" width="144.85546875" style="28" customWidth="1"/>
    <col min="2" max="16384" width="9.140625" style="28"/>
  </cols>
  <sheetData>
    <row r="1" spans="1:6" ht="15" customHeight="1">
      <c r="A1" s="1047" t="s">
        <v>988</v>
      </c>
    </row>
    <row r="2" spans="1:6" ht="15" customHeight="1">
      <c r="A2" s="1048" t="str">
        <f>'Part I-Project Information'!F34</f>
        <v>McIntosh Woods</v>
      </c>
    </row>
    <row r="3" spans="1:6" ht="15" customHeight="1">
      <c r="A3" s="1048" t="str">
        <f>CONCATENATE('Part I-Project Information'!F38,", ", 'Part I-Project Information'!J39," County")</f>
        <v>Newnan, Coweta County</v>
      </c>
    </row>
    <row r="4" spans="1:6" ht="12" customHeight="1"/>
    <row r="5" spans="1:6" ht="111" customHeight="1">
      <c r="A5" s="2510" t="s">
        <v>4822</v>
      </c>
      <c r="B5" s="2511" t="s">
        <v>2930</v>
      </c>
      <c r="C5" s="2511"/>
      <c r="D5" s="2511"/>
      <c r="E5" s="2511"/>
      <c r="F5" s="2511"/>
    </row>
    <row r="6" spans="1:6" ht="6.6" customHeight="1">
      <c r="A6" s="2510"/>
      <c r="B6" s="2511"/>
      <c r="C6" s="2511"/>
      <c r="D6" s="2511"/>
      <c r="E6" s="2511"/>
      <c r="F6" s="2511"/>
    </row>
    <row r="7" spans="1:6" ht="93" customHeight="1">
      <c r="A7" s="2510"/>
      <c r="B7" s="2511"/>
      <c r="C7" s="2511"/>
      <c r="D7" s="2511"/>
      <c r="E7" s="2511"/>
      <c r="F7" s="2511"/>
    </row>
    <row r="8" spans="1:6" ht="6.6" customHeight="1">
      <c r="A8" s="2510"/>
    </row>
    <row r="9" spans="1:6" ht="93" customHeight="1">
      <c r="A9" s="2510"/>
    </row>
    <row r="10" spans="1:6" ht="6.6" customHeight="1">
      <c r="A10" s="2510"/>
    </row>
    <row r="11" spans="1:6" ht="93" customHeight="1">
      <c r="A11" s="2510"/>
    </row>
    <row r="12" spans="1:6" ht="6.6" customHeight="1">
      <c r="A12" s="2510"/>
    </row>
    <row r="13" spans="1:6" ht="93" customHeight="1">
      <c r="A13" s="2510"/>
    </row>
    <row r="14" spans="1:6" ht="6.6" customHeight="1">
      <c r="A14" s="2510"/>
    </row>
    <row r="15" spans="1:6" ht="93" customHeight="1">
      <c r="A15" s="2510"/>
    </row>
    <row r="16" spans="1:6" ht="6.6" customHeight="1">
      <c r="A16" s="2510"/>
    </row>
    <row r="17" spans="1:1" ht="93" customHeight="1">
      <c r="A17" s="2510"/>
    </row>
    <row r="18" spans="1:1" ht="6.6" customHeight="1">
      <c r="A18" s="2510"/>
    </row>
    <row r="19" spans="1:1" ht="93" customHeight="1">
      <c r="A19" s="2510"/>
    </row>
    <row r="20" spans="1:1" ht="6.6" customHeight="1">
      <c r="A20" s="2510"/>
    </row>
    <row r="21" spans="1:1" ht="93" customHeight="1">
      <c r="A21" s="2510"/>
    </row>
    <row r="22" spans="1:1" ht="6.6" customHeight="1">
      <c r="A22" s="2510"/>
    </row>
    <row r="23" spans="1:1" ht="93" customHeight="1">
      <c r="A23" s="2510"/>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H11" sqref="H11"/>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915" t="str">
        <f>CONCATENATE("PART SIX - PROJECTED REVENUES &amp; EXPENSES","  -  ",'Part I-Project Information'!$O$6," ",'Part I-Project Information'!$F$34,", ",'Part I-Project Information'!F38,", ",'Part I-Project Information'!J39," County")</f>
        <v>PART SIX - PROJECTED REVENUES &amp; EXPENSES  -  2018-0 McIntosh Woods, Newnan, Coweta County</v>
      </c>
      <c r="B1" s="2916"/>
      <c r="C1" s="2916"/>
      <c r="D1" s="2916"/>
      <c r="E1" s="2916"/>
      <c r="F1" s="2916"/>
      <c r="G1" s="2916"/>
      <c r="H1" s="2916"/>
      <c r="I1" s="2916"/>
      <c r="J1" s="2916"/>
      <c r="K1" s="2916"/>
      <c r="L1" s="2916"/>
      <c r="M1" s="2916"/>
      <c r="N1" s="2916"/>
      <c r="O1" s="2916"/>
      <c r="P1" s="2917"/>
      <c r="U1" s="3100" t="str">
        <f>A1</f>
        <v>PART SIX - PROJECTED REVENUES &amp; EXPENSES  -  2018-0 McIntosh Woods, Newnan, Coweta County</v>
      </c>
      <c r="V1" s="3100"/>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3594</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01" t="s">
        <v>3445</v>
      </c>
      <c r="JD3" s="3101" t="s">
        <v>3446</v>
      </c>
      <c r="JE3" s="3101" t="s">
        <v>3447</v>
      </c>
      <c r="JF3" s="3101" t="s">
        <v>3448</v>
      </c>
      <c r="JG3" s="3101"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03" t="s">
        <v>3730</v>
      </c>
      <c r="Q4" s="1380"/>
      <c r="R4" s="507"/>
      <c r="S4" s="507"/>
      <c r="T4" s="507"/>
      <c r="U4" s="507"/>
      <c r="V4" s="508"/>
      <c r="W4" s="3102" t="s">
        <v>928</v>
      </c>
      <c r="X4" s="3102" t="s">
        <v>764</v>
      </c>
      <c r="Y4" s="3102" t="s">
        <v>765</v>
      </c>
      <c r="Z4" s="3102" t="s">
        <v>766</v>
      </c>
      <c r="AA4" s="3102" t="s">
        <v>767</v>
      </c>
      <c r="AB4" s="3102" t="s">
        <v>929</v>
      </c>
      <c r="AC4" s="3102" t="s">
        <v>2326</v>
      </c>
      <c r="AD4" s="3102" t="s">
        <v>2327</v>
      </c>
      <c r="AE4" s="3102" t="s">
        <v>2328</v>
      </c>
      <c r="AF4" s="3102" t="s">
        <v>2329</v>
      </c>
      <c r="AG4" s="3102" t="s">
        <v>930</v>
      </c>
      <c r="AH4" s="3102" t="s">
        <v>2330</v>
      </c>
      <c r="AI4" s="3102" t="s">
        <v>2331</v>
      </c>
      <c r="AJ4" s="3102" t="s">
        <v>2332</v>
      </c>
      <c r="AK4" s="3102" t="s">
        <v>2333</v>
      </c>
      <c r="AL4" s="3102" t="s">
        <v>130</v>
      </c>
      <c r="AM4" s="3102" t="s">
        <v>2334</v>
      </c>
      <c r="AN4" s="3102" t="s">
        <v>2335</v>
      </c>
      <c r="AO4" s="3102" t="s">
        <v>2336</v>
      </c>
      <c r="AP4" s="3102" t="s">
        <v>1158</v>
      </c>
      <c r="AQ4" s="3102" t="s">
        <v>561</v>
      </c>
      <c r="AR4" s="3102" t="s">
        <v>562</v>
      </c>
      <c r="AS4" s="3102" t="s">
        <v>582</v>
      </c>
      <c r="AT4" s="3102" t="s">
        <v>583</v>
      </c>
      <c r="AU4" s="3102" t="s">
        <v>584</v>
      </c>
      <c r="AV4" s="3102" t="s">
        <v>585</v>
      </c>
      <c r="AW4" s="3102" t="s">
        <v>586</v>
      </c>
      <c r="AX4" s="3102" t="s">
        <v>587</v>
      </c>
      <c r="AY4" s="3102" t="s">
        <v>588</v>
      </c>
      <c r="AZ4" s="3102" t="s">
        <v>589</v>
      </c>
      <c r="BA4" s="3102" t="s">
        <v>590</v>
      </c>
      <c r="BB4" s="3102" t="s">
        <v>591</v>
      </c>
      <c r="BC4" s="3102" t="s">
        <v>940</v>
      </c>
      <c r="BD4" s="3102" t="s">
        <v>941</v>
      </c>
      <c r="BE4" s="3102" t="s">
        <v>942</v>
      </c>
      <c r="BF4" s="3102" t="s">
        <v>501</v>
      </c>
      <c r="BG4" s="3102" t="s">
        <v>502</v>
      </c>
      <c r="BH4" s="3102" t="s">
        <v>503</v>
      </c>
      <c r="BI4" s="3102" t="s">
        <v>504</v>
      </c>
      <c r="BJ4" s="3102" t="s">
        <v>505</v>
      </c>
      <c r="BK4" s="3102" t="s">
        <v>889</v>
      </c>
      <c r="BL4" s="3102" t="s">
        <v>890</v>
      </c>
      <c r="BM4" s="3102" t="s">
        <v>891</v>
      </c>
      <c r="BN4" s="3102" t="s">
        <v>892</v>
      </c>
      <c r="BO4" s="3102" t="s">
        <v>893</v>
      </c>
      <c r="BP4" s="3102" t="s">
        <v>894</v>
      </c>
      <c r="BQ4" s="3102" t="s">
        <v>895</v>
      </c>
      <c r="BR4" s="3102" t="s">
        <v>896</v>
      </c>
      <c r="BS4" s="3102" t="s">
        <v>897</v>
      </c>
      <c r="BT4" s="3102" t="s">
        <v>898</v>
      </c>
      <c r="BU4" s="3102" t="s">
        <v>2446</v>
      </c>
      <c r="BV4" s="3102" t="s">
        <v>2447</v>
      </c>
      <c r="BW4" s="3102" t="s">
        <v>2448</v>
      </c>
      <c r="BX4" s="3102" t="s">
        <v>2449</v>
      </c>
      <c r="BY4" s="3102" t="s">
        <v>2450</v>
      </c>
      <c r="BZ4" s="3102" t="s">
        <v>118</v>
      </c>
      <c r="CA4" s="3102" t="s">
        <v>1161</v>
      </c>
      <c r="CB4" s="3102" t="s">
        <v>1162</v>
      </c>
      <c r="CC4" s="3102" t="s">
        <v>1225</v>
      </c>
      <c r="CD4" s="3102" t="s">
        <v>1226</v>
      </c>
      <c r="CE4" s="3105" t="s">
        <v>133</v>
      </c>
      <c r="CF4" s="3105" t="s">
        <v>1227</v>
      </c>
      <c r="CG4" s="3105" t="s">
        <v>1228</v>
      </c>
      <c r="CH4" s="3105" t="s">
        <v>1229</v>
      </c>
      <c r="CI4" s="3105" t="s">
        <v>1230</v>
      </c>
      <c r="CJ4" s="3105" t="s">
        <v>132</v>
      </c>
      <c r="CK4" s="3105" t="s">
        <v>920</v>
      </c>
      <c r="CL4" s="3105" t="s">
        <v>921</v>
      </c>
      <c r="CM4" s="3105" t="s">
        <v>922</v>
      </c>
      <c r="CN4" s="3105" t="s">
        <v>923</v>
      </c>
      <c r="CO4" s="3105" t="s">
        <v>131</v>
      </c>
      <c r="CP4" s="3105" t="s">
        <v>924</v>
      </c>
      <c r="CQ4" s="3105" t="s">
        <v>925</v>
      </c>
      <c r="CR4" s="3105" t="s">
        <v>926</v>
      </c>
      <c r="CS4" s="3105" t="s">
        <v>927</v>
      </c>
      <c r="CT4" s="3105" t="s">
        <v>817</v>
      </c>
      <c r="CU4" s="3105" t="s">
        <v>818</v>
      </c>
      <c r="CV4" s="3105" t="s">
        <v>819</v>
      </c>
      <c r="CW4" s="3105" t="s">
        <v>820</v>
      </c>
      <c r="CX4" s="3105" t="s">
        <v>821</v>
      </c>
      <c r="CY4" s="3105" t="s">
        <v>966</v>
      </c>
      <c r="CZ4" s="3105" t="s">
        <v>967</v>
      </c>
      <c r="DA4" s="3105" t="s">
        <v>968</v>
      </c>
      <c r="DB4" s="3105" t="s">
        <v>969</v>
      </c>
      <c r="DC4" s="3105" t="s">
        <v>2445</v>
      </c>
      <c r="DD4" s="3105" t="s">
        <v>1445</v>
      </c>
      <c r="DE4" s="3105" t="s">
        <v>1446</v>
      </c>
      <c r="DF4" s="3105" t="s">
        <v>1447</v>
      </c>
      <c r="DG4" s="3105" t="s">
        <v>1448</v>
      </c>
      <c r="DH4" s="3105" t="s">
        <v>1449</v>
      </c>
      <c r="DI4" s="3105" t="s">
        <v>438</v>
      </c>
      <c r="DJ4" s="3105" t="s">
        <v>439</v>
      </c>
      <c r="DK4" s="3105" t="s">
        <v>440</v>
      </c>
      <c r="DL4" s="3105" t="s">
        <v>441</v>
      </c>
      <c r="DM4" s="3105" t="s">
        <v>442</v>
      </c>
      <c r="DN4" s="3105" t="s">
        <v>17</v>
      </c>
      <c r="DO4" s="3105" t="s">
        <v>18</v>
      </c>
      <c r="DP4" s="3105" t="s">
        <v>19</v>
      </c>
      <c r="DQ4" s="3105" t="s">
        <v>20</v>
      </c>
      <c r="DR4" s="3105" t="s">
        <v>21</v>
      </c>
      <c r="DS4" s="3105" t="s">
        <v>224</v>
      </c>
      <c r="DT4" s="3105" t="s">
        <v>225</v>
      </c>
      <c r="DU4" s="3105" t="s">
        <v>226</v>
      </c>
      <c r="DV4" s="3105" t="s">
        <v>1824</v>
      </c>
      <c r="DW4" s="3105" t="s">
        <v>1825</v>
      </c>
      <c r="DX4" s="3105" t="s">
        <v>1826</v>
      </c>
      <c r="DY4" s="3105" t="s">
        <v>598</v>
      </c>
      <c r="DZ4" s="3105" t="s">
        <v>599</v>
      </c>
      <c r="EA4" s="3105" t="s">
        <v>600</v>
      </c>
      <c r="EB4" s="3105" t="s">
        <v>601</v>
      </c>
      <c r="EC4" s="3105" t="s">
        <v>22</v>
      </c>
      <c r="ED4" s="3105" t="s">
        <v>23</v>
      </c>
      <c r="EE4" s="3105" t="s">
        <v>24</v>
      </c>
      <c r="EF4" s="3105" t="s">
        <v>25</v>
      </c>
      <c r="EG4" s="3105" t="s">
        <v>26</v>
      </c>
      <c r="EH4" s="3105" t="s">
        <v>500</v>
      </c>
      <c r="EI4" s="3105" t="s">
        <v>434</v>
      </c>
      <c r="EJ4" s="3105" t="s">
        <v>435</v>
      </c>
      <c r="EK4" s="3105" t="s">
        <v>436</v>
      </c>
      <c r="EL4" s="3105" t="s">
        <v>437</v>
      </c>
      <c r="EM4" s="3105" t="s">
        <v>2224</v>
      </c>
      <c r="EN4" s="3105" t="s">
        <v>2225</v>
      </c>
      <c r="EO4" s="3105" t="s">
        <v>2226</v>
      </c>
      <c r="EP4" s="3105" t="s">
        <v>1491</v>
      </c>
      <c r="EQ4" s="3105" t="s">
        <v>1492</v>
      </c>
      <c r="ER4" s="3105" t="s">
        <v>27</v>
      </c>
      <c r="ES4" s="3105" t="s">
        <v>28</v>
      </c>
      <c r="ET4" s="3105" t="s">
        <v>29</v>
      </c>
      <c r="EU4" s="3105" t="s">
        <v>30</v>
      </c>
      <c r="EV4" s="3105"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01" t="s">
        <v>1637</v>
      </c>
      <c r="IE4" s="3101" t="s">
        <v>2540</v>
      </c>
      <c r="IF4" s="3101" t="s">
        <v>2541</v>
      </c>
      <c r="IG4" s="3101" t="s">
        <v>388</v>
      </c>
      <c r="IH4" s="3101" t="s">
        <v>389</v>
      </c>
      <c r="II4" s="3101" t="s">
        <v>390</v>
      </c>
      <c r="IJ4" s="3101" t="s">
        <v>391</v>
      </c>
      <c r="IK4" s="3101" t="s">
        <v>392</v>
      </c>
      <c r="IL4" s="3101" t="s">
        <v>393</v>
      </c>
      <c r="IM4" s="3101" t="s">
        <v>394</v>
      </c>
      <c r="IN4" s="3101" t="s">
        <v>204</v>
      </c>
      <c r="IO4" s="3101" t="s">
        <v>205</v>
      </c>
      <c r="IP4" s="3101" t="s">
        <v>206</v>
      </c>
      <c r="IQ4" s="3101" t="s">
        <v>207</v>
      </c>
      <c r="IR4" s="3101" t="s">
        <v>208</v>
      </c>
      <c r="IS4" s="3101" t="s">
        <v>209</v>
      </c>
      <c r="IT4" s="3101" t="s">
        <v>210</v>
      </c>
      <c r="IU4" s="3101" t="s">
        <v>211</v>
      </c>
      <c r="IV4" s="3101" t="s">
        <v>212</v>
      </c>
      <c r="IW4" s="3101" t="s">
        <v>213</v>
      </c>
      <c r="IX4" s="3101" t="s">
        <v>214</v>
      </c>
      <c r="IY4" s="3101" t="s">
        <v>215</v>
      </c>
      <c r="IZ4" s="3101" t="s">
        <v>216</v>
      </c>
      <c r="JA4" s="3101" t="s">
        <v>217</v>
      </c>
      <c r="JB4" s="3101" t="s">
        <v>218</v>
      </c>
      <c r="JC4" s="3101"/>
      <c r="JD4" s="3101"/>
      <c r="JE4" s="3101"/>
      <c r="JF4" s="3101"/>
      <c r="JG4" s="3101"/>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06" t="str">
        <f>IF(A48&gt;0,"Finish Row!","")</f>
        <v/>
      </c>
      <c r="B5" s="4" t="s">
        <v>1860</v>
      </c>
      <c r="D5" s="1"/>
      <c r="E5" s="4"/>
      <c r="F5" s="1"/>
      <c r="G5" s="2502"/>
      <c r="H5" s="1300"/>
      <c r="I5" s="1381" t="s">
        <v>806</v>
      </c>
      <c r="J5" s="1381" t="s">
        <v>3589</v>
      </c>
      <c r="K5" s="3098" t="s">
        <v>4675</v>
      </c>
      <c r="L5" s="3099"/>
      <c r="M5" s="1386" t="s">
        <v>581</v>
      </c>
      <c r="O5" s="1383" t="s">
        <v>1045</v>
      </c>
      <c r="P5" s="3103"/>
      <c r="Q5" s="1380"/>
      <c r="R5" s="102"/>
      <c r="S5" s="102"/>
      <c r="T5" s="102"/>
      <c r="W5" s="3102"/>
      <c r="X5" s="3102"/>
      <c r="Y5" s="3102"/>
      <c r="Z5" s="3102"/>
      <c r="AA5" s="3102"/>
      <c r="AB5" s="3102"/>
      <c r="AC5" s="3102"/>
      <c r="AD5" s="3102"/>
      <c r="AE5" s="3102"/>
      <c r="AF5" s="3102"/>
      <c r="AG5" s="3102"/>
      <c r="AH5" s="3102"/>
      <c r="AI5" s="3102"/>
      <c r="AJ5" s="3102"/>
      <c r="AK5" s="3102"/>
      <c r="AL5" s="3102"/>
      <c r="AM5" s="3102"/>
      <c r="AN5" s="3102"/>
      <c r="AO5" s="3102"/>
      <c r="AP5" s="3102"/>
      <c r="AQ5" s="3102"/>
      <c r="AR5" s="3102"/>
      <c r="AS5" s="3102"/>
      <c r="AT5" s="3102"/>
      <c r="AU5" s="3102"/>
      <c r="AV5" s="3102"/>
      <c r="AW5" s="3102"/>
      <c r="AX5" s="3102"/>
      <c r="AY5" s="3102"/>
      <c r="AZ5" s="3102"/>
      <c r="BA5" s="3102"/>
      <c r="BB5" s="3102"/>
      <c r="BC5" s="3102"/>
      <c r="BD5" s="3102"/>
      <c r="BE5" s="3102"/>
      <c r="BF5" s="3102"/>
      <c r="BG5" s="3102"/>
      <c r="BH5" s="3102"/>
      <c r="BI5" s="3102"/>
      <c r="BJ5" s="3102"/>
      <c r="BK5" s="3102"/>
      <c r="BL5" s="3102"/>
      <c r="BM5" s="3102"/>
      <c r="BN5" s="3102"/>
      <c r="BO5" s="3102"/>
      <c r="BP5" s="3102"/>
      <c r="BQ5" s="3102"/>
      <c r="BR5" s="3102"/>
      <c r="BS5" s="3102"/>
      <c r="BT5" s="3102"/>
      <c r="BU5" s="3102"/>
      <c r="BV5" s="3102"/>
      <c r="BW5" s="3102"/>
      <c r="BX5" s="3102"/>
      <c r="BY5" s="3102"/>
      <c r="BZ5" s="3102"/>
      <c r="CA5" s="3102"/>
      <c r="CB5" s="3102"/>
      <c r="CC5" s="3102"/>
      <c r="CD5" s="3102"/>
      <c r="CE5" s="3105"/>
      <c r="CF5" s="3105"/>
      <c r="CG5" s="3105"/>
      <c r="CH5" s="3105"/>
      <c r="CI5" s="3105"/>
      <c r="CJ5" s="3105"/>
      <c r="CK5" s="3105"/>
      <c r="CL5" s="3105"/>
      <c r="CM5" s="3105"/>
      <c r="CN5" s="3105"/>
      <c r="CO5" s="3105"/>
      <c r="CP5" s="3105"/>
      <c r="CQ5" s="3105"/>
      <c r="CR5" s="3105"/>
      <c r="CS5" s="3105"/>
      <c r="CT5" s="3105"/>
      <c r="CU5" s="3105"/>
      <c r="CV5" s="3105"/>
      <c r="CW5" s="3105"/>
      <c r="CX5" s="3105"/>
      <c r="CY5" s="3105"/>
      <c r="CZ5" s="3105"/>
      <c r="DA5" s="3105"/>
      <c r="DB5" s="3105"/>
      <c r="DC5" s="3105"/>
      <c r="DD5" s="3105"/>
      <c r="DE5" s="3105"/>
      <c r="DF5" s="3105"/>
      <c r="DG5" s="3105"/>
      <c r="DH5" s="3105"/>
      <c r="DI5" s="3105"/>
      <c r="DJ5" s="3105"/>
      <c r="DK5" s="3105"/>
      <c r="DL5" s="3105"/>
      <c r="DM5" s="3105"/>
      <c r="DN5" s="3105"/>
      <c r="DO5" s="3105"/>
      <c r="DP5" s="3105"/>
      <c r="DQ5" s="3105"/>
      <c r="DR5" s="3105"/>
      <c r="DS5" s="3105"/>
      <c r="DT5" s="3105"/>
      <c r="DU5" s="3105"/>
      <c r="DV5" s="3105"/>
      <c r="DW5" s="3105"/>
      <c r="DX5" s="3105"/>
      <c r="DY5" s="3105"/>
      <c r="DZ5" s="3105"/>
      <c r="EA5" s="3105"/>
      <c r="EB5" s="3105"/>
      <c r="EC5" s="3105"/>
      <c r="ED5" s="3105"/>
      <c r="EE5" s="3105"/>
      <c r="EF5" s="3105"/>
      <c r="EG5" s="3105"/>
      <c r="EH5" s="3105"/>
      <c r="EI5" s="3105"/>
      <c r="EJ5" s="3105"/>
      <c r="EK5" s="3105"/>
      <c r="EL5" s="3105"/>
      <c r="EM5" s="3105"/>
      <c r="EN5" s="3105"/>
      <c r="EO5" s="3105"/>
      <c r="EP5" s="3105"/>
      <c r="EQ5" s="3105"/>
      <c r="ER5" s="3105"/>
      <c r="ES5" s="3105"/>
      <c r="ET5" s="3105"/>
      <c r="EU5" s="3105"/>
      <c r="EV5" s="3105"/>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01"/>
      <c r="IE5" s="3101"/>
      <c r="IF5" s="3101"/>
      <c r="IG5" s="3101"/>
      <c r="IH5" s="3101"/>
      <c r="II5" s="3101"/>
      <c r="IJ5" s="3101"/>
      <c r="IK5" s="3101"/>
      <c r="IL5" s="3101"/>
      <c r="IM5" s="3101"/>
      <c r="IN5" s="3101"/>
      <c r="IO5" s="3101"/>
      <c r="IP5" s="3101"/>
      <c r="IQ5" s="3101"/>
      <c r="IR5" s="3101"/>
      <c r="IS5" s="3101"/>
      <c r="IT5" s="3101"/>
      <c r="IU5" s="3101"/>
      <c r="IV5" s="3101"/>
      <c r="IW5" s="3101"/>
      <c r="IX5" s="3101"/>
      <c r="IY5" s="3101"/>
      <c r="IZ5" s="3101"/>
      <c r="JA5" s="3101"/>
      <c r="JB5" s="3101"/>
      <c r="JC5" s="3101"/>
      <c r="JD5" s="3101"/>
      <c r="JE5" s="3101"/>
      <c r="JF5" s="3101"/>
      <c r="JG5" s="3101"/>
      <c r="JH5" s="3110" t="s">
        <v>3440</v>
      </c>
      <c r="JI5" s="3110" t="s">
        <v>3441</v>
      </c>
      <c r="JJ5" s="3110" t="s">
        <v>3442</v>
      </c>
      <c r="JK5" s="3110" t="s">
        <v>3443</v>
      </c>
      <c r="JL5" s="3110" t="s">
        <v>3444</v>
      </c>
      <c r="JM5" s="3101" t="s">
        <v>3454</v>
      </c>
      <c r="JN5" s="3101" t="s">
        <v>3456</v>
      </c>
      <c r="JO5" s="3101" t="s">
        <v>3457</v>
      </c>
      <c r="JP5" s="3101" t="s">
        <v>3458</v>
      </c>
      <c r="JQ5" s="3101"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06"/>
      <c r="B6" s="30" t="s">
        <v>1818</v>
      </c>
      <c r="D6" s="1"/>
      <c r="E6" s="4"/>
      <c r="F6" s="81" t="s">
        <v>3014</v>
      </c>
      <c r="G6" s="1381" t="s">
        <v>3693</v>
      </c>
      <c r="H6" s="3103" t="s">
        <v>3927</v>
      </c>
      <c r="I6" s="1381" t="s">
        <v>807</v>
      </c>
      <c r="J6" s="1381" t="s">
        <v>3696</v>
      </c>
      <c r="K6" s="3099"/>
      <c r="L6" s="3099"/>
      <c r="M6" s="3107" t="str">
        <f>'Part I-Project Information'!$O$40</f>
        <v>Atlanta-Sandy Springs-Marietta</v>
      </c>
      <c r="N6" s="3107"/>
      <c r="O6" s="1061">
        <f>VLOOKUP('Part I-Project Information'!$O$40,'DCA Underwriting Assumptions'!$C$155:$D$265,2)</f>
        <v>69700</v>
      </c>
      <c r="P6" s="3103"/>
      <c r="Q6" s="1380"/>
      <c r="R6" s="102"/>
      <c r="S6" s="3108" t="s">
        <v>2715</v>
      </c>
      <c r="T6" s="3108"/>
      <c r="W6" s="3102"/>
      <c r="X6" s="3102"/>
      <c r="Y6" s="3102"/>
      <c r="Z6" s="3102"/>
      <c r="AA6" s="3102"/>
      <c r="AB6" s="3102"/>
      <c r="AC6" s="3102"/>
      <c r="AD6" s="3102"/>
      <c r="AE6" s="3102"/>
      <c r="AF6" s="3102"/>
      <c r="AG6" s="3102"/>
      <c r="AH6" s="3102"/>
      <c r="AI6" s="3102"/>
      <c r="AJ6" s="3102"/>
      <c r="AK6" s="3102"/>
      <c r="AL6" s="3102"/>
      <c r="AM6" s="3102"/>
      <c r="AN6" s="3102"/>
      <c r="AO6" s="3102"/>
      <c r="AP6" s="3102"/>
      <c r="AQ6" s="3102"/>
      <c r="AR6" s="3102"/>
      <c r="AS6" s="3102"/>
      <c r="AT6" s="3102"/>
      <c r="AU6" s="3102"/>
      <c r="AV6" s="3102"/>
      <c r="AW6" s="3102"/>
      <c r="AX6" s="3102"/>
      <c r="AY6" s="3102"/>
      <c r="AZ6" s="3102"/>
      <c r="BA6" s="3102"/>
      <c r="BB6" s="3102"/>
      <c r="BC6" s="3102"/>
      <c r="BD6" s="3102"/>
      <c r="BE6" s="3102"/>
      <c r="BF6" s="3102"/>
      <c r="BG6" s="3102"/>
      <c r="BH6" s="3102"/>
      <c r="BI6" s="3102"/>
      <c r="BJ6" s="3102"/>
      <c r="BK6" s="3102"/>
      <c r="BL6" s="3102"/>
      <c r="BM6" s="3102"/>
      <c r="BN6" s="3102"/>
      <c r="BO6" s="3102"/>
      <c r="BP6" s="3102"/>
      <c r="BQ6" s="3102"/>
      <c r="BR6" s="3102"/>
      <c r="BS6" s="3102"/>
      <c r="BT6" s="3102"/>
      <c r="BU6" s="3102"/>
      <c r="BV6" s="3102"/>
      <c r="BW6" s="3102"/>
      <c r="BX6" s="3102"/>
      <c r="BY6" s="3102"/>
      <c r="BZ6" s="3102"/>
      <c r="CA6" s="3102"/>
      <c r="CB6" s="3102"/>
      <c r="CC6" s="3102"/>
      <c r="CD6" s="3102"/>
      <c r="CE6" s="3105"/>
      <c r="CF6" s="3105"/>
      <c r="CG6" s="3105"/>
      <c r="CH6" s="3105"/>
      <c r="CI6" s="3105"/>
      <c r="CJ6" s="3105"/>
      <c r="CK6" s="3105"/>
      <c r="CL6" s="3105"/>
      <c r="CM6" s="3105"/>
      <c r="CN6" s="3105"/>
      <c r="CO6" s="3105"/>
      <c r="CP6" s="3105"/>
      <c r="CQ6" s="3105"/>
      <c r="CR6" s="3105"/>
      <c r="CS6" s="3105"/>
      <c r="CT6" s="3105"/>
      <c r="CU6" s="3105"/>
      <c r="CV6" s="3105"/>
      <c r="CW6" s="3105"/>
      <c r="CX6" s="3105"/>
      <c r="CY6" s="3105"/>
      <c r="CZ6" s="3105"/>
      <c r="DA6" s="3105"/>
      <c r="DB6" s="3105"/>
      <c r="DC6" s="3105"/>
      <c r="DD6" s="3105"/>
      <c r="DE6" s="3105"/>
      <c r="DF6" s="3105"/>
      <c r="DG6" s="3105"/>
      <c r="DH6" s="3105"/>
      <c r="DI6" s="3105"/>
      <c r="DJ6" s="3105"/>
      <c r="DK6" s="3105"/>
      <c r="DL6" s="3105"/>
      <c r="DM6" s="3105"/>
      <c r="DN6" s="3105"/>
      <c r="DO6" s="3105"/>
      <c r="DP6" s="3105"/>
      <c r="DQ6" s="3105"/>
      <c r="DR6" s="3105"/>
      <c r="DS6" s="3105"/>
      <c r="DT6" s="3105"/>
      <c r="DU6" s="3105"/>
      <c r="DV6" s="3105"/>
      <c r="DW6" s="3105"/>
      <c r="DX6" s="3105"/>
      <c r="DY6" s="3105"/>
      <c r="DZ6" s="3105"/>
      <c r="EA6" s="3105"/>
      <c r="EB6" s="3105"/>
      <c r="EC6" s="3105"/>
      <c r="ED6" s="3105"/>
      <c r="EE6" s="3105"/>
      <c r="EF6" s="3105"/>
      <c r="EG6" s="3105"/>
      <c r="EH6" s="3105"/>
      <c r="EI6" s="3105"/>
      <c r="EJ6" s="3105"/>
      <c r="EK6" s="3105"/>
      <c r="EL6" s="3105"/>
      <c r="EM6" s="3105"/>
      <c r="EN6" s="3105"/>
      <c r="EO6" s="3105"/>
      <c r="EP6" s="3105"/>
      <c r="EQ6" s="3105"/>
      <c r="ER6" s="3105"/>
      <c r="ES6" s="3105"/>
      <c r="ET6" s="3105"/>
      <c r="EU6" s="3105"/>
      <c r="EV6" s="3105"/>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01"/>
      <c r="IE6" s="3101"/>
      <c r="IF6" s="3101"/>
      <c r="IG6" s="3101"/>
      <c r="IH6" s="3101"/>
      <c r="II6" s="3101"/>
      <c r="IJ6" s="3101"/>
      <c r="IK6" s="3101"/>
      <c r="IL6" s="3101"/>
      <c r="IM6" s="3101"/>
      <c r="IN6" s="3101"/>
      <c r="IO6" s="3101"/>
      <c r="IP6" s="3101"/>
      <c r="IQ6" s="3101"/>
      <c r="IR6" s="3101"/>
      <c r="IS6" s="3101"/>
      <c r="IT6" s="3101"/>
      <c r="IU6" s="3101"/>
      <c r="IV6" s="3101"/>
      <c r="IW6" s="3101"/>
      <c r="IX6" s="3101"/>
      <c r="IY6" s="3101"/>
      <c r="IZ6" s="3101"/>
      <c r="JA6" s="3101"/>
      <c r="JB6" s="3101"/>
      <c r="JC6" s="3101"/>
      <c r="JD6" s="3101"/>
      <c r="JE6" s="3101"/>
      <c r="JF6" s="3101"/>
      <c r="JG6" s="3101"/>
      <c r="JH6" s="3110"/>
      <c r="JI6" s="3110"/>
      <c r="JJ6" s="3110"/>
      <c r="JK6" s="3110"/>
      <c r="JL6" s="3110"/>
      <c r="JM6" s="3101"/>
      <c r="JN6" s="3101"/>
      <c r="JO6" s="3101"/>
      <c r="JP6" s="3101"/>
      <c r="JQ6" s="3101"/>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06"/>
      <c r="B7" s="4"/>
      <c r="C7" s="1"/>
      <c r="D7" s="4"/>
      <c r="E7" s="1"/>
      <c r="F7" s="1"/>
      <c r="G7" s="1381" t="s">
        <v>3694</v>
      </c>
      <c r="H7" s="3103"/>
      <c r="I7" s="3121" t="s">
        <v>3885</v>
      </c>
      <c r="J7" s="1381" t="s">
        <v>3697</v>
      </c>
      <c r="K7" s="1052"/>
      <c r="L7" s="1052"/>
      <c r="M7" s="1"/>
      <c r="P7" s="3103"/>
      <c r="Q7" s="1380"/>
      <c r="R7" s="1052"/>
      <c r="S7" s="1053"/>
      <c r="T7" s="1058" t="s">
        <v>2712</v>
      </c>
      <c r="U7" s="507"/>
      <c r="V7" s="508"/>
      <c r="W7" s="3102"/>
      <c r="X7" s="3102"/>
      <c r="Y7" s="3102"/>
      <c r="Z7" s="3102"/>
      <c r="AA7" s="3102"/>
      <c r="AB7" s="3102"/>
      <c r="AC7" s="3102"/>
      <c r="AD7" s="3102"/>
      <c r="AE7" s="3102"/>
      <c r="AF7" s="3102"/>
      <c r="AG7" s="3102"/>
      <c r="AH7" s="3102"/>
      <c r="AI7" s="3102"/>
      <c r="AJ7" s="3102"/>
      <c r="AK7" s="3102"/>
      <c r="AL7" s="3102"/>
      <c r="AM7" s="3102"/>
      <c r="AN7" s="3102"/>
      <c r="AO7" s="3102"/>
      <c r="AP7" s="3102"/>
      <c r="AQ7" s="3102"/>
      <c r="AR7" s="3102"/>
      <c r="AS7" s="3102"/>
      <c r="AT7" s="3102"/>
      <c r="AU7" s="3102"/>
      <c r="AV7" s="3102"/>
      <c r="AW7" s="3102"/>
      <c r="AX7" s="3102"/>
      <c r="AY7" s="3102"/>
      <c r="AZ7" s="3102"/>
      <c r="BA7" s="3102"/>
      <c r="BB7" s="3102"/>
      <c r="BC7" s="3102"/>
      <c r="BD7" s="3102"/>
      <c r="BE7" s="3102"/>
      <c r="BF7" s="3102"/>
      <c r="BG7" s="3102"/>
      <c r="BH7" s="3102"/>
      <c r="BI7" s="3102"/>
      <c r="BJ7" s="3102"/>
      <c r="BK7" s="3102"/>
      <c r="BL7" s="3102"/>
      <c r="BM7" s="3102"/>
      <c r="BN7" s="3102"/>
      <c r="BO7" s="3102"/>
      <c r="BP7" s="3102"/>
      <c r="BQ7" s="3102"/>
      <c r="BR7" s="3102"/>
      <c r="BS7" s="3102"/>
      <c r="BT7" s="3102"/>
      <c r="BU7" s="3102"/>
      <c r="BV7" s="3102"/>
      <c r="BW7" s="3102"/>
      <c r="BX7" s="3102"/>
      <c r="BY7" s="3102"/>
      <c r="BZ7" s="3102"/>
      <c r="CA7" s="3102"/>
      <c r="CB7" s="3102"/>
      <c r="CC7" s="3102"/>
      <c r="CD7" s="3102"/>
      <c r="CE7" s="3105"/>
      <c r="CF7" s="3105"/>
      <c r="CG7" s="3105"/>
      <c r="CH7" s="3105"/>
      <c r="CI7" s="3105"/>
      <c r="CJ7" s="3105"/>
      <c r="CK7" s="3105"/>
      <c r="CL7" s="3105"/>
      <c r="CM7" s="3105"/>
      <c r="CN7" s="3105"/>
      <c r="CO7" s="3105"/>
      <c r="CP7" s="3105"/>
      <c r="CQ7" s="3105"/>
      <c r="CR7" s="3105"/>
      <c r="CS7" s="3105"/>
      <c r="CT7" s="3105"/>
      <c r="CU7" s="3105"/>
      <c r="CV7" s="3105"/>
      <c r="CW7" s="3105"/>
      <c r="CX7" s="3105"/>
      <c r="CY7" s="3105"/>
      <c r="CZ7" s="3105"/>
      <c r="DA7" s="3105"/>
      <c r="DB7" s="3105"/>
      <c r="DC7" s="3105"/>
      <c r="DD7" s="3105"/>
      <c r="DE7" s="3105"/>
      <c r="DF7" s="3105"/>
      <c r="DG7" s="3105"/>
      <c r="DH7" s="3105"/>
      <c r="DI7" s="3105"/>
      <c r="DJ7" s="3105"/>
      <c r="DK7" s="3105"/>
      <c r="DL7" s="3105"/>
      <c r="DM7" s="3105"/>
      <c r="DN7" s="3105"/>
      <c r="DO7" s="3105"/>
      <c r="DP7" s="3105"/>
      <c r="DQ7" s="3105"/>
      <c r="DR7" s="3105"/>
      <c r="DS7" s="3105"/>
      <c r="DT7" s="3105"/>
      <c r="DU7" s="3105"/>
      <c r="DV7" s="3105"/>
      <c r="DW7" s="3105"/>
      <c r="DX7" s="3105"/>
      <c r="DY7" s="3105"/>
      <c r="DZ7" s="3105"/>
      <c r="EA7" s="3105"/>
      <c r="EB7" s="3105"/>
      <c r="EC7" s="3105"/>
      <c r="ED7" s="3105"/>
      <c r="EE7" s="3105"/>
      <c r="EF7" s="3105"/>
      <c r="EG7" s="3105"/>
      <c r="EH7" s="3105"/>
      <c r="EI7" s="3105"/>
      <c r="EJ7" s="3105"/>
      <c r="EK7" s="3105"/>
      <c r="EL7" s="3105"/>
      <c r="EM7" s="3105"/>
      <c r="EN7" s="3105"/>
      <c r="EO7" s="3105"/>
      <c r="EP7" s="3105"/>
      <c r="EQ7" s="3105"/>
      <c r="ER7" s="3105"/>
      <c r="ES7" s="3105"/>
      <c r="ET7" s="3105"/>
      <c r="EU7" s="3105"/>
      <c r="EV7" s="3105"/>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01"/>
      <c r="IE7" s="3101"/>
      <c r="IF7" s="3101"/>
      <c r="IG7" s="3101"/>
      <c r="IH7" s="3101"/>
      <c r="II7" s="3101"/>
      <c r="IJ7" s="3101"/>
      <c r="IK7" s="3101"/>
      <c r="IL7" s="3101"/>
      <c r="IM7" s="3101"/>
      <c r="IN7" s="3101"/>
      <c r="IO7" s="3101"/>
      <c r="IP7" s="3101"/>
      <c r="IQ7" s="3101"/>
      <c r="IR7" s="3101"/>
      <c r="IS7" s="3101"/>
      <c r="IT7" s="3101"/>
      <c r="IU7" s="3101"/>
      <c r="IV7" s="3101"/>
      <c r="IW7" s="3101"/>
      <c r="IX7" s="3101"/>
      <c r="IY7" s="3101"/>
      <c r="IZ7" s="3101"/>
      <c r="JA7" s="3101"/>
      <c r="JB7" s="3101"/>
      <c r="JC7" s="3101"/>
      <c r="JD7" s="3101"/>
      <c r="JE7" s="3101"/>
      <c r="JF7" s="3101"/>
      <c r="JG7" s="3101"/>
      <c r="JH7" s="3110"/>
      <c r="JI7" s="3110"/>
      <c r="JJ7" s="3110"/>
      <c r="JK7" s="3110"/>
      <c r="JL7" s="3110"/>
      <c r="JM7" s="3101"/>
      <c r="JN7" s="3101"/>
      <c r="JO7" s="3101"/>
      <c r="JP7" s="3101"/>
      <c r="JQ7" s="3101"/>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06"/>
      <c r="B8" s="1382" t="s">
        <v>1490</v>
      </c>
      <c r="C8" s="1381" t="s">
        <v>173</v>
      </c>
      <c r="D8" s="1381" t="s">
        <v>550</v>
      </c>
      <c r="E8" s="1381" t="s">
        <v>1488</v>
      </c>
      <c r="F8" s="1381" t="s">
        <v>1488</v>
      </c>
      <c r="G8" s="1381" t="s">
        <v>1490</v>
      </c>
      <c r="H8" s="1381" t="s">
        <v>3694</v>
      </c>
      <c r="I8" s="3121"/>
      <c r="J8" s="1381" t="s">
        <v>2422</v>
      </c>
      <c r="K8" s="3109" t="s">
        <v>146</v>
      </c>
      <c r="L8" s="3109"/>
      <c r="M8" s="1381" t="s">
        <v>2383</v>
      </c>
      <c r="N8" s="1381" t="s">
        <v>537</v>
      </c>
      <c r="O8" s="1381" t="s">
        <v>385</v>
      </c>
      <c r="P8" s="3103"/>
      <c r="Q8" s="3109" t="s">
        <v>3599</v>
      </c>
      <c r="R8" s="3109"/>
      <c r="S8" s="1381" t="s">
        <v>2711</v>
      </c>
      <c r="T8" s="1381" t="s">
        <v>2713</v>
      </c>
      <c r="U8" s="509"/>
      <c r="V8" s="510"/>
      <c r="W8" s="3102"/>
      <c r="X8" s="3102"/>
      <c r="Y8" s="3102"/>
      <c r="Z8" s="3102"/>
      <c r="AA8" s="3102"/>
      <c r="AB8" s="3102"/>
      <c r="AC8" s="3102"/>
      <c r="AD8" s="3102"/>
      <c r="AE8" s="3102"/>
      <c r="AF8" s="3102"/>
      <c r="AG8" s="3102"/>
      <c r="AH8" s="3102"/>
      <c r="AI8" s="3102"/>
      <c r="AJ8" s="3102"/>
      <c r="AK8" s="3102"/>
      <c r="AL8" s="3102"/>
      <c r="AM8" s="3102"/>
      <c r="AN8" s="3102"/>
      <c r="AO8" s="3102"/>
      <c r="AP8" s="3102"/>
      <c r="AQ8" s="3102"/>
      <c r="AR8" s="3102"/>
      <c r="AS8" s="3102"/>
      <c r="AT8" s="3102"/>
      <c r="AU8" s="3102"/>
      <c r="AV8" s="3102"/>
      <c r="AW8" s="3102"/>
      <c r="AX8" s="3102"/>
      <c r="AY8" s="3102"/>
      <c r="AZ8" s="3102"/>
      <c r="BA8" s="3102"/>
      <c r="BB8" s="3102"/>
      <c r="BC8" s="3102"/>
      <c r="BD8" s="3102"/>
      <c r="BE8" s="3102"/>
      <c r="BF8" s="3102"/>
      <c r="BG8" s="3102"/>
      <c r="BH8" s="3102"/>
      <c r="BI8" s="3102"/>
      <c r="BJ8" s="3102"/>
      <c r="BK8" s="3102"/>
      <c r="BL8" s="3102"/>
      <c r="BM8" s="3102"/>
      <c r="BN8" s="3102"/>
      <c r="BO8" s="3102"/>
      <c r="BP8" s="3102"/>
      <c r="BQ8" s="3102"/>
      <c r="BR8" s="3102"/>
      <c r="BS8" s="3102"/>
      <c r="BT8" s="3102"/>
      <c r="BU8" s="3102"/>
      <c r="BV8" s="3102"/>
      <c r="BW8" s="3102"/>
      <c r="BX8" s="3102"/>
      <c r="BY8" s="3102"/>
      <c r="BZ8" s="3102"/>
      <c r="CA8" s="3102"/>
      <c r="CB8" s="3102"/>
      <c r="CC8" s="3102"/>
      <c r="CD8" s="3102"/>
      <c r="CE8" s="3105"/>
      <c r="CF8" s="3105"/>
      <c r="CG8" s="3105"/>
      <c r="CH8" s="3105"/>
      <c r="CI8" s="3105"/>
      <c r="CJ8" s="3105"/>
      <c r="CK8" s="3105"/>
      <c r="CL8" s="3105"/>
      <c r="CM8" s="3105"/>
      <c r="CN8" s="3105"/>
      <c r="CO8" s="3105"/>
      <c r="CP8" s="3105"/>
      <c r="CQ8" s="3105"/>
      <c r="CR8" s="3105"/>
      <c r="CS8" s="3105"/>
      <c r="CT8" s="3105"/>
      <c r="CU8" s="3105"/>
      <c r="CV8" s="3105"/>
      <c r="CW8" s="3105"/>
      <c r="CX8" s="3105"/>
      <c r="CY8" s="3105"/>
      <c r="CZ8" s="3105"/>
      <c r="DA8" s="3105"/>
      <c r="DB8" s="3105"/>
      <c r="DC8" s="3105"/>
      <c r="DD8" s="3105"/>
      <c r="DE8" s="3105"/>
      <c r="DF8" s="3105"/>
      <c r="DG8" s="3105"/>
      <c r="DH8" s="3105"/>
      <c r="DI8" s="3105"/>
      <c r="DJ8" s="3105"/>
      <c r="DK8" s="3105"/>
      <c r="DL8" s="3105"/>
      <c r="DM8" s="3105"/>
      <c r="DN8" s="3105"/>
      <c r="DO8" s="3105"/>
      <c r="DP8" s="3105"/>
      <c r="DQ8" s="3105"/>
      <c r="DR8" s="3105"/>
      <c r="DS8" s="3105"/>
      <c r="DT8" s="3105"/>
      <c r="DU8" s="3105"/>
      <c r="DV8" s="3105"/>
      <c r="DW8" s="3105"/>
      <c r="DX8" s="3105"/>
      <c r="DY8" s="3105"/>
      <c r="DZ8" s="3105"/>
      <c r="EA8" s="3105"/>
      <c r="EB8" s="3105"/>
      <c r="EC8" s="3105"/>
      <c r="ED8" s="3105"/>
      <c r="EE8" s="3105"/>
      <c r="EF8" s="3105"/>
      <c r="EG8" s="3105"/>
      <c r="EH8" s="3105"/>
      <c r="EI8" s="3105"/>
      <c r="EJ8" s="3105"/>
      <c r="EK8" s="3105"/>
      <c r="EL8" s="3105"/>
      <c r="EM8" s="3105"/>
      <c r="EN8" s="3105"/>
      <c r="EO8" s="3105"/>
      <c r="EP8" s="3105"/>
      <c r="EQ8" s="3105"/>
      <c r="ER8" s="3105"/>
      <c r="ES8" s="3105"/>
      <c r="ET8" s="3105"/>
      <c r="EU8" s="3105"/>
      <c r="EV8" s="3105"/>
      <c r="EW8" s="3105" t="s">
        <v>1474</v>
      </c>
      <c r="EX8" s="550" t="s">
        <v>2456</v>
      </c>
      <c r="EY8" s="550" t="s">
        <v>2457</v>
      </c>
      <c r="EZ8" s="550" t="s">
        <v>2458</v>
      </c>
      <c r="FA8" s="550" t="s">
        <v>2459</v>
      </c>
      <c r="FB8" s="3101" t="s">
        <v>2513</v>
      </c>
      <c r="FC8" s="3101" t="s">
        <v>2513</v>
      </c>
      <c r="FD8" s="3101" t="s">
        <v>2513</v>
      </c>
      <c r="FE8" s="3101" t="s">
        <v>2513</v>
      </c>
      <c r="FF8" s="3101" t="s">
        <v>2513</v>
      </c>
      <c r="FG8" s="3101" t="s">
        <v>3388</v>
      </c>
      <c r="FH8" s="3101" t="s">
        <v>3388</v>
      </c>
      <c r="FI8" s="3101" t="s">
        <v>3388</v>
      </c>
      <c r="FJ8" s="3101" t="s">
        <v>3388</v>
      </c>
      <c r="FK8" s="3101" t="s">
        <v>3388</v>
      </c>
      <c r="FL8" s="550" t="s">
        <v>573</v>
      </c>
      <c r="FM8" s="550" t="s">
        <v>2456</v>
      </c>
      <c r="FN8" s="550" t="s">
        <v>2457</v>
      </c>
      <c r="FO8" s="550" t="s">
        <v>2458</v>
      </c>
      <c r="FP8" s="550" t="s">
        <v>2459</v>
      </c>
      <c r="FQ8" s="550" t="s">
        <v>573</v>
      </c>
      <c r="FR8" s="550" t="s">
        <v>2456</v>
      </c>
      <c r="FS8" s="550" t="s">
        <v>2457</v>
      </c>
      <c r="FT8" s="550" t="s">
        <v>2458</v>
      </c>
      <c r="FU8" s="550" t="s">
        <v>2459</v>
      </c>
      <c r="FV8" s="3101" t="s">
        <v>2515</v>
      </c>
      <c r="FW8" s="3101" t="s">
        <v>2515</v>
      </c>
      <c r="FX8" s="3101" t="s">
        <v>2515</v>
      </c>
      <c r="FY8" s="3101" t="s">
        <v>2515</v>
      </c>
      <c r="FZ8" s="3101" t="s">
        <v>2515</v>
      </c>
      <c r="GA8" s="3101" t="s">
        <v>3384</v>
      </c>
      <c r="GB8" s="3101" t="s">
        <v>3384</v>
      </c>
      <c r="GC8" s="3101" t="s">
        <v>3384</v>
      </c>
      <c r="GD8" s="3101" t="s">
        <v>3384</v>
      </c>
      <c r="GE8" s="3101" t="s">
        <v>3384</v>
      </c>
      <c r="GF8" s="3101" t="s">
        <v>360</v>
      </c>
      <c r="GG8" s="3101" t="s">
        <v>360</v>
      </c>
      <c r="GH8" s="3101" t="s">
        <v>360</v>
      </c>
      <c r="GI8" s="3101" t="s">
        <v>360</v>
      </c>
      <c r="GJ8" s="3101" t="s">
        <v>360</v>
      </c>
      <c r="GK8" s="3101" t="s">
        <v>3383</v>
      </c>
      <c r="GL8" s="3101" t="s">
        <v>3383</v>
      </c>
      <c r="GM8" s="3101" t="s">
        <v>3383</v>
      </c>
      <c r="GN8" s="3101" t="s">
        <v>3383</v>
      </c>
      <c r="GO8" s="3101" t="s">
        <v>3383</v>
      </c>
      <c r="GP8" s="3101" t="s">
        <v>361</v>
      </c>
      <c r="GQ8" s="3101" t="s">
        <v>361</v>
      </c>
      <c r="GR8" s="3101" t="s">
        <v>361</v>
      </c>
      <c r="GS8" s="3101" t="s">
        <v>361</v>
      </c>
      <c r="GT8" s="3101" t="s">
        <v>361</v>
      </c>
      <c r="GU8" s="3101" t="s">
        <v>3382</v>
      </c>
      <c r="GV8" s="3101" t="s">
        <v>3382</v>
      </c>
      <c r="GW8" s="3101" t="s">
        <v>3382</v>
      </c>
      <c r="GX8" s="3101" t="s">
        <v>3382</v>
      </c>
      <c r="GY8" s="3101" t="s">
        <v>3382</v>
      </c>
      <c r="GZ8" s="3101" t="s">
        <v>362</v>
      </c>
      <c r="HA8" s="3101" t="s">
        <v>362</v>
      </c>
      <c r="HB8" s="3101" t="s">
        <v>362</v>
      </c>
      <c r="HC8" s="3101" t="s">
        <v>362</v>
      </c>
      <c r="HD8" s="3101" t="s">
        <v>362</v>
      </c>
      <c r="HE8" s="3101" t="s">
        <v>3385</v>
      </c>
      <c r="HF8" s="3101" t="s">
        <v>3385</v>
      </c>
      <c r="HG8" s="3101" t="s">
        <v>3385</v>
      </c>
      <c r="HH8" s="3101" t="s">
        <v>3385</v>
      </c>
      <c r="HI8" s="3101" t="s">
        <v>3385</v>
      </c>
      <c r="HJ8" s="3101" t="s">
        <v>363</v>
      </c>
      <c r="HK8" s="3101" t="s">
        <v>363</v>
      </c>
      <c r="HL8" s="3101" t="s">
        <v>363</v>
      </c>
      <c r="HM8" s="3101" t="s">
        <v>363</v>
      </c>
      <c r="HN8" s="3101" t="s">
        <v>363</v>
      </c>
      <c r="HO8" s="3101" t="s">
        <v>3386</v>
      </c>
      <c r="HP8" s="3101" t="s">
        <v>3386</v>
      </c>
      <c r="HQ8" s="3101" t="s">
        <v>3386</v>
      </c>
      <c r="HR8" s="3101" t="s">
        <v>3386</v>
      </c>
      <c r="HS8" s="3101" t="s">
        <v>3386</v>
      </c>
      <c r="HT8" s="3101" t="s">
        <v>1473</v>
      </c>
      <c r="HU8" s="3101" t="s">
        <v>1473</v>
      </c>
      <c r="HV8" s="3101" t="s">
        <v>1473</v>
      </c>
      <c r="HW8" s="3101" t="s">
        <v>1473</v>
      </c>
      <c r="HX8" s="3101" t="s">
        <v>1473</v>
      </c>
      <c r="HY8" s="3101" t="s">
        <v>3387</v>
      </c>
      <c r="HZ8" s="3101" t="s">
        <v>3387</v>
      </c>
      <c r="IA8" s="3101" t="s">
        <v>3387</v>
      </c>
      <c r="IB8" s="3101" t="s">
        <v>3387</v>
      </c>
      <c r="IC8" s="3101" t="s">
        <v>3387</v>
      </c>
      <c r="ID8" s="3101"/>
      <c r="IE8" s="3101"/>
      <c r="IF8" s="3101"/>
      <c r="IG8" s="3101"/>
      <c r="IH8" s="3101"/>
      <c r="II8" s="3101"/>
      <c r="IJ8" s="3101"/>
      <c r="IK8" s="3101"/>
      <c r="IL8" s="3101"/>
      <c r="IM8" s="3101"/>
      <c r="IN8" s="3101"/>
      <c r="IO8" s="3101"/>
      <c r="IP8" s="3101"/>
      <c r="IQ8" s="3101"/>
      <c r="IR8" s="3101"/>
      <c r="IS8" s="3101"/>
      <c r="IT8" s="3101"/>
      <c r="IU8" s="3101"/>
      <c r="IV8" s="3101"/>
      <c r="IW8" s="3101"/>
      <c r="IX8" s="3101"/>
      <c r="IY8" s="3101"/>
      <c r="IZ8" s="3101"/>
      <c r="JA8" s="3101"/>
      <c r="JB8" s="3101"/>
      <c r="JC8" s="3101"/>
      <c r="JD8" s="3101"/>
      <c r="JE8" s="3101"/>
      <c r="JF8" s="3101"/>
      <c r="JG8" s="3101"/>
      <c r="JH8" s="3110"/>
      <c r="JI8" s="3110"/>
      <c r="JJ8" s="3110"/>
      <c r="JK8" s="3110"/>
      <c r="JL8" s="3110"/>
      <c r="JM8" s="3101"/>
      <c r="JN8" s="3101"/>
      <c r="JO8" s="3101"/>
      <c r="JP8" s="3101"/>
      <c r="JQ8" s="3101"/>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06"/>
      <c r="B9" s="1382" t="s">
        <v>1308</v>
      </c>
      <c r="C9" s="1381" t="s">
        <v>172</v>
      </c>
      <c r="D9" s="1381" t="s">
        <v>174</v>
      </c>
      <c r="E9" s="1381" t="s">
        <v>1489</v>
      </c>
      <c r="F9" s="1381" t="s">
        <v>1291</v>
      </c>
      <c r="G9" s="1381" t="s">
        <v>3695</v>
      </c>
      <c r="H9" s="1381" t="s">
        <v>1490</v>
      </c>
      <c r="I9" s="3122"/>
      <c r="J9" s="542" t="s">
        <v>352</v>
      </c>
      <c r="K9" s="1381" t="s">
        <v>1542</v>
      </c>
      <c r="L9" s="1381" t="s">
        <v>544</v>
      </c>
      <c r="M9" s="1381" t="s">
        <v>1488</v>
      </c>
      <c r="N9" s="1381" t="s">
        <v>3337</v>
      </c>
      <c r="O9" s="1381" t="s">
        <v>386</v>
      </c>
      <c r="P9" s="3104"/>
      <c r="Q9" s="1381" t="s">
        <v>3600</v>
      </c>
      <c r="R9" s="1381" t="s">
        <v>1050</v>
      </c>
      <c r="S9" s="1381" t="s">
        <v>1490</v>
      </c>
      <c r="T9" s="1381" t="s">
        <v>2714</v>
      </c>
      <c r="U9" s="2795" t="s">
        <v>1859</v>
      </c>
      <c r="V9" s="2795"/>
      <c r="W9" s="3102"/>
      <c r="X9" s="3102"/>
      <c r="Y9" s="3102"/>
      <c r="Z9" s="3102"/>
      <c r="AA9" s="3102"/>
      <c r="AB9" s="3102"/>
      <c r="AC9" s="3102"/>
      <c r="AD9" s="3102"/>
      <c r="AE9" s="3102"/>
      <c r="AF9" s="3102"/>
      <c r="AG9" s="3102"/>
      <c r="AH9" s="3102"/>
      <c r="AI9" s="3102"/>
      <c r="AJ9" s="3102"/>
      <c r="AK9" s="3102"/>
      <c r="AL9" s="3102"/>
      <c r="AM9" s="3102"/>
      <c r="AN9" s="3102"/>
      <c r="AO9" s="3102"/>
      <c r="AP9" s="3102"/>
      <c r="AQ9" s="3102"/>
      <c r="AR9" s="3102"/>
      <c r="AS9" s="3102"/>
      <c r="AT9" s="3102"/>
      <c r="AU9" s="3102"/>
      <c r="AV9" s="3102"/>
      <c r="AW9" s="3102"/>
      <c r="AX9" s="3102"/>
      <c r="AY9" s="3102"/>
      <c r="AZ9" s="3102"/>
      <c r="BA9" s="3102"/>
      <c r="BB9" s="3102"/>
      <c r="BC9" s="3102"/>
      <c r="BD9" s="3102"/>
      <c r="BE9" s="3102"/>
      <c r="BF9" s="3102"/>
      <c r="BG9" s="3102"/>
      <c r="BH9" s="3102"/>
      <c r="BI9" s="3102"/>
      <c r="BJ9" s="3102"/>
      <c r="BK9" s="3102"/>
      <c r="BL9" s="3102"/>
      <c r="BM9" s="3102"/>
      <c r="BN9" s="3102"/>
      <c r="BO9" s="3102"/>
      <c r="BP9" s="3102"/>
      <c r="BQ9" s="3102"/>
      <c r="BR9" s="3102"/>
      <c r="BS9" s="3102"/>
      <c r="BT9" s="3102"/>
      <c r="BU9" s="3102"/>
      <c r="BV9" s="3102"/>
      <c r="BW9" s="3102"/>
      <c r="BX9" s="3102"/>
      <c r="BY9" s="3102"/>
      <c r="BZ9" s="3102"/>
      <c r="CA9" s="3102"/>
      <c r="CB9" s="3102"/>
      <c r="CC9" s="3102"/>
      <c r="CD9" s="3102"/>
      <c r="CE9" s="3105"/>
      <c r="CF9" s="3105"/>
      <c r="CG9" s="3105"/>
      <c r="CH9" s="3105"/>
      <c r="CI9" s="3105"/>
      <c r="CJ9" s="3105"/>
      <c r="CK9" s="3105"/>
      <c r="CL9" s="3105"/>
      <c r="CM9" s="3105"/>
      <c r="CN9" s="3105"/>
      <c r="CO9" s="3105"/>
      <c r="CP9" s="3105"/>
      <c r="CQ9" s="3105"/>
      <c r="CR9" s="3105"/>
      <c r="CS9" s="3105"/>
      <c r="CT9" s="3105"/>
      <c r="CU9" s="3105"/>
      <c r="CV9" s="3105"/>
      <c r="CW9" s="3105"/>
      <c r="CX9" s="3105"/>
      <c r="CY9" s="3105"/>
      <c r="CZ9" s="3105"/>
      <c r="DA9" s="3105"/>
      <c r="DB9" s="3105"/>
      <c r="DC9" s="3105"/>
      <c r="DD9" s="3105"/>
      <c r="DE9" s="3105"/>
      <c r="DF9" s="3105"/>
      <c r="DG9" s="3105"/>
      <c r="DH9" s="3105"/>
      <c r="DI9" s="3105"/>
      <c r="DJ9" s="3105"/>
      <c r="DK9" s="3105"/>
      <c r="DL9" s="3105"/>
      <c r="DM9" s="3105"/>
      <c r="DN9" s="3105"/>
      <c r="DO9" s="3105"/>
      <c r="DP9" s="3105"/>
      <c r="DQ9" s="3105"/>
      <c r="DR9" s="3105"/>
      <c r="DS9" s="3105"/>
      <c r="DT9" s="3105"/>
      <c r="DU9" s="3105"/>
      <c r="DV9" s="3105"/>
      <c r="DW9" s="3105"/>
      <c r="DX9" s="3105"/>
      <c r="DY9" s="3105"/>
      <c r="DZ9" s="3105"/>
      <c r="EA9" s="3105"/>
      <c r="EB9" s="3105"/>
      <c r="EC9" s="3105"/>
      <c r="ED9" s="3105"/>
      <c r="EE9" s="3105"/>
      <c r="EF9" s="3105"/>
      <c r="EG9" s="3105"/>
      <c r="EH9" s="3105"/>
      <c r="EI9" s="3105"/>
      <c r="EJ9" s="3105"/>
      <c r="EK9" s="3105"/>
      <c r="EL9" s="3105"/>
      <c r="EM9" s="3105"/>
      <c r="EN9" s="3105"/>
      <c r="EO9" s="3105"/>
      <c r="EP9" s="3105"/>
      <c r="EQ9" s="3105"/>
      <c r="ER9" s="3105"/>
      <c r="ES9" s="3105"/>
      <c r="ET9" s="3105"/>
      <c r="EU9" s="3105"/>
      <c r="EV9" s="3105"/>
      <c r="EW9" s="3105"/>
      <c r="EX9" s="550" t="s">
        <v>2512</v>
      </c>
      <c r="EY9" s="550" t="s">
        <v>2512</v>
      </c>
      <c r="EZ9" s="550" t="s">
        <v>2512</v>
      </c>
      <c r="FA9" s="550" t="s">
        <v>2512</v>
      </c>
      <c r="FB9" s="3101"/>
      <c r="FC9" s="3101"/>
      <c r="FD9" s="3101"/>
      <c r="FE9" s="3101"/>
      <c r="FF9" s="3101"/>
      <c r="FG9" s="3101"/>
      <c r="FH9" s="3101"/>
      <c r="FI9" s="3101"/>
      <c r="FJ9" s="3101"/>
      <c r="FK9" s="3101"/>
      <c r="FL9" s="550" t="s">
        <v>2514</v>
      </c>
      <c r="FM9" s="550" t="s">
        <v>2514</v>
      </c>
      <c r="FN9" s="550" t="s">
        <v>2514</v>
      </c>
      <c r="FO9" s="550" t="s">
        <v>2514</v>
      </c>
      <c r="FP9" s="550" t="s">
        <v>2514</v>
      </c>
      <c r="FQ9" s="550" t="s">
        <v>3389</v>
      </c>
      <c r="FR9" s="550" t="s">
        <v>3389</v>
      </c>
      <c r="FS9" s="550" t="s">
        <v>3389</v>
      </c>
      <c r="FT9" s="550" t="s">
        <v>3389</v>
      </c>
      <c r="FU9" s="550" t="s">
        <v>3389</v>
      </c>
      <c r="FV9" s="3101"/>
      <c r="FW9" s="3101"/>
      <c r="FX9" s="3101"/>
      <c r="FY9" s="3101"/>
      <c r="FZ9" s="3101"/>
      <c r="GA9" s="3101"/>
      <c r="GB9" s="3101"/>
      <c r="GC9" s="3101"/>
      <c r="GD9" s="3101"/>
      <c r="GE9" s="3101"/>
      <c r="GF9" s="3101"/>
      <c r="GG9" s="3101"/>
      <c r="GH9" s="3101"/>
      <c r="GI9" s="3101"/>
      <c r="GJ9" s="3101"/>
      <c r="GK9" s="3101"/>
      <c r="GL9" s="3101"/>
      <c r="GM9" s="3101"/>
      <c r="GN9" s="3101"/>
      <c r="GO9" s="3101"/>
      <c r="GP9" s="3101"/>
      <c r="GQ9" s="3101"/>
      <c r="GR9" s="3101"/>
      <c r="GS9" s="3101"/>
      <c r="GT9" s="3101"/>
      <c r="GU9" s="3101"/>
      <c r="GV9" s="3101"/>
      <c r="GW9" s="3101"/>
      <c r="GX9" s="3101"/>
      <c r="GY9" s="3101"/>
      <c r="GZ9" s="3101"/>
      <c r="HA9" s="3101"/>
      <c r="HB9" s="3101"/>
      <c r="HC9" s="3101"/>
      <c r="HD9" s="3101"/>
      <c r="HE9" s="3101"/>
      <c r="HF9" s="3101"/>
      <c r="HG9" s="3101"/>
      <c r="HH9" s="3101"/>
      <c r="HI9" s="3101"/>
      <c r="HJ9" s="3101"/>
      <c r="HK9" s="3101"/>
      <c r="HL9" s="3101"/>
      <c r="HM9" s="3101"/>
      <c r="HN9" s="3101"/>
      <c r="HO9" s="3101"/>
      <c r="HP9" s="3101"/>
      <c r="HQ9" s="3101"/>
      <c r="HR9" s="3101"/>
      <c r="HS9" s="3101"/>
      <c r="HT9" s="3101"/>
      <c r="HU9" s="3101"/>
      <c r="HV9" s="3101"/>
      <c r="HW9" s="3101"/>
      <c r="HX9" s="3101"/>
      <c r="HY9" s="3101"/>
      <c r="HZ9" s="3101"/>
      <c r="IA9" s="3101"/>
      <c r="IB9" s="3101"/>
      <c r="IC9" s="3101"/>
      <c r="ID9" s="3101"/>
      <c r="IE9" s="3101"/>
      <c r="IF9" s="3101"/>
      <c r="IG9" s="3101"/>
      <c r="IH9" s="3101"/>
      <c r="II9" s="3101"/>
      <c r="IJ9" s="3101"/>
      <c r="IK9" s="3101"/>
      <c r="IL9" s="3101"/>
      <c r="IM9" s="3101"/>
      <c r="IN9" s="3101"/>
      <c r="IO9" s="3101"/>
      <c r="IP9" s="3101"/>
      <c r="IQ9" s="3101"/>
      <c r="IR9" s="3101"/>
      <c r="IS9" s="3101"/>
      <c r="IT9" s="3101"/>
      <c r="IU9" s="3101"/>
      <c r="IV9" s="3101"/>
      <c r="IW9" s="3101"/>
      <c r="IX9" s="3101"/>
      <c r="IY9" s="3101"/>
      <c r="IZ9" s="3101"/>
      <c r="JA9" s="3101"/>
      <c r="JB9" s="3101"/>
      <c r="JC9" s="3101"/>
      <c r="JD9" s="3101"/>
      <c r="JE9" s="3101"/>
      <c r="JF9" s="3101"/>
      <c r="JG9" s="3101"/>
      <c r="JH9" s="3110"/>
      <c r="JI9" s="3110"/>
      <c r="JJ9" s="3110"/>
      <c r="JK9" s="3110"/>
      <c r="JL9" s="3110"/>
      <c r="JM9" s="3101"/>
      <c r="JN9" s="3101"/>
      <c r="JO9" s="3101"/>
      <c r="JP9" s="3101"/>
      <c r="JQ9" s="3101"/>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3</v>
      </c>
      <c r="D10" s="177">
        <v>2</v>
      </c>
      <c r="E10" s="178">
        <v>76</v>
      </c>
      <c r="F10" s="178">
        <v>1250</v>
      </c>
      <c r="G10" s="178">
        <v>1243</v>
      </c>
      <c r="H10" s="178">
        <v>1198</v>
      </c>
      <c r="I10" s="1210">
        <f>IF(C10="",0,HLOOKUP(C10,'Part V-Utility Allowances'!$I$11:$M$21,11))</f>
        <v>147</v>
      </c>
      <c r="J10" s="1013"/>
      <c r="K10" s="733">
        <f t="shared" ref="K10:K47" si="1">MAX(0,H10-I10)</f>
        <v>1051</v>
      </c>
      <c r="L10" s="733">
        <f t="shared" ref="L10:L47" si="2">MAX(0,E10*K10)</f>
        <v>79876</v>
      </c>
      <c r="M10" s="1122" t="s">
        <v>3014</v>
      </c>
      <c r="N10" s="1122" t="s">
        <v>42</v>
      </c>
      <c r="O10" s="1122" t="s">
        <v>2311</v>
      </c>
      <c r="P10" s="180" t="s">
        <v>3014</v>
      </c>
      <c r="Q10" s="1101">
        <f t="shared" ref="Q10:Q47" si="3">IF(H10="","",H10*12/0.3)</f>
        <v>47920</v>
      </c>
      <c r="R10" s="1102">
        <f>IF(H10="","",IF(C10="Efficiency",Q10/($O$6*VLOOKUP(0,'DCA Underwriting Assumptions'!$J$143:$K$148,2,FALSE)),Q10/($O$6*VLOOKUP(C10,'DCA Underwriting Assumptions'!$J$143:$K$148,2,FALSE))))</f>
        <v>0.66107493654122063</v>
      </c>
      <c r="S10" s="1182"/>
      <c r="T10" s="1183"/>
      <c r="U10" s="3123"/>
      <c r="V10" s="3124"/>
      <c r="W10" s="159" t="str">
        <f t="shared" ref="W10:W47" si="4">IF(AND(C10="Efficiency",B10="60% AMI",NOT(M10="Common Space")),E10,"")</f>
        <v/>
      </c>
      <c r="X10" s="159" t="str">
        <f t="shared" ref="X10:X47" si="5">IF(AND(C10=1,B10="60% AMI",NOT(M10="Common Space")),E10,"")</f>
        <v/>
      </c>
      <c r="Y10" s="159" t="str">
        <f t="shared" ref="Y10:Y47" si="6">IF(AND(C10=2,B10="60% AMI",NOT(M10="Common Space")),E10,"")</f>
        <v/>
      </c>
      <c r="Z10" s="159">
        <f t="shared" ref="Z10:Z47" si="7">IF(AND(C10=3,B10="60% AMI",NOT(M10="Common Space")),E10,"")</f>
        <v>76</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f t="shared" ref="CC10:CC47" si="62">IF(OR(AND(C10=3,B10="60% AMI",NOT(M10="Common Space")),AND(C10=3,B10="HOME 60% AMI",NOT(M10="Common Space"))),E10*F10,"")</f>
        <v>95000</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f t="shared" ref="DG10:DG47" si="92">IF(AND($C10=3, $O10="New Construction",NOT($B10="Unrestricted"),NOT($B10="NSP 120% AMI"),NOT($B10="N/A-CS"),NOT($M10="Common Space")),$E10,"")</f>
        <v>76</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t="str">
        <f t="shared" ref="EX10:EX47" si="135">IF(AND($C10=1, NOT(OR($N10="SF Detached",$N10="Mfd Home",$N10="Duplex",$N10="Townhome"))),$E10,"")</f>
        <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f t="shared" ref="GI10:GI47" si="172">IF(AND($C10=3, $N10="Townhome",NOT($P10="Yes")),$E10,"")</f>
        <v>76</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76</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2</v>
      </c>
      <c r="D11" s="182">
        <v>2</v>
      </c>
      <c r="E11" s="183">
        <v>20</v>
      </c>
      <c r="F11" s="183">
        <v>1215</v>
      </c>
      <c r="G11" s="183">
        <v>1077</v>
      </c>
      <c r="H11" s="183">
        <v>1020</v>
      </c>
      <c r="I11" s="1211">
        <f>IF(C11="",0,HLOOKUP(C11,'Part V-Utility Allowances'!$I$11:$M$21,11))</f>
        <v>120</v>
      </c>
      <c r="J11" s="1014"/>
      <c r="K11" s="734">
        <f t="shared" si="1"/>
        <v>900</v>
      </c>
      <c r="L11" s="734">
        <f t="shared" si="2"/>
        <v>18000</v>
      </c>
      <c r="M11" s="1123" t="s">
        <v>3014</v>
      </c>
      <c r="N11" s="1123" t="s">
        <v>42</v>
      </c>
      <c r="O11" s="1123" t="s">
        <v>2311</v>
      </c>
      <c r="P11" s="185" t="s">
        <v>3014</v>
      </c>
      <c r="Q11" s="1103">
        <f t="shared" si="3"/>
        <v>40800</v>
      </c>
      <c r="R11" s="1104">
        <f>IF(H11="","",IF(C11="Efficiency",Q11/($O$6*VLOOKUP(0,'DCA Underwriting Assumptions'!$J$143:$K$148,2,FALSE)),Q11/($O$6*VLOOKUP(C11,'DCA Underwriting Assumptions'!$J$143:$K$148,2,FALSE))))</f>
        <v>0.65040650406504064</v>
      </c>
      <c r="S11" s="1184"/>
      <c r="T11" s="1185"/>
      <c r="U11" s="3116"/>
      <c r="V11" s="3117"/>
      <c r="W11" s="159" t="str">
        <f t="shared" si="4"/>
        <v/>
      </c>
      <c r="X11" s="159" t="str">
        <f t="shared" si="5"/>
        <v/>
      </c>
      <c r="Y11" s="159">
        <f t="shared" si="6"/>
        <v>20</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24300</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f t="shared" si="91"/>
        <v>20</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t="str">
        <f t="shared" si="136"/>
        <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f t="shared" si="171"/>
        <v>20</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20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1784</v>
      </c>
      <c r="C12" s="181"/>
      <c r="D12" s="182"/>
      <c r="E12" s="183"/>
      <c r="F12" s="183"/>
      <c r="G12" s="183"/>
      <c r="H12" s="183"/>
      <c r="I12" s="1211">
        <f>IF(C12="",0,HLOOKUP(C12,'Part V-Utility Allowances'!$I$11:$M$21,11))</f>
        <v>0</v>
      </c>
      <c r="J12" s="1014"/>
      <c r="K12" s="734">
        <f t="shared" si="1"/>
        <v>0</v>
      </c>
      <c r="L12" s="734">
        <f t="shared" si="2"/>
        <v>0</v>
      </c>
      <c r="M12" s="1123"/>
      <c r="N12" s="1123"/>
      <c r="O12" s="1123"/>
      <c r="P12" s="185"/>
      <c r="Q12" s="1103" t="str">
        <f t="shared" si="3"/>
        <v/>
      </c>
      <c r="R12" s="1104" t="str">
        <f>IF(H12="","",IF(C12="Efficiency",Q12/($O$6*VLOOKUP(0,'DCA Underwriting Assumptions'!$J$143:$K$148,2,FALSE)),Q12/($O$6*VLOOKUP(C12,'DCA Underwriting Assumptions'!$J$143:$K$148,2,FALSE))))</f>
        <v/>
      </c>
      <c r="S12" s="1184"/>
      <c r="T12" s="1185"/>
      <c r="U12" s="3116"/>
      <c r="V12" s="3117"/>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1784</v>
      </c>
      <c r="C13" s="181"/>
      <c r="D13" s="182"/>
      <c r="E13" s="183"/>
      <c r="F13" s="183"/>
      <c r="G13" s="183"/>
      <c r="H13" s="183"/>
      <c r="I13" s="1211">
        <f>IF(C13="",0,HLOOKUP(C13,'Part V-Utility Allowances'!$I$11:$M$21,11))</f>
        <v>0</v>
      </c>
      <c r="J13" s="1014"/>
      <c r="K13" s="734">
        <f t="shared" si="1"/>
        <v>0</v>
      </c>
      <c r="L13" s="734">
        <f t="shared" si="2"/>
        <v>0</v>
      </c>
      <c r="M13" s="1123"/>
      <c r="N13" s="1123"/>
      <c r="O13" s="1123"/>
      <c r="P13" s="185"/>
      <c r="Q13" s="1103" t="str">
        <f t="shared" si="3"/>
        <v/>
      </c>
      <c r="R13" s="1104" t="str">
        <f>IF(H13="","",IF(C13="Efficiency",Q13/($O$6*VLOOKUP(0,'DCA Underwriting Assumptions'!$J$143:$K$148,2,FALSE)),Q13/($O$6*VLOOKUP(C13,'DCA Underwriting Assumptions'!$J$143:$K$148,2,FALSE))))</f>
        <v/>
      </c>
      <c r="S13" s="1184"/>
      <c r="T13" s="1185"/>
      <c r="U13" s="3116"/>
      <c r="V13" s="3117"/>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1">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116"/>
      <c r="V14" s="3117"/>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1">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116"/>
      <c r="V15" s="3117"/>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116"/>
      <c r="V16" s="3117"/>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116"/>
      <c r="V17" s="3117"/>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116"/>
      <c r="V18" s="3117"/>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116"/>
      <c r="V19" s="3117"/>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116"/>
      <c r="V20" s="3117"/>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116"/>
      <c r="V21" s="3117"/>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116"/>
      <c r="V22" s="3117"/>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116"/>
      <c r="V23" s="3117"/>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116"/>
      <c r="V24" s="3117"/>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116"/>
      <c r="V25" s="3117"/>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116"/>
      <c r="V26" s="3117"/>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116"/>
      <c r="V27" s="3117"/>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116"/>
      <c r="V28" s="3117"/>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116"/>
      <c r="V29" s="3117"/>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116"/>
      <c r="V30" s="3117"/>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116"/>
      <c r="V31" s="3117"/>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116"/>
      <c r="V32" s="3117"/>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116"/>
      <c r="V33" s="3117"/>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116"/>
      <c r="V34" s="3117"/>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116"/>
      <c r="V35" s="3117"/>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116"/>
      <c r="V36" s="3117"/>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116"/>
      <c r="V37" s="3117"/>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116"/>
      <c r="V38" s="3117"/>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116"/>
      <c r="V39" s="3117"/>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116"/>
      <c r="V40" s="3117"/>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116"/>
      <c r="V41" s="3117"/>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116"/>
      <c r="V42" s="3117"/>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116"/>
      <c r="V43" s="3117"/>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116"/>
      <c r="V44" s="3117"/>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116"/>
      <c r="V45" s="3117"/>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116"/>
      <c r="V46" s="3117"/>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62"/>
      <c r="V47" s="3163"/>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96</v>
      </c>
      <c r="F48" s="1121">
        <f>(E10*F10+E11*F11+E12*F12+E13*F13+E14*F14+E15*F15+E16*F16+E17*F17+E18*F18+E19*F19+E20*F20+E21*F21+E22*F22+E23*F23+E24*F24+E25*F25+E26*F26+E27*F27+E28*F28+E29*F29+E30*F30+E31*F31+E32*F32+E33*F33+E34*F34+E35*F35+E36*F36+E37*F37+E38*F38+E39*F39+E40*F40+E41*F41+E42*F42+E43*F43+E44*F44+E45*F45+E46*F46+E47*F47)</f>
        <v>119300</v>
      </c>
      <c r="G48" s="703"/>
      <c r="H48" s="704"/>
      <c r="I48" s="704"/>
      <c r="J48" s="704"/>
      <c r="K48" s="1127" t="s">
        <v>1314</v>
      </c>
      <c r="L48" s="134">
        <f>SUM(L10:L47)</f>
        <v>97876</v>
      </c>
      <c r="M48" s="102"/>
      <c r="N48" s="705"/>
      <c r="O48" s="102"/>
      <c r="P48" s="567"/>
      <c r="Q48" s="567"/>
      <c r="R48" s="567"/>
      <c r="S48" s="567"/>
      <c r="T48" s="567"/>
      <c r="U48" s="1092"/>
      <c r="V48" s="706"/>
      <c r="W48" s="707">
        <f t="shared" ref="W48:CH48" si="259">SUM(W10:W47)</f>
        <v>0</v>
      </c>
      <c r="X48" s="707">
        <f t="shared" si="259"/>
        <v>0</v>
      </c>
      <c r="Y48" s="707">
        <f t="shared" si="259"/>
        <v>20</v>
      </c>
      <c r="Z48" s="707">
        <f t="shared" si="259"/>
        <v>76</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0</v>
      </c>
      <c r="CB48" s="707">
        <f t="shared" si="259"/>
        <v>24300</v>
      </c>
      <c r="CC48" s="707">
        <f t="shared" si="259"/>
        <v>95000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20</v>
      </c>
      <c r="DG48" s="707">
        <f t="shared" si="260"/>
        <v>76</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0</v>
      </c>
      <c r="EY48" s="553">
        <f t="shared" si="261"/>
        <v>0</v>
      </c>
      <c r="EZ48" s="553">
        <f t="shared" si="261"/>
        <v>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20</v>
      </c>
      <c r="GI48" s="553">
        <f t="shared" si="261"/>
        <v>76</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0</v>
      </c>
      <c r="JF48" s="553">
        <f t="shared" si="262"/>
        <v>0</v>
      </c>
      <c r="JG48" s="553">
        <f t="shared" si="262"/>
        <v>0</v>
      </c>
      <c r="JH48" s="553">
        <f t="shared" si="262"/>
        <v>0</v>
      </c>
      <c r="JI48" s="553">
        <f t="shared" si="262"/>
        <v>0</v>
      </c>
      <c r="JJ48" s="553">
        <f t="shared" si="262"/>
        <v>20</v>
      </c>
      <c r="JK48" s="553">
        <f t="shared" si="262"/>
        <v>76</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1174512</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19" t="s">
        <v>2638</v>
      </c>
      <c r="B51" s="3120"/>
      <c r="C51" s="3120"/>
      <c r="D51" s="3120"/>
      <c r="E51" s="3120"/>
      <c r="F51" s="3120"/>
      <c r="G51" s="3120"/>
      <c r="H51" s="3120"/>
      <c r="I51" s="3120"/>
      <c r="J51" s="3120"/>
      <c r="K51" s="3120"/>
      <c r="L51" s="3120"/>
      <c r="M51" s="3120"/>
      <c r="N51" s="3120"/>
      <c r="O51" s="3120"/>
      <c r="P51" s="3120"/>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20"/>
      <c r="B52" s="3120"/>
      <c r="C52" s="3120"/>
      <c r="D52" s="3120"/>
      <c r="E52" s="3120"/>
      <c r="F52" s="3120"/>
      <c r="G52" s="3120"/>
      <c r="H52" s="3120"/>
      <c r="I52" s="3120"/>
      <c r="J52" s="3120"/>
      <c r="K52" s="3120"/>
      <c r="L52" s="3120"/>
      <c r="M52" s="3120"/>
      <c r="N52" s="3120"/>
      <c r="O52" s="3120"/>
      <c r="P52" s="3120"/>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164" t="str">
        <f>B53</f>
        <v>UNIT SUMMARY</v>
      </c>
      <c r="S53" s="3164"/>
      <c r="T53" s="3164"/>
      <c r="U53" s="3164"/>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0</v>
      </c>
      <c r="L56" s="1198">
        <f>Y48</f>
        <v>20</v>
      </c>
      <c r="M56" s="1198">
        <f>Z48</f>
        <v>76</v>
      </c>
      <c r="N56" s="1198">
        <f>AA48</f>
        <v>0</v>
      </c>
      <c r="O56" s="1198">
        <f t="shared" ref="O56:O62" si="263">SUM(J56:N56)</f>
        <v>96</v>
      </c>
      <c r="P56" s="3111" t="s">
        <v>3698</v>
      </c>
      <c r="Q56" s="1588"/>
      <c r="R56" s="3123"/>
      <c r="S56" s="3167"/>
      <c r="T56" s="3167"/>
      <c r="U56" s="3167"/>
      <c r="V56" s="3124"/>
      <c r="W56" s="567"/>
      <c r="Z56" s="567"/>
      <c r="AA56" s="53"/>
      <c r="AB56" s="704"/>
      <c r="AC56" s="704"/>
      <c r="AD56" s="704"/>
      <c r="AE56" s="704"/>
      <c r="AF56" s="704"/>
      <c r="AG56" s="704"/>
      <c r="AH56" s="53"/>
      <c r="AI56" s="102"/>
      <c r="IL56" s="554"/>
      <c r="JA56" s="541"/>
    </row>
    <row r="57" spans="1:296" ht="12" customHeight="1">
      <c r="A57" s="3112" t="s">
        <v>444</v>
      </c>
      <c r="B57" s="3112"/>
      <c r="C57" s="4"/>
      <c r="D57" s="1"/>
      <c r="E57" s="1"/>
      <c r="F57" s="1"/>
      <c r="G57" s="89"/>
      <c r="H57" s="37" t="s">
        <v>119</v>
      </c>
      <c r="I57" s="89"/>
      <c r="J57" s="740">
        <f>AB48</f>
        <v>0</v>
      </c>
      <c r="K57" s="740">
        <f>AC48</f>
        <v>0</v>
      </c>
      <c r="L57" s="740">
        <f>AD48</f>
        <v>0</v>
      </c>
      <c r="M57" s="740">
        <f>AE48</f>
        <v>0</v>
      </c>
      <c r="N57" s="740">
        <f>AF48</f>
        <v>0</v>
      </c>
      <c r="O57" s="740">
        <f t="shared" si="263"/>
        <v>0</v>
      </c>
      <c r="P57" s="3111"/>
      <c r="Q57" s="1588"/>
      <c r="R57" s="3116"/>
      <c r="S57" s="3166"/>
      <c r="T57" s="3166"/>
      <c r="U57" s="3166"/>
      <c r="V57" s="3117"/>
      <c r="W57" s="10"/>
      <c r="Z57" s="567"/>
      <c r="AA57" s="53"/>
      <c r="AB57" s="704"/>
      <c r="AC57" s="704"/>
      <c r="AD57" s="704"/>
      <c r="AE57" s="704"/>
      <c r="AF57" s="704"/>
      <c r="AG57" s="704"/>
      <c r="AH57" s="53"/>
      <c r="AI57" s="102"/>
      <c r="IL57" s="554"/>
      <c r="JA57" s="541"/>
    </row>
    <row r="58" spans="1:296" ht="12" customHeight="1">
      <c r="A58" s="3112"/>
      <c r="B58" s="3112"/>
      <c r="C58" s="4"/>
      <c r="D58" s="1"/>
      <c r="E58" s="1"/>
      <c r="F58" s="1"/>
      <c r="G58" s="89"/>
      <c r="H58" s="37" t="s">
        <v>544</v>
      </c>
      <c r="I58" s="89"/>
      <c r="J58" s="736">
        <f>SUM(J56:J57)</f>
        <v>0</v>
      </c>
      <c r="K58" s="736">
        <f>SUM(K56:K57)</f>
        <v>0</v>
      </c>
      <c r="L58" s="736">
        <f>SUM(L56:L57)</f>
        <v>20</v>
      </c>
      <c r="M58" s="736">
        <f>SUM(M56:M57)</f>
        <v>76</v>
      </c>
      <c r="N58" s="736">
        <f>SUM(N56:N57)</f>
        <v>0</v>
      </c>
      <c r="O58" s="736">
        <f t="shared" si="263"/>
        <v>96</v>
      </c>
      <c r="P58" s="3111"/>
      <c r="R58" s="3116"/>
      <c r="S58" s="3166"/>
      <c r="T58" s="3166"/>
      <c r="U58" s="3166"/>
      <c r="V58" s="3117"/>
      <c r="W58" s="10"/>
      <c r="Z58" s="567"/>
      <c r="AA58" s="53"/>
      <c r="AB58" s="704"/>
      <c r="AC58" s="704"/>
      <c r="AD58" s="704"/>
      <c r="AE58" s="704"/>
      <c r="AF58" s="704"/>
      <c r="AG58" s="704"/>
      <c r="AH58" s="53"/>
      <c r="AI58" s="102"/>
      <c r="IL58" s="554"/>
      <c r="JA58" s="541"/>
    </row>
    <row r="59" spans="1:296" ht="12" customHeight="1">
      <c r="A59" s="3112"/>
      <c r="B59" s="3112"/>
      <c r="C59" s="102" t="s">
        <v>305</v>
      </c>
      <c r="D59" s="1"/>
      <c r="E59" s="1"/>
      <c r="F59" s="1"/>
      <c r="G59" s="89"/>
      <c r="H59" s="37"/>
      <c r="I59" s="89"/>
      <c r="J59" s="737">
        <f>AL48</f>
        <v>0</v>
      </c>
      <c r="K59" s="737">
        <f>AM48</f>
        <v>0</v>
      </c>
      <c r="L59" s="737">
        <f>AN48</f>
        <v>0</v>
      </c>
      <c r="M59" s="737">
        <f>AO48</f>
        <v>0</v>
      </c>
      <c r="N59" s="737">
        <f>AP48</f>
        <v>0</v>
      </c>
      <c r="O59" s="737">
        <f t="shared" si="263"/>
        <v>0</v>
      </c>
      <c r="R59" s="3116"/>
      <c r="S59" s="3166"/>
      <c r="T59" s="3166"/>
      <c r="U59" s="3166"/>
      <c r="V59" s="3117"/>
      <c r="W59" s="102"/>
      <c r="Z59" s="567"/>
      <c r="AA59" s="53"/>
      <c r="AB59" s="704"/>
      <c r="AC59" s="704"/>
      <c r="AD59" s="704"/>
      <c r="AE59" s="704"/>
      <c r="AF59" s="704"/>
      <c r="AG59" s="704"/>
      <c r="AH59" s="506"/>
      <c r="AI59" s="102"/>
      <c r="IL59" s="554"/>
      <c r="JA59" s="541"/>
    </row>
    <row r="60" spans="1:296" ht="12" customHeight="1">
      <c r="A60" s="3112"/>
      <c r="B60" s="3112"/>
      <c r="C60" s="102" t="s">
        <v>1148</v>
      </c>
      <c r="D60" s="1"/>
      <c r="E60" s="1"/>
      <c r="F60" s="1"/>
      <c r="G60" s="89"/>
      <c r="H60" s="37"/>
      <c r="I60" s="89"/>
      <c r="J60" s="736">
        <f>SUM(J58:J59)</f>
        <v>0</v>
      </c>
      <c r="K60" s="736">
        <f>SUM(K58:K59)</f>
        <v>0</v>
      </c>
      <c r="L60" s="736">
        <f>SUM(L58:L59)</f>
        <v>20</v>
      </c>
      <c r="M60" s="736">
        <f>SUM(M58:M59)</f>
        <v>76</v>
      </c>
      <c r="N60" s="736">
        <f>SUM(N58:N59)</f>
        <v>0</v>
      </c>
      <c r="O60" s="736">
        <f t="shared" si="263"/>
        <v>96</v>
      </c>
      <c r="R60" s="3116"/>
      <c r="S60" s="3166"/>
      <c r="T60" s="3166"/>
      <c r="U60" s="3166"/>
      <c r="V60" s="3117"/>
      <c r="W60" s="567"/>
      <c r="Z60" s="567"/>
      <c r="AA60" s="53"/>
      <c r="AB60" s="704"/>
      <c r="AC60" s="704"/>
      <c r="AD60" s="704"/>
      <c r="AE60" s="704"/>
      <c r="AF60" s="704"/>
      <c r="AG60" s="704"/>
      <c r="AH60" s="506"/>
      <c r="AI60" s="102"/>
      <c r="IL60" s="554"/>
      <c r="JA60" s="541"/>
    </row>
    <row r="61" spans="1:296" ht="12" customHeight="1">
      <c r="A61" s="3112"/>
      <c r="B61" s="3112"/>
      <c r="C61" s="102" t="s">
        <v>2528</v>
      </c>
      <c r="D61" s="1"/>
      <c r="E61" s="1"/>
      <c r="F61" s="1"/>
      <c r="G61" s="89"/>
      <c r="H61" s="37"/>
      <c r="I61" s="89"/>
      <c r="J61" s="737">
        <f>BU48</f>
        <v>0</v>
      </c>
      <c r="K61" s="737">
        <f>BV48</f>
        <v>0</v>
      </c>
      <c r="L61" s="737">
        <f>BW48</f>
        <v>0</v>
      </c>
      <c r="M61" s="737">
        <f>BX48</f>
        <v>0</v>
      </c>
      <c r="N61" s="737">
        <f>BY48</f>
        <v>0</v>
      </c>
      <c r="O61" s="737">
        <f t="shared" si="263"/>
        <v>0</v>
      </c>
      <c r="P61" s="600" t="s">
        <v>3699</v>
      </c>
      <c r="R61" s="3116"/>
      <c r="S61" s="3166"/>
      <c r="T61" s="3166"/>
      <c r="U61" s="3166"/>
      <c r="V61" s="3117"/>
      <c r="W61" s="567"/>
      <c r="Z61" s="567"/>
      <c r="AA61" s="53"/>
      <c r="AB61" s="704"/>
      <c r="AC61" s="704"/>
      <c r="AD61" s="704"/>
      <c r="AE61" s="704"/>
      <c r="AF61" s="704"/>
      <c r="AG61" s="704"/>
      <c r="AH61" s="53"/>
      <c r="AI61" s="102"/>
      <c r="IL61" s="554"/>
      <c r="JA61" s="541"/>
    </row>
    <row r="62" spans="1:296" ht="12" customHeight="1">
      <c r="A62" s="3112"/>
      <c r="B62" s="3112"/>
      <c r="C62" s="102" t="s">
        <v>544</v>
      </c>
      <c r="D62" s="1"/>
      <c r="E62" s="1"/>
      <c r="F62" s="1"/>
      <c r="G62" s="89"/>
      <c r="H62" s="37"/>
      <c r="I62" s="89"/>
      <c r="J62" s="738">
        <f>SUM(J60:J61)</f>
        <v>0</v>
      </c>
      <c r="K62" s="738">
        <f>SUM(K60:K61)</f>
        <v>0</v>
      </c>
      <c r="L62" s="738">
        <f>SUM(L60:L61)</f>
        <v>20</v>
      </c>
      <c r="M62" s="738">
        <f>SUM(M60:M61)</f>
        <v>76</v>
      </c>
      <c r="N62" s="738">
        <f>SUM(N60:N61)</f>
        <v>0</v>
      </c>
      <c r="O62" s="738">
        <f t="shared" si="263"/>
        <v>96</v>
      </c>
      <c r="R62" s="3162"/>
      <c r="S62" s="3165"/>
      <c r="T62" s="3165"/>
      <c r="U62" s="3165"/>
      <c r="V62" s="3163"/>
      <c r="W62" s="567"/>
      <c r="Z62" s="567"/>
      <c r="AA62" s="53"/>
      <c r="AB62" s="704"/>
      <c r="AC62" s="704"/>
      <c r="AD62" s="704"/>
      <c r="AE62" s="704"/>
      <c r="AF62" s="704"/>
      <c r="AG62" s="704"/>
      <c r="AH62" s="565"/>
      <c r="AI62" s="102"/>
      <c r="IL62" s="554"/>
      <c r="JA62" s="541"/>
    </row>
    <row r="63" spans="1:296" ht="9" customHeight="1">
      <c r="A63" s="3112"/>
      <c r="B63" s="3112"/>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12"/>
      <c r="B64" s="3112"/>
      <c r="C64" s="102" t="s">
        <v>943</v>
      </c>
      <c r="D64" s="1"/>
      <c r="E64" s="120"/>
      <c r="F64" s="1"/>
      <c r="G64" s="89"/>
      <c r="H64" s="37" t="s">
        <v>1159</v>
      </c>
      <c r="I64" s="89"/>
      <c r="J64" s="1198">
        <f>BA48</f>
        <v>0</v>
      </c>
      <c r="K64" s="1198">
        <f>BB48</f>
        <v>0</v>
      </c>
      <c r="L64" s="1198">
        <f>BC48</f>
        <v>0</v>
      </c>
      <c r="M64" s="1198">
        <f>BD48</f>
        <v>0</v>
      </c>
      <c r="N64" s="1198">
        <f>BE48</f>
        <v>0</v>
      </c>
      <c r="O64" s="1198">
        <f>SUM(J64:N64)</f>
        <v>0</v>
      </c>
      <c r="R64" s="3123"/>
      <c r="S64" s="3167"/>
      <c r="T64" s="3167"/>
      <c r="U64" s="3167"/>
      <c r="V64" s="3124"/>
      <c r="W64" s="567"/>
      <c r="Z64" s="567"/>
      <c r="AA64" s="53"/>
      <c r="AB64" s="704"/>
      <c r="AC64" s="704"/>
      <c r="AD64" s="704"/>
      <c r="AE64" s="704"/>
      <c r="AF64" s="704"/>
      <c r="AG64" s="704"/>
      <c r="AH64" s="53"/>
      <c r="AI64" s="102"/>
      <c r="IL64" s="554"/>
      <c r="JA64" s="541"/>
    </row>
    <row r="65" spans="1:261" ht="12" customHeight="1">
      <c r="A65" s="3112"/>
      <c r="B65" s="3112"/>
      <c r="C65" s="37" t="s">
        <v>2529</v>
      </c>
      <c r="D65" s="1"/>
      <c r="E65" s="120"/>
      <c r="F65" s="1"/>
      <c r="G65" s="89"/>
      <c r="H65" s="37" t="s">
        <v>119</v>
      </c>
      <c r="I65" s="89"/>
      <c r="J65" s="740">
        <f>AV48</f>
        <v>0</v>
      </c>
      <c r="K65" s="740">
        <f>AW48</f>
        <v>0</v>
      </c>
      <c r="L65" s="740">
        <f>AX48</f>
        <v>0</v>
      </c>
      <c r="M65" s="740">
        <f>AY48</f>
        <v>0</v>
      </c>
      <c r="N65" s="740">
        <f>AZ48</f>
        <v>0</v>
      </c>
      <c r="O65" s="740">
        <f>SUM(J65:N65)</f>
        <v>0</v>
      </c>
      <c r="R65" s="3116"/>
      <c r="S65" s="3166"/>
      <c r="T65" s="3166"/>
      <c r="U65" s="3166"/>
      <c r="V65" s="3117"/>
      <c r="W65" s="53"/>
      <c r="Z65" s="567"/>
      <c r="AA65" s="53"/>
      <c r="AB65" s="704"/>
      <c r="AC65" s="704"/>
      <c r="AD65" s="704"/>
      <c r="AE65" s="704"/>
      <c r="AF65" s="704"/>
      <c r="AG65" s="704"/>
      <c r="AH65" s="53"/>
      <c r="AI65" s="102"/>
      <c r="IL65" s="554"/>
      <c r="JA65" s="541"/>
    </row>
    <row r="66" spans="1:261" ht="12" customHeight="1">
      <c r="A66" s="3112"/>
      <c r="B66" s="3112"/>
      <c r="C66" s="4"/>
      <c r="D66" s="1"/>
      <c r="E66" s="120"/>
      <c r="F66" s="1"/>
      <c r="G66" s="89"/>
      <c r="H66" s="37" t="s">
        <v>544</v>
      </c>
      <c r="I66" s="89"/>
      <c r="J66" s="738">
        <f>SUM(J64:J65)</f>
        <v>0</v>
      </c>
      <c r="K66" s="738">
        <f>SUM(K64:K65)</f>
        <v>0</v>
      </c>
      <c r="L66" s="738">
        <f>SUM(L64:L65)</f>
        <v>0</v>
      </c>
      <c r="M66" s="738">
        <f>SUM(M64:M65)</f>
        <v>0</v>
      </c>
      <c r="N66" s="738">
        <f>SUM(N64:N65)</f>
        <v>0</v>
      </c>
      <c r="O66" s="738">
        <f>SUM(J66:N66)</f>
        <v>0</v>
      </c>
      <c r="R66" s="3162"/>
      <c r="S66" s="3165"/>
      <c r="T66" s="3165"/>
      <c r="U66" s="3165"/>
      <c r="V66" s="3163"/>
      <c r="W66" s="10"/>
      <c r="Z66" s="567"/>
      <c r="AA66" s="53"/>
      <c r="AB66" s="704"/>
      <c r="AC66" s="704"/>
      <c r="AD66" s="704"/>
      <c r="AE66" s="704"/>
      <c r="AF66" s="704"/>
      <c r="AG66" s="704"/>
      <c r="AH66" s="53"/>
      <c r="AI66" s="102"/>
      <c r="IL66" s="554"/>
      <c r="JA66" s="541"/>
    </row>
    <row r="67" spans="1:261" ht="9" customHeight="1">
      <c r="A67" s="3112"/>
      <c r="B67" s="3112"/>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12"/>
      <c r="B68" s="3112"/>
      <c r="C68" s="3113" t="s">
        <v>899</v>
      </c>
      <c r="D68" s="3113"/>
      <c r="E68" s="3113"/>
      <c r="F68" s="1"/>
      <c r="G68" s="89"/>
      <c r="H68" s="37" t="s">
        <v>1159</v>
      </c>
      <c r="I68" s="89"/>
      <c r="J68" s="1198">
        <f>BP48</f>
        <v>0</v>
      </c>
      <c r="K68" s="1198">
        <f>BQ48</f>
        <v>0</v>
      </c>
      <c r="L68" s="1198">
        <f>BR48</f>
        <v>0</v>
      </c>
      <c r="M68" s="1198">
        <f>BS48</f>
        <v>0</v>
      </c>
      <c r="N68" s="1198">
        <f>BT48</f>
        <v>0</v>
      </c>
      <c r="O68" s="1198">
        <f>SUM(J68:N68)</f>
        <v>0</v>
      </c>
      <c r="R68" s="3123"/>
      <c r="S68" s="3167"/>
      <c r="T68" s="3167"/>
      <c r="U68" s="3167"/>
      <c r="V68" s="3124"/>
      <c r="W68" s="102"/>
      <c r="Z68" s="567"/>
      <c r="AA68" s="53"/>
      <c r="AB68" s="704"/>
      <c r="AC68" s="704"/>
      <c r="AD68" s="704"/>
      <c r="AE68" s="704"/>
      <c r="AF68" s="704"/>
      <c r="AG68" s="704"/>
      <c r="AH68" s="53"/>
      <c r="AI68" s="102"/>
      <c r="IL68" s="554"/>
      <c r="JA68" s="541"/>
    </row>
    <row r="69" spans="1:261" ht="12" customHeight="1">
      <c r="A69" s="3112"/>
      <c r="B69" s="3112"/>
      <c r="C69" s="3113"/>
      <c r="D69" s="3113"/>
      <c r="E69" s="3113"/>
      <c r="F69" s="1"/>
      <c r="G69" s="89"/>
      <c r="H69" s="37" t="s">
        <v>119</v>
      </c>
      <c r="I69" s="89"/>
      <c r="J69" s="740">
        <f>BK48</f>
        <v>0</v>
      </c>
      <c r="K69" s="740">
        <f>BL48</f>
        <v>0</v>
      </c>
      <c r="L69" s="740">
        <f>BM48</f>
        <v>0</v>
      </c>
      <c r="M69" s="740">
        <f>BN48</f>
        <v>0</v>
      </c>
      <c r="N69" s="740">
        <f>BO48</f>
        <v>0</v>
      </c>
      <c r="O69" s="740">
        <f>SUM(J69:N69)</f>
        <v>0</v>
      </c>
      <c r="R69" s="3116"/>
      <c r="S69" s="3166"/>
      <c r="T69" s="3166"/>
      <c r="U69" s="3166"/>
      <c r="V69" s="3117"/>
      <c r="W69" s="37"/>
      <c r="Z69" s="567"/>
      <c r="AA69" s="53"/>
      <c r="AB69" s="704"/>
      <c r="AC69" s="704"/>
      <c r="AD69" s="704"/>
      <c r="AE69" s="704"/>
      <c r="AF69" s="704"/>
      <c r="AG69" s="704"/>
      <c r="AH69" s="53"/>
      <c r="AI69" s="102"/>
      <c r="IL69" s="554"/>
      <c r="JA69" s="541"/>
    </row>
    <row r="70" spans="1:261" ht="12" customHeight="1">
      <c r="A70" s="3112"/>
      <c r="B70" s="3112"/>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162"/>
      <c r="S70" s="3165"/>
      <c r="T70" s="3165"/>
      <c r="U70" s="3165"/>
      <c r="V70" s="3163"/>
      <c r="W70" s="10"/>
      <c r="Z70" s="567"/>
      <c r="AA70" s="53"/>
      <c r="AB70" s="704"/>
      <c r="AC70" s="704"/>
      <c r="AD70" s="704"/>
      <c r="AE70" s="704"/>
      <c r="AF70" s="704"/>
      <c r="AG70" s="704"/>
      <c r="AH70" s="53"/>
      <c r="AI70" s="102"/>
      <c r="IL70" s="554"/>
      <c r="JA70" s="541"/>
    </row>
    <row r="71" spans="1:261" ht="9" customHeight="1">
      <c r="A71" s="3112"/>
      <c r="B71" s="3112"/>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12"/>
      <c r="B72" s="3112"/>
      <c r="C72" s="3114" t="s">
        <v>39</v>
      </c>
      <c r="D72" s="3114"/>
      <c r="E72" s="112" t="s">
        <v>2311</v>
      </c>
      <c r="F72" s="1"/>
      <c r="G72" s="89"/>
      <c r="H72" s="37" t="s">
        <v>1444</v>
      </c>
      <c r="I72" s="89"/>
      <c r="J72" s="736">
        <f>DD48</f>
        <v>0</v>
      </c>
      <c r="K72" s="736">
        <f>DE48</f>
        <v>0</v>
      </c>
      <c r="L72" s="736">
        <f>DF48</f>
        <v>20</v>
      </c>
      <c r="M72" s="736">
        <f>DG48</f>
        <v>76</v>
      </c>
      <c r="N72" s="736">
        <f>DH48</f>
        <v>0</v>
      </c>
      <c r="O72" s="736">
        <f t="shared" ref="O72:O82" si="264">SUM(J72:N72)</f>
        <v>96</v>
      </c>
      <c r="R72" s="3123"/>
      <c r="S72" s="3167"/>
      <c r="T72" s="3167"/>
      <c r="U72" s="3167"/>
      <c r="V72" s="3124"/>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12"/>
      <c r="B73" s="3112"/>
      <c r="C73" s="3114"/>
      <c r="D73" s="3114"/>
      <c r="E73" s="120"/>
      <c r="F73" s="1"/>
      <c r="G73" s="89"/>
      <c r="H73" s="37" t="s">
        <v>305</v>
      </c>
      <c r="I73" s="89"/>
      <c r="J73" s="737">
        <f>DI48</f>
        <v>0</v>
      </c>
      <c r="K73" s="737">
        <f>DJ48</f>
        <v>0</v>
      </c>
      <c r="L73" s="737">
        <f>DK48</f>
        <v>0</v>
      </c>
      <c r="M73" s="737">
        <f>DL48</f>
        <v>0</v>
      </c>
      <c r="N73" s="737">
        <f>DM48</f>
        <v>0</v>
      </c>
      <c r="O73" s="737">
        <f t="shared" si="264"/>
        <v>0</v>
      </c>
      <c r="R73" s="3116"/>
      <c r="S73" s="3166"/>
      <c r="T73" s="3166"/>
      <c r="U73" s="3166"/>
      <c r="V73" s="3117"/>
      <c r="W73" s="567"/>
      <c r="Z73" s="567"/>
      <c r="AA73" s="53"/>
      <c r="AB73" s="704"/>
      <c r="AC73" s="704"/>
      <c r="AD73" s="704"/>
      <c r="AE73" s="704"/>
      <c r="AF73" s="704"/>
      <c r="AG73" s="704"/>
      <c r="AH73" s="506"/>
      <c r="AI73" s="102"/>
      <c r="IL73" s="554"/>
      <c r="JA73" s="541"/>
    </row>
    <row r="74" spans="1:261" ht="12" customHeight="1">
      <c r="A74" s="3112"/>
      <c r="B74" s="3112"/>
      <c r="C74" s="3114"/>
      <c r="D74" s="3114"/>
      <c r="E74" s="120"/>
      <c r="F74" s="1"/>
      <c r="G74" s="89"/>
      <c r="H74" s="37" t="s">
        <v>32</v>
      </c>
      <c r="I74" s="89"/>
      <c r="J74" s="738">
        <f>SUM(J72:J73)+DN48</f>
        <v>0</v>
      </c>
      <c r="K74" s="738">
        <f>SUM(K72:K73)+DO48</f>
        <v>0</v>
      </c>
      <c r="L74" s="738">
        <f>SUM(L72:L73)+DP48</f>
        <v>20</v>
      </c>
      <c r="M74" s="738">
        <f>SUM(M72:M73)+DQ48</f>
        <v>76</v>
      </c>
      <c r="N74" s="738">
        <f>SUM(N72:N73)+DR48</f>
        <v>0</v>
      </c>
      <c r="O74" s="738">
        <f t="shared" si="264"/>
        <v>96</v>
      </c>
      <c r="R74" s="3116"/>
      <c r="S74" s="3166"/>
      <c r="T74" s="3166"/>
      <c r="U74" s="3166"/>
      <c r="V74" s="3117"/>
      <c r="W74" s="10"/>
      <c r="Z74" s="567"/>
      <c r="AA74" s="37"/>
      <c r="AB74" s="704"/>
      <c r="AC74" s="704"/>
      <c r="AD74" s="704"/>
      <c r="AE74" s="704"/>
      <c r="AF74" s="704"/>
      <c r="AG74" s="704"/>
      <c r="AH74" s="53"/>
      <c r="AI74" s="102"/>
      <c r="IL74" s="554"/>
      <c r="JA74" s="541"/>
    </row>
    <row r="75" spans="1:261" ht="12" customHeight="1">
      <c r="A75" s="3112"/>
      <c r="B75" s="3112"/>
      <c r="C75" s="3114"/>
      <c r="D75" s="3114"/>
      <c r="E75" s="112" t="s">
        <v>2153</v>
      </c>
      <c r="F75" s="1"/>
      <c r="G75" s="89"/>
      <c r="H75" s="37" t="s">
        <v>1444</v>
      </c>
      <c r="I75" s="89"/>
      <c r="J75" s="736">
        <f>DS48</f>
        <v>0</v>
      </c>
      <c r="K75" s="736">
        <f>DT48</f>
        <v>0</v>
      </c>
      <c r="L75" s="736">
        <f>DU48</f>
        <v>0</v>
      </c>
      <c r="M75" s="736">
        <f>DV48</f>
        <v>0</v>
      </c>
      <c r="N75" s="736">
        <f>DW48</f>
        <v>0</v>
      </c>
      <c r="O75" s="736">
        <f t="shared" si="264"/>
        <v>0</v>
      </c>
      <c r="R75" s="3116"/>
      <c r="S75" s="3166"/>
      <c r="T75" s="3166"/>
      <c r="U75" s="3166"/>
      <c r="V75" s="3117"/>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12"/>
      <c r="B76" s="3112"/>
      <c r="C76" s="3114"/>
      <c r="D76" s="3114"/>
      <c r="E76" s="120"/>
      <c r="F76" s="1"/>
      <c r="G76" s="89"/>
      <c r="H76" s="37" t="s">
        <v>305</v>
      </c>
      <c r="I76" s="89"/>
      <c r="J76" s="737">
        <f>DX48</f>
        <v>0</v>
      </c>
      <c r="K76" s="737">
        <f>DY48</f>
        <v>0</v>
      </c>
      <c r="L76" s="737">
        <f>DZ48</f>
        <v>0</v>
      </c>
      <c r="M76" s="737">
        <f>EA48</f>
        <v>0</v>
      </c>
      <c r="N76" s="737">
        <f>EB48</f>
        <v>0</v>
      </c>
      <c r="O76" s="737">
        <f t="shared" si="264"/>
        <v>0</v>
      </c>
      <c r="R76" s="3116"/>
      <c r="S76" s="3166"/>
      <c r="T76" s="3166"/>
      <c r="U76" s="3166"/>
      <c r="V76" s="3117"/>
      <c r="W76" s="567"/>
      <c r="Z76" s="567"/>
      <c r="AA76" s="53"/>
      <c r="AB76" s="704"/>
      <c r="AC76" s="704"/>
      <c r="AD76" s="704"/>
      <c r="AE76" s="704"/>
      <c r="AF76" s="704"/>
      <c r="AG76" s="704"/>
      <c r="AH76" s="506"/>
      <c r="AI76" s="102"/>
      <c r="IL76" s="554"/>
      <c r="JA76" s="541"/>
    </row>
    <row r="77" spans="1:261" ht="12" customHeight="1">
      <c r="A77" s="3112"/>
      <c r="B77" s="3112"/>
      <c r="C77" s="3114"/>
      <c r="D77" s="3114"/>
      <c r="E77" s="120"/>
      <c r="F77" s="1"/>
      <c r="G77" s="89"/>
      <c r="H77" s="37" t="s">
        <v>32</v>
      </c>
      <c r="I77" s="89"/>
      <c r="J77" s="738">
        <f>SUM(J75:J76)+EC48</f>
        <v>0</v>
      </c>
      <c r="K77" s="738">
        <f>SUM(K75:K76)+ED48</f>
        <v>0</v>
      </c>
      <c r="L77" s="738">
        <f>SUM(L75:L76)+EE48</f>
        <v>0</v>
      </c>
      <c r="M77" s="738">
        <f>SUM(M75:M76)+EF48</f>
        <v>0</v>
      </c>
      <c r="N77" s="738">
        <f>SUM(N75:N76)+EG48</f>
        <v>0</v>
      </c>
      <c r="O77" s="738">
        <f t="shared" si="264"/>
        <v>0</v>
      </c>
      <c r="R77" s="3116"/>
      <c r="S77" s="3166"/>
      <c r="T77" s="3166"/>
      <c r="U77" s="3166"/>
      <c r="V77" s="3117"/>
      <c r="W77" s="10"/>
      <c r="Z77" s="567"/>
      <c r="AA77" s="37"/>
      <c r="AB77" s="704"/>
      <c r="AC77" s="704"/>
      <c r="AD77" s="704"/>
      <c r="AE77" s="704"/>
      <c r="AF77" s="704"/>
      <c r="AG77" s="704"/>
      <c r="AH77" s="53"/>
      <c r="AI77" s="102"/>
      <c r="IL77" s="554"/>
      <c r="JA77" s="541"/>
    </row>
    <row r="78" spans="1:261" ht="12" customHeight="1">
      <c r="A78" s="3112"/>
      <c r="B78" s="3112"/>
      <c r="C78" s="1125"/>
      <c r="D78" s="1"/>
      <c r="E78" s="3115" t="s">
        <v>1431</v>
      </c>
      <c r="F78" s="3115"/>
      <c r="G78" s="89"/>
      <c r="H78" s="37" t="s">
        <v>1444</v>
      </c>
      <c r="I78" s="89"/>
      <c r="J78" s="736">
        <f>EH48</f>
        <v>0</v>
      </c>
      <c r="K78" s="736">
        <f>EI48</f>
        <v>0</v>
      </c>
      <c r="L78" s="736">
        <f>EJ48</f>
        <v>0</v>
      </c>
      <c r="M78" s="736">
        <f>EK48</f>
        <v>0</v>
      </c>
      <c r="N78" s="736">
        <f>EL48</f>
        <v>0</v>
      </c>
      <c r="O78" s="736">
        <f t="shared" si="264"/>
        <v>0</v>
      </c>
      <c r="R78" s="3116"/>
      <c r="S78" s="3166"/>
      <c r="T78" s="3166"/>
      <c r="U78" s="3166"/>
      <c r="V78" s="3117"/>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12"/>
      <c r="B79" s="3112"/>
      <c r="C79" s="1125"/>
      <c r="D79" s="1"/>
      <c r="E79" s="3115"/>
      <c r="F79" s="3115"/>
      <c r="G79" s="89"/>
      <c r="H79" s="37" t="s">
        <v>305</v>
      </c>
      <c r="I79" s="89"/>
      <c r="J79" s="737">
        <f>EM48</f>
        <v>0</v>
      </c>
      <c r="K79" s="737">
        <f>EN48</f>
        <v>0</v>
      </c>
      <c r="L79" s="737">
        <f>EO48</f>
        <v>0</v>
      </c>
      <c r="M79" s="737">
        <f>EP48</f>
        <v>0</v>
      </c>
      <c r="N79" s="737">
        <f>EQ48</f>
        <v>0</v>
      </c>
      <c r="O79" s="737">
        <f t="shared" si="264"/>
        <v>0</v>
      </c>
      <c r="R79" s="3116"/>
      <c r="S79" s="3166"/>
      <c r="T79" s="3166"/>
      <c r="U79" s="3166"/>
      <c r="V79" s="3117"/>
      <c r="W79" s="567"/>
      <c r="Z79" s="567"/>
      <c r="AA79" s="53"/>
      <c r="AB79" s="704"/>
      <c r="AC79" s="704"/>
      <c r="AD79" s="704"/>
      <c r="AE79" s="704"/>
      <c r="AF79" s="704"/>
      <c r="AG79" s="704"/>
      <c r="AH79" s="506"/>
      <c r="AI79" s="102"/>
      <c r="IL79" s="554"/>
      <c r="JA79" s="541"/>
    </row>
    <row r="80" spans="1:261" ht="12" customHeight="1">
      <c r="A80" s="3112"/>
      <c r="B80" s="3112"/>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116"/>
      <c r="S80" s="3166"/>
      <c r="T80" s="3166"/>
      <c r="U80" s="3166"/>
      <c r="V80" s="3117"/>
      <c r="W80" s="10"/>
      <c r="Z80" s="567"/>
      <c r="AA80" s="37"/>
      <c r="AB80" s="704"/>
      <c r="AC80" s="704"/>
      <c r="AD80" s="704"/>
      <c r="AE80" s="704"/>
      <c r="AF80" s="704"/>
      <c r="AG80" s="704"/>
      <c r="AH80" s="53"/>
      <c r="AI80" s="102"/>
      <c r="IL80" s="554"/>
      <c r="JA80" s="541"/>
    </row>
    <row r="81" spans="1:261" ht="12" customHeight="1">
      <c r="A81" s="3112"/>
      <c r="B81" s="3112"/>
      <c r="C81" s="1125"/>
      <c r="D81" s="1"/>
      <c r="E81" s="120" t="s">
        <v>367</v>
      </c>
      <c r="F81" s="1"/>
      <c r="G81" s="204"/>
      <c r="H81" s="89"/>
      <c r="I81" s="89"/>
      <c r="J81" s="741"/>
      <c r="K81" s="741"/>
      <c r="L81" s="741"/>
      <c r="M81" s="741"/>
      <c r="N81" s="741"/>
      <c r="O81" s="736">
        <f t="shared" si="264"/>
        <v>0</v>
      </c>
      <c r="R81" s="3116"/>
      <c r="S81" s="3166"/>
      <c r="T81" s="3166"/>
      <c r="U81" s="3166"/>
      <c r="V81" s="3117"/>
      <c r="W81" s="567"/>
      <c r="Z81" s="567"/>
      <c r="AA81" s="53"/>
      <c r="AB81" s="704"/>
      <c r="AC81" s="704"/>
      <c r="AD81" s="704"/>
      <c r="AE81" s="704"/>
      <c r="AF81" s="704"/>
      <c r="AG81" s="704"/>
      <c r="AH81" s="506"/>
      <c r="AI81" s="102"/>
      <c r="IL81" s="554"/>
      <c r="JA81" s="541"/>
    </row>
    <row r="82" spans="1:261" ht="12" customHeight="1">
      <c r="A82" s="3118" t="str">
        <f>IF(AND('Part IV-A-Uses of Funds'!$T$165="Yes",'Part IX A-Scoring Criteria'!$O$414&gt;0,O82&lt;1),"SHOW HISTORIC UNITS HERE &gt;&gt;&gt;&gt;","")</f>
        <v/>
      </c>
      <c r="B82" s="3118"/>
      <c r="C82" s="3118"/>
      <c r="D82" s="3118"/>
      <c r="E82" s="592" t="s">
        <v>3418</v>
      </c>
      <c r="F82" s="1"/>
      <c r="G82" s="204"/>
      <c r="H82" s="89"/>
      <c r="I82" s="89"/>
      <c r="J82" s="742"/>
      <c r="K82" s="742"/>
      <c r="L82" s="742"/>
      <c r="M82" s="742"/>
      <c r="N82" s="742"/>
      <c r="O82" s="737">
        <f t="shared" si="264"/>
        <v>0</v>
      </c>
      <c r="R82" s="3116"/>
      <c r="S82" s="3166"/>
      <c r="T82" s="3166"/>
      <c r="U82" s="3166"/>
      <c r="V82" s="3117"/>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116"/>
      <c r="S83" s="3166"/>
      <c r="T83" s="3166"/>
      <c r="U83" s="3166"/>
      <c r="V83" s="3117"/>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62"/>
      <c r="S84" s="3165"/>
      <c r="T84" s="3165"/>
      <c r="U84" s="3165"/>
      <c r="V84" s="3163"/>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8" t="s">
        <v>4139</v>
      </c>
      <c r="D86" s="3128"/>
      <c r="E86" s="1597" t="s">
        <v>40</v>
      </c>
      <c r="F86" s="1231"/>
      <c r="G86" s="1598"/>
      <c r="H86" s="1599"/>
      <c r="I86" s="1600"/>
      <c r="J86" s="751">
        <f t="shared" ref="J86:O86" si="265">SUM(J87:J94)</f>
        <v>0</v>
      </c>
      <c r="K86" s="751">
        <f t="shared" si="265"/>
        <v>0</v>
      </c>
      <c r="L86" s="751">
        <f t="shared" si="265"/>
        <v>0</v>
      </c>
      <c r="M86" s="751">
        <f t="shared" si="265"/>
        <v>0</v>
      </c>
      <c r="N86" s="751">
        <f t="shared" si="265"/>
        <v>0</v>
      </c>
      <c r="O86" s="751">
        <f t="shared" si="265"/>
        <v>0</v>
      </c>
      <c r="R86" s="3123"/>
      <c r="S86" s="3167"/>
      <c r="T86" s="3167"/>
      <c r="U86" s="3167"/>
      <c r="V86" s="3124"/>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9"/>
      <c r="D87" s="3129"/>
      <c r="E87" s="112"/>
      <c r="F87" s="5"/>
      <c r="G87" s="164"/>
      <c r="H87" s="1093" t="s">
        <v>2621</v>
      </c>
      <c r="I87" s="1601"/>
      <c r="J87" s="1191">
        <f>GP48</f>
        <v>0</v>
      </c>
      <c r="K87" s="1191">
        <f>GQ48</f>
        <v>0</v>
      </c>
      <c r="L87" s="1191">
        <f>GR48</f>
        <v>0</v>
      </c>
      <c r="M87" s="1191">
        <f>GS48</f>
        <v>0</v>
      </c>
      <c r="N87" s="1191">
        <f>GT48</f>
        <v>0</v>
      </c>
      <c r="O87" s="1191">
        <f t="shared" ref="O87:O102" si="266">SUM(J87:N87)</f>
        <v>0</v>
      </c>
      <c r="R87" s="3116"/>
      <c r="S87" s="3166"/>
      <c r="T87" s="3166"/>
      <c r="U87" s="3166"/>
      <c r="V87" s="3117"/>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9"/>
      <c r="D88" s="3129"/>
      <c r="E88" s="112"/>
      <c r="F88" s="5"/>
      <c r="G88" s="164"/>
      <c r="H88" s="103" t="s">
        <v>3379</v>
      </c>
      <c r="I88" s="1601"/>
      <c r="J88" s="740">
        <f>GU48</f>
        <v>0</v>
      </c>
      <c r="K88" s="740">
        <f>GV48</f>
        <v>0</v>
      </c>
      <c r="L88" s="740">
        <f>GW48</f>
        <v>0</v>
      </c>
      <c r="M88" s="740">
        <f>GX48</f>
        <v>0</v>
      </c>
      <c r="N88" s="740">
        <f>GY48</f>
        <v>0</v>
      </c>
      <c r="O88" s="740">
        <f t="shared" si="266"/>
        <v>0</v>
      </c>
      <c r="R88" s="3116"/>
      <c r="S88" s="3166"/>
      <c r="T88" s="3166"/>
      <c r="U88" s="3166"/>
      <c r="V88" s="3117"/>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9"/>
      <c r="D89" s="3129"/>
      <c r="E89" s="112"/>
      <c r="F89" s="5"/>
      <c r="G89" s="164"/>
      <c r="H89" s="1093" t="s">
        <v>2622</v>
      </c>
      <c r="I89" s="1601"/>
      <c r="J89" s="1191">
        <f>GZ48</f>
        <v>0</v>
      </c>
      <c r="K89" s="1191">
        <f>HA48</f>
        <v>0</v>
      </c>
      <c r="L89" s="1191">
        <f>HB48</f>
        <v>0</v>
      </c>
      <c r="M89" s="1191">
        <f>HC48</f>
        <v>0</v>
      </c>
      <c r="N89" s="1191">
        <f>HD48</f>
        <v>0</v>
      </c>
      <c r="O89" s="743">
        <f t="shared" si="266"/>
        <v>0</v>
      </c>
      <c r="R89" s="3116"/>
      <c r="S89" s="3166"/>
      <c r="T89" s="3166"/>
      <c r="U89" s="3166"/>
      <c r="V89" s="3117"/>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9"/>
      <c r="D90" s="3129"/>
      <c r="E90" s="112"/>
      <c r="F90" s="5"/>
      <c r="G90" s="164"/>
      <c r="H90" s="103" t="s">
        <v>3379</v>
      </c>
      <c r="I90" s="1601"/>
      <c r="J90" s="740">
        <f>HE48</f>
        <v>0</v>
      </c>
      <c r="K90" s="740">
        <f>HF48</f>
        <v>0</v>
      </c>
      <c r="L90" s="740">
        <f>HG48</f>
        <v>0</v>
      </c>
      <c r="M90" s="740">
        <f>HH48</f>
        <v>0</v>
      </c>
      <c r="N90" s="740">
        <f>HI48</f>
        <v>0</v>
      </c>
      <c r="O90" s="740">
        <f t="shared" si="266"/>
        <v>0</v>
      </c>
      <c r="R90" s="3116"/>
      <c r="S90" s="3166"/>
      <c r="T90" s="3166"/>
      <c r="U90" s="3166"/>
      <c r="V90" s="3117"/>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9"/>
      <c r="D91" s="3129"/>
      <c r="E91" s="112"/>
      <c r="F91" s="5"/>
      <c r="G91" s="164"/>
      <c r="H91" s="1093" t="s">
        <v>2624</v>
      </c>
      <c r="I91" s="1601"/>
      <c r="J91" s="1191">
        <f>HJ48</f>
        <v>0</v>
      </c>
      <c r="K91" s="1191">
        <f>HK48</f>
        <v>0</v>
      </c>
      <c r="L91" s="1191">
        <f>HL48</f>
        <v>0</v>
      </c>
      <c r="M91" s="1191">
        <f>HM48</f>
        <v>0</v>
      </c>
      <c r="N91" s="1191">
        <f>HN48</f>
        <v>0</v>
      </c>
      <c r="O91" s="743">
        <f t="shared" si="266"/>
        <v>0</v>
      </c>
      <c r="R91" s="3116"/>
      <c r="S91" s="3166"/>
      <c r="T91" s="3166"/>
      <c r="U91" s="3166"/>
      <c r="V91" s="3117"/>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9"/>
      <c r="D92" s="3129"/>
      <c r="E92" s="112"/>
      <c r="F92" s="5"/>
      <c r="G92" s="164"/>
      <c r="H92" s="103" t="s">
        <v>3379</v>
      </c>
      <c r="I92" s="1601"/>
      <c r="J92" s="740">
        <f>HO48</f>
        <v>0</v>
      </c>
      <c r="K92" s="740">
        <f>HP48</f>
        <v>0</v>
      </c>
      <c r="L92" s="740">
        <f>HQ48</f>
        <v>0</v>
      </c>
      <c r="M92" s="740">
        <f>HR48</f>
        <v>0</v>
      </c>
      <c r="N92" s="740">
        <f>HS48</f>
        <v>0</v>
      </c>
      <c r="O92" s="740">
        <f t="shared" si="266"/>
        <v>0</v>
      </c>
      <c r="R92" s="3116"/>
      <c r="S92" s="3166"/>
      <c r="T92" s="3166"/>
      <c r="U92" s="3166"/>
      <c r="V92" s="3117"/>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9"/>
      <c r="D93" s="3129"/>
      <c r="E93" s="112"/>
      <c r="F93" s="1"/>
      <c r="G93" s="89"/>
      <c r="H93" s="41" t="s">
        <v>2623</v>
      </c>
      <c r="I93" s="89"/>
      <c r="J93" s="1191">
        <f>HT48</f>
        <v>0</v>
      </c>
      <c r="K93" s="1191">
        <f>HU48</f>
        <v>0</v>
      </c>
      <c r="L93" s="1191">
        <f>HV48</f>
        <v>0</v>
      </c>
      <c r="M93" s="1191">
        <f>HW48</f>
        <v>0</v>
      </c>
      <c r="N93" s="1191">
        <f>HX48</f>
        <v>0</v>
      </c>
      <c r="O93" s="743">
        <f t="shared" si="266"/>
        <v>0</v>
      </c>
      <c r="R93" s="3116"/>
      <c r="S93" s="3166"/>
      <c r="T93" s="3166"/>
      <c r="U93" s="3166"/>
      <c r="V93" s="3117"/>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9"/>
      <c r="D94" s="3129"/>
      <c r="E94" s="112"/>
      <c r="F94" s="1"/>
      <c r="G94" s="89"/>
      <c r="H94" s="1086" t="s">
        <v>3379</v>
      </c>
      <c r="I94" s="89"/>
      <c r="J94" s="740">
        <f>HY48</f>
        <v>0</v>
      </c>
      <c r="K94" s="740">
        <f>HZ48</f>
        <v>0</v>
      </c>
      <c r="L94" s="740">
        <f>IA48</f>
        <v>0</v>
      </c>
      <c r="M94" s="740">
        <f>IB48</f>
        <v>0</v>
      </c>
      <c r="N94" s="740">
        <f>IC48</f>
        <v>0</v>
      </c>
      <c r="O94" s="740">
        <f t="shared" si="266"/>
        <v>0</v>
      </c>
      <c r="R94" s="3116"/>
      <c r="S94" s="3166"/>
      <c r="T94" s="3166"/>
      <c r="U94" s="3166"/>
      <c r="V94" s="3117"/>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116"/>
      <c r="S95" s="3166"/>
      <c r="T95" s="3166"/>
      <c r="U95" s="3166"/>
      <c r="V95" s="3117"/>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116"/>
      <c r="S96" s="3166"/>
      <c r="T96" s="3166"/>
      <c r="U96" s="3166"/>
      <c r="V96" s="3117"/>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20</v>
      </c>
      <c r="M97" s="743">
        <f>GI48</f>
        <v>76</v>
      </c>
      <c r="N97" s="743">
        <f>GJ48</f>
        <v>0</v>
      </c>
      <c r="O97" s="743">
        <f t="shared" si="266"/>
        <v>96</v>
      </c>
      <c r="R97" s="3116"/>
      <c r="S97" s="3166"/>
      <c r="T97" s="3166"/>
      <c r="U97" s="3166"/>
      <c r="V97" s="3117"/>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116"/>
      <c r="S98" s="3166"/>
      <c r="T98" s="3166"/>
      <c r="U98" s="3166"/>
      <c r="V98" s="3117"/>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116"/>
      <c r="S99" s="3166"/>
      <c r="T99" s="3166"/>
      <c r="U99" s="3166"/>
      <c r="V99" s="3117"/>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116"/>
      <c r="S100" s="3166"/>
      <c r="T100" s="3166"/>
      <c r="U100" s="3166"/>
      <c r="V100" s="3117"/>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116"/>
      <c r="S101" s="3166"/>
      <c r="T101" s="3166"/>
      <c r="U101" s="3166"/>
      <c r="V101" s="3117"/>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162"/>
      <c r="S102" s="3165"/>
      <c r="T102" s="3165"/>
      <c r="U102" s="3165"/>
      <c r="V102" s="3163"/>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8" t="s">
        <v>4677</v>
      </c>
      <c r="D104" s="3128"/>
      <c r="E104" s="1597" t="s">
        <v>3374</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123"/>
      <c r="S104" s="3167"/>
      <c r="T104" s="3167"/>
      <c r="U104" s="3167"/>
      <c r="V104" s="3124"/>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9"/>
      <c r="D105" s="3129"/>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116"/>
      <c r="S105" s="3166"/>
      <c r="T105" s="3166"/>
      <c r="U105" s="3166"/>
      <c r="V105" s="3117"/>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9"/>
      <c r="D106" s="3129"/>
      <c r="E106" s="112" t="s">
        <v>3375</v>
      </c>
      <c r="F106" s="600"/>
      <c r="G106" s="164"/>
      <c r="H106" s="600"/>
      <c r="I106" s="1601"/>
      <c r="J106" s="1194">
        <f>J87+J97</f>
        <v>0</v>
      </c>
      <c r="K106" s="1194">
        <f t="shared" ref="K106:N107" si="269">K87+K97</f>
        <v>0</v>
      </c>
      <c r="L106" s="1194">
        <f t="shared" si="269"/>
        <v>20</v>
      </c>
      <c r="M106" s="1194">
        <f t="shared" si="269"/>
        <v>76</v>
      </c>
      <c r="N106" s="1194">
        <f t="shared" si="269"/>
        <v>0</v>
      </c>
      <c r="O106" s="1194">
        <f t="shared" si="268"/>
        <v>96</v>
      </c>
      <c r="R106" s="3116"/>
      <c r="S106" s="3166"/>
      <c r="T106" s="3166"/>
      <c r="U106" s="3166"/>
      <c r="V106" s="3117"/>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9"/>
      <c r="D107" s="3129"/>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116"/>
      <c r="S107" s="3166"/>
      <c r="T107" s="3166"/>
      <c r="U107" s="3166"/>
      <c r="V107" s="3117"/>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9"/>
      <c r="D108" s="3129"/>
      <c r="E108" s="112" t="s">
        <v>3376</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116"/>
      <c r="S108" s="3166"/>
      <c r="T108" s="3166"/>
      <c r="U108" s="3166"/>
      <c r="V108" s="3117"/>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9"/>
      <c r="D109" s="3129"/>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116"/>
      <c r="S109" s="3166"/>
      <c r="T109" s="3166"/>
      <c r="U109" s="3166"/>
      <c r="V109" s="3117"/>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9"/>
      <c r="D110" s="3129"/>
      <c r="E110" s="112" t="s">
        <v>3377</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116"/>
      <c r="S110" s="3166"/>
      <c r="T110" s="3166"/>
      <c r="U110" s="3166"/>
      <c r="V110" s="3117"/>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162"/>
      <c r="S111" s="3165"/>
      <c r="T111" s="3165"/>
      <c r="U111" s="3165"/>
      <c r="V111" s="3163"/>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168" t="str">
        <f>B112</f>
        <v>Unit Square Footage:</v>
      </c>
      <c r="S112" s="3168"/>
      <c r="T112" s="3168"/>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0</v>
      </c>
      <c r="L113" s="1196">
        <f>CB48</f>
        <v>24300</v>
      </c>
      <c r="M113" s="1196">
        <f>CC48</f>
        <v>95000</v>
      </c>
      <c r="N113" s="1196">
        <f>CD48</f>
        <v>0</v>
      </c>
      <c r="O113" s="1196">
        <f t="shared" ref="O113:O119" si="272">SUM(J113:N113)</f>
        <v>119300</v>
      </c>
      <c r="R113" s="3123"/>
      <c r="S113" s="3167"/>
      <c r="T113" s="3167"/>
      <c r="U113" s="3167"/>
      <c r="V113" s="3124"/>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116"/>
      <c r="S114" s="3166"/>
      <c r="T114" s="3166"/>
      <c r="U114" s="3166"/>
      <c r="V114" s="3117"/>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0</v>
      </c>
      <c r="L115" s="747">
        <f>SUM(L113:L114)</f>
        <v>24300</v>
      </c>
      <c r="M115" s="747">
        <f>SUM(M113:M114)</f>
        <v>95000</v>
      </c>
      <c r="N115" s="747">
        <f>SUM(N113:N114)</f>
        <v>0</v>
      </c>
      <c r="O115" s="747">
        <f t="shared" si="272"/>
        <v>119300</v>
      </c>
      <c r="R115" s="3116"/>
      <c r="S115" s="3166"/>
      <c r="T115" s="3166"/>
      <c r="U115" s="3166"/>
      <c r="V115" s="3117"/>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116"/>
      <c r="S116" s="3166"/>
      <c r="T116" s="3166"/>
      <c r="U116" s="3166"/>
      <c r="V116" s="3117"/>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0</v>
      </c>
      <c r="L117" s="747">
        <f>SUM(L115:L116)</f>
        <v>24300</v>
      </c>
      <c r="M117" s="747">
        <f>SUM(M115:M116)</f>
        <v>95000</v>
      </c>
      <c r="N117" s="747">
        <f>SUM(N115:N116)</f>
        <v>0</v>
      </c>
      <c r="O117" s="747">
        <f t="shared" si="272"/>
        <v>119300</v>
      </c>
      <c r="R117" s="3116"/>
      <c r="S117" s="3166"/>
      <c r="T117" s="3166"/>
      <c r="U117" s="3166"/>
      <c r="V117" s="3117"/>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116"/>
      <c r="S118" s="3166"/>
      <c r="T118" s="3166"/>
      <c r="U118" s="3166"/>
      <c r="V118" s="3117"/>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0</v>
      </c>
      <c r="L119" s="749">
        <f>SUM(L117:L118)</f>
        <v>24300</v>
      </c>
      <c r="M119" s="749">
        <f>SUM(M117:M118)</f>
        <v>95000</v>
      </c>
      <c r="N119" s="749">
        <f>SUM(N117:N118)</f>
        <v>0</v>
      </c>
      <c r="O119" s="749">
        <f t="shared" si="272"/>
        <v>119300</v>
      </c>
      <c r="R119" s="3162"/>
      <c r="S119" s="3165"/>
      <c r="T119" s="3165"/>
      <c r="U119" s="3165"/>
      <c r="V119" s="3163"/>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30">
        <f>'Part VII-Pro Forma'!B9*L49</f>
        <v>23490.240000000002</v>
      </c>
      <c r="I122" s="3131"/>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123"/>
      <c r="S126" s="3167"/>
      <c r="T126" s="3167"/>
      <c r="U126" s="3167"/>
      <c r="V126" s="3124"/>
    </row>
    <row r="127" spans="1:263" ht="11.25" customHeight="1">
      <c r="B127" s="120" t="s">
        <v>749</v>
      </c>
      <c r="C127" s="3125"/>
      <c r="D127" s="3126"/>
      <c r="E127" s="3126"/>
      <c r="F127" s="3127"/>
      <c r="G127" s="1139"/>
      <c r="H127" s="1139"/>
      <c r="I127" s="1139"/>
      <c r="J127" s="1139"/>
      <c r="K127" s="1140"/>
      <c r="L127" s="1139"/>
      <c r="M127" s="1139"/>
      <c r="N127" s="1139"/>
      <c r="O127" s="1139"/>
      <c r="P127" s="1139"/>
      <c r="Q127" s="1064"/>
      <c r="R127" s="3116"/>
      <c r="S127" s="3166"/>
      <c r="T127" s="3166"/>
      <c r="U127" s="3166"/>
      <c r="V127" s="3117"/>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62"/>
      <c r="S128" s="3165"/>
      <c r="T128" s="3165"/>
      <c r="U128" s="3165"/>
      <c r="V128" s="3163"/>
    </row>
    <row r="129" spans="2:22" ht="11.25" customHeight="1">
      <c r="B129" s="1142" t="s">
        <v>3700</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123"/>
      <c r="S130" s="3167"/>
      <c r="T130" s="3167"/>
      <c r="U130" s="3167"/>
      <c r="V130" s="3124"/>
    </row>
    <row r="131" spans="2:22" ht="11.25" customHeight="1">
      <c r="B131" s="120" t="s">
        <v>749</v>
      </c>
      <c r="C131" s="3125"/>
      <c r="D131" s="3126"/>
      <c r="E131" s="3126"/>
      <c r="F131" s="3127"/>
      <c r="G131" s="1139"/>
      <c r="H131" s="1139"/>
      <c r="I131" s="1139"/>
      <c r="J131" s="1139"/>
      <c r="K131" s="1140"/>
      <c r="L131" s="1139"/>
      <c r="M131" s="1139"/>
      <c r="N131" s="1139"/>
      <c r="O131" s="1139"/>
      <c r="P131" s="1139"/>
      <c r="Q131" s="1064"/>
      <c r="R131" s="3116"/>
      <c r="S131" s="3166"/>
      <c r="T131" s="3166"/>
      <c r="U131" s="3166"/>
      <c r="V131" s="3117"/>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62"/>
      <c r="S132" s="3165"/>
      <c r="T132" s="3165"/>
      <c r="U132" s="3165"/>
      <c r="V132" s="3163"/>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123"/>
      <c r="S135" s="3167"/>
      <c r="T135" s="3167"/>
      <c r="U135" s="3167"/>
      <c r="V135" s="3124"/>
    </row>
    <row r="136" spans="2:22" ht="11.25" customHeight="1">
      <c r="B136" s="120" t="s">
        <v>749</v>
      </c>
      <c r="C136" s="3125"/>
      <c r="D136" s="3126"/>
      <c r="E136" s="3126"/>
      <c r="F136" s="3127"/>
      <c r="G136" s="1139"/>
      <c r="H136" s="1139"/>
      <c r="I136" s="1139"/>
      <c r="J136" s="1139"/>
      <c r="K136" s="1140"/>
      <c r="L136" s="1139"/>
      <c r="M136" s="1139"/>
      <c r="N136" s="1139"/>
      <c r="O136" s="1139"/>
      <c r="P136" s="1139"/>
      <c r="Q136" s="1064"/>
      <c r="R136" s="3116"/>
      <c r="S136" s="3166"/>
      <c r="T136" s="3166"/>
      <c r="U136" s="3166"/>
      <c r="V136" s="3117"/>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62"/>
      <c r="S137" s="3165"/>
      <c r="T137" s="3165"/>
      <c r="U137" s="3165"/>
      <c r="V137" s="3163"/>
    </row>
    <row r="138" spans="2:22" ht="11.25" customHeight="1">
      <c r="B138" s="1142" t="s">
        <v>3700</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123"/>
      <c r="S139" s="3167"/>
      <c r="T139" s="3167"/>
      <c r="U139" s="3167"/>
      <c r="V139" s="3124"/>
    </row>
    <row r="140" spans="2:22" ht="11.25" customHeight="1">
      <c r="B140" s="120" t="s">
        <v>749</v>
      </c>
      <c r="C140" s="3125"/>
      <c r="D140" s="3126"/>
      <c r="E140" s="3126"/>
      <c r="F140" s="3127"/>
      <c r="G140" s="1139"/>
      <c r="H140" s="1139"/>
      <c r="I140" s="1139"/>
      <c r="J140" s="1139"/>
      <c r="K140" s="1140"/>
      <c r="L140" s="1139"/>
      <c r="M140" s="1139"/>
      <c r="N140" s="1139"/>
      <c r="O140" s="1139"/>
      <c r="P140" s="1139"/>
      <c r="Q140" s="1064"/>
      <c r="R140" s="3116"/>
      <c r="S140" s="3166"/>
      <c r="T140" s="3166"/>
      <c r="U140" s="3166"/>
      <c r="V140" s="3117"/>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62"/>
      <c r="S141" s="3165"/>
      <c r="T141" s="3165"/>
      <c r="U141" s="3165"/>
      <c r="V141" s="3163"/>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123"/>
      <c r="S144" s="3167"/>
      <c r="T144" s="3167"/>
      <c r="U144" s="3167"/>
      <c r="V144" s="3124"/>
    </row>
    <row r="145" spans="2:22" ht="11.25" customHeight="1">
      <c r="B145" s="120" t="s">
        <v>749</v>
      </c>
      <c r="C145" s="3125"/>
      <c r="D145" s="3126"/>
      <c r="E145" s="3126"/>
      <c r="F145" s="3127"/>
      <c r="G145" s="1139"/>
      <c r="H145" s="1139"/>
      <c r="I145" s="1139"/>
      <c r="J145" s="1139"/>
      <c r="K145" s="1140"/>
      <c r="L145" s="1139"/>
      <c r="M145" s="1139"/>
      <c r="N145" s="1139"/>
      <c r="O145" s="1139"/>
      <c r="P145" s="1139"/>
      <c r="Q145" s="1064"/>
      <c r="R145" s="3116"/>
      <c r="S145" s="3166"/>
      <c r="T145" s="3166"/>
      <c r="U145" s="3166"/>
      <c r="V145" s="3117"/>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62"/>
      <c r="S146" s="3165"/>
      <c r="T146" s="3165"/>
      <c r="U146" s="3165"/>
      <c r="V146" s="3163"/>
    </row>
    <row r="147" spans="2:22" ht="11.25" customHeight="1">
      <c r="B147" s="1142" t="s">
        <v>3700</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123"/>
      <c r="S148" s="3167"/>
      <c r="T148" s="3167"/>
      <c r="U148" s="3167"/>
      <c r="V148" s="3124"/>
    </row>
    <row r="149" spans="2:22" ht="11.25" customHeight="1">
      <c r="B149" s="120" t="s">
        <v>749</v>
      </c>
      <c r="C149" s="3125"/>
      <c r="D149" s="3126"/>
      <c r="E149" s="3126"/>
      <c r="F149" s="3127"/>
      <c r="G149" s="1139"/>
      <c r="H149" s="1139"/>
      <c r="I149" s="1139"/>
      <c r="J149" s="1139"/>
      <c r="K149" s="1140"/>
      <c r="L149" s="1139"/>
      <c r="M149" s="1139"/>
      <c r="N149" s="1139"/>
      <c r="O149" s="1139"/>
      <c r="P149" s="1139"/>
      <c r="Q149" s="1064"/>
      <c r="R149" s="3116"/>
      <c r="S149" s="3166"/>
      <c r="T149" s="3166"/>
      <c r="U149" s="3166"/>
      <c r="V149" s="3117"/>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62"/>
      <c r="S150" s="3165"/>
      <c r="T150" s="3165"/>
      <c r="U150" s="3165"/>
      <c r="V150" s="3163"/>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123"/>
      <c r="S153" s="3167"/>
      <c r="T153" s="3167"/>
      <c r="U153" s="3167"/>
      <c r="V153" s="3124"/>
    </row>
    <row r="154" spans="2:22" ht="11.25" customHeight="1">
      <c r="B154" s="120" t="s">
        <v>749</v>
      </c>
      <c r="C154" s="3125"/>
      <c r="D154" s="3126"/>
      <c r="E154" s="3126"/>
      <c r="F154" s="3127"/>
      <c r="G154" s="1139"/>
      <c r="H154" s="1139"/>
      <c r="I154" s="1139"/>
      <c r="J154" s="1139"/>
      <c r="K154" s="1140"/>
      <c r="L154" s="97"/>
      <c r="M154" s="97"/>
      <c r="N154" s="97"/>
      <c r="O154" s="97"/>
      <c r="P154" s="97"/>
      <c r="Q154" s="8"/>
      <c r="R154" s="3116"/>
      <c r="S154" s="3166"/>
      <c r="T154" s="3166"/>
      <c r="U154" s="3166"/>
      <c r="V154" s="3117"/>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62"/>
      <c r="S155" s="3165"/>
      <c r="T155" s="3165"/>
      <c r="U155" s="3165"/>
      <c r="V155" s="3163"/>
    </row>
    <row r="156" spans="2:22" ht="11.25" customHeight="1">
      <c r="B156" s="1142" t="s">
        <v>3700</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123"/>
      <c r="S157" s="3167"/>
      <c r="T157" s="3167"/>
      <c r="U157" s="3167"/>
      <c r="V157" s="3124"/>
    </row>
    <row r="158" spans="2:22" ht="11.25" customHeight="1">
      <c r="B158" s="120" t="s">
        <v>749</v>
      </c>
      <c r="C158" s="3125"/>
      <c r="D158" s="3126"/>
      <c r="E158" s="3126"/>
      <c r="F158" s="3127"/>
      <c r="G158" s="1139"/>
      <c r="H158" s="1139"/>
      <c r="I158" s="1139"/>
      <c r="J158" s="1139"/>
      <c r="K158" s="1140"/>
      <c r="L158" s="97"/>
      <c r="M158" s="97"/>
      <c r="N158" s="97"/>
      <c r="O158" s="97"/>
      <c r="P158" s="97"/>
      <c r="Q158" s="8"/>
      <c r="R158" s="3116"/>
      <c r="S158" s="3166"/>
      <c r="T158" s="3166"/>
      <c r="U158" s="3166"/>
      <c r="V158" s="3117"/>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62"/>
      <c r="S159" s="3165"/>
      <c r="T159" s="3165"/>
      <c r="U159" s="3165"/>
      <c r="V159" s="3163"/>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123"/>
      <c r="S163" s="3167"/>
      <c r="T163" s="3167"/>
      <c r="U163" s="3167"/>
      <c r="V163" s="3124"/>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132">
        <v>45000</v>
      </c>
      <c r="G164" s="3133"/>
      <c r="H164" s="1"/>
      <c r="I164" s="1" t="s">
        <v>1390</v>
      </c>
      <c r="J164" s="1"/>
      <c r="K164" s="3132"/>
      <c r="L164" s="3133"/>
      <c r="M164" s="1"/>
      <c r="N164" s="1" t="s">
        <v>938</v>
      </c>
      <c r="O164" s="1"/>
      <c r="P164" s="491">
        <v>125000</v>
      </c>
      <c r="Q164" s="1064"/>
      <c r="R164" s="3116"/>
      <c r="S164" s="3166"/>
      <c r="T164" s="3166"/>
      <c r="U164" s="3166"/>
      <c r="V164" s="3117"/>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132">
        <v>35000</v>
      </c>
      <c r="G165" s="3133"/>
      <c r="H165" s="1"/>
      <c r="I165" s="1" t="s">
        <v>1391</v>
      </c>
      <c r="J165" s="1"/>
      <c r="K165" s="3132"/>
      <c r="L165" s="3133"/>
      <c r="M165" s="1"/>
      <c r="N165" s="1" t="s">
        <v>148</v>
      </c>
      <c r="O165" s="1"/>
      <c r="P165" s="491">
        <v>42000</v>
      </c>
      <c r="Q165" s="1064"/>
      <c r="R165" s="3116"/>
      <c r="S165" s="3166"/>
      <c r="T165" s="3166"/>
      <c r="U165" s="3166"/>
      <c r="V165" s="3117"/>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132"/>
      <c r="G166" s="3133"/>
      <c r="H166" s="1"/>
      <c r="I166" s="1"/>
      <c r="J166" s="133" t="s">
        <v>193</v>
      </c>
      <c r="K166" s="3140">
        <f>SUM(K164:L165)</f>
        <v>0</v>
      </c>
      <c r="L166" s="3141"/>
      <c r="M166" s="1"/>
      <c r="N166" s="3134" t="s">
        <v>4768</v>
      </c>
      <c r="O166" s="3135"/>
      <c r="P166" s="492">
        <v>851</v>
      </c>
      <c r="Q166" s="1064"/>
      <c r="R166" s="3116"/>
      <c r="S166" s="3166"/>
      <c r="T166" s="3166"/>
      <c r="U166" s="3166"/>
      <c r="V166" s="3117"/>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42" t="s">
        <v>52</v>
      </c>
      <c r="C167" s="3143"/>
      <c r="D167" s="3143"/>
      <c r="E167" s="3144"/>
      <c r="F167" s="3145"/>
      <c r="G167" s="3146"/>
      <c r="H167" s="1"/>
      <c r="I167" s="1"/>
      <c r="J167" s="1"/>
      <c r="K167" s="1"/>
      <c r="L167" s="1"/>
      <c r="M167" s="1"/>
      <c r="N167" s="12" t="s">
        <v>193</v>
      </c>
      <c r="O167" s="1"/>
      <c r="P167" s="489">
        <f>SUM(P164:P166)</f>
        <v>167851</v>
      </c>
      <c r="Q167" s="1059"/>
      <c r="R167" s="3116"/>
      <c r="S167" s="3166"/>
      <c r="T167" s="3166"/>
      <c r="U167" s="3166"/>
      <c r="V167" s="3117"/>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40">
        <f>SUM(F164:G167)</f>
        <v>80000</v>
      </c>
      <c r="G168" s="3141"/>
      <c r="H168" s="1"/>
      <c r="I168" s="1"/>
      <c r="J168" s="13"/>
      <c r="K168" s="1"/>
      <c r="L168" s="1"/>
      <c r="M168" s="1"/>
      <c r="N168" s="1"/>
      <c r="O168" s="1"/>
      <c r="P168" s="1"/>
      <c r="Q168" s="1"/>
      <c r="R168" s="3116"/>
      <c r="S168" s="3166"/>
      <c r="T168" s="3166"/>
      <c r="U168" s="3166"/>
      <c r="V168" s="3117"/>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116"/>
      <c r="S169" s="3166"/>
      <c r="T169" s="3166"/>
      <c r="U169" s="3166"/>
      <c r="V169" s="3117"/>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66849</v>
      </c>
      <c r="Q170" s="1060"/>
      <c r="R170" s="3116"/>
      <c r="S170" s="3166"/>
      <c r="T170" s="3166"/>
      <c r="U170" s="3166"/>
      <c r="V170" s="3117"/>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132">
        <v>6000</v>
      </c>
      <c r="G171" s="3133"/>
      <c r="H171" s="1"/>
      <c r="I171" s="1" t="s">
        <v>1614</v>
      </c>
      <c r="J171" s="1"/>
      <c r="K171" s="3136">
        <v>5000</v>
      </c>
      <c r="L171" s="3137"/>
      <c r="M171" s="1"/>
      <c r="N171" s="477">
        <f>+P170/(O62*0.93)</f>
        <v>748.75672043010752</v>
      </c>
      <c r="O171" s="69" t="s">
        <v>2774</v>
      </c>
      <c r="P171" s="1"/>
      <c r="Q171" s="1"/>
      <c r="R171" s="3116"/>
      <c r="S171" s="3166"/>
      <c r="T171" s="3166"/>
      <c r="U171" s="3166"/>
      <c r="V171" s="3117"/>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132">
        <v>2400</v>
      </c>
      <c r="G172" s="3133"/>
      <c r="H172" s="1"/>
      <c r="I172" s="1" t="s">
        <v>2065</v>
      </c>
      <c r="J172" s="1"/>
      <c r="K172" s="3138">
        <v>10000</v>
      </c>
      <c r="L172" s="3139"/>
      <c r="M172" s="1"/>
      <c r="N172" s="477">
        <f>+P170/(O62*0.93)/12</f>
        <v>62.396393369175627</v>
      </c>
      <c r="O172" s="69" t="s">
        <v>2775</v>
      </c>
      <c r="P172" s="1"/>
      <c r="Q172" s="1"/>
      <c r="R172" s="3116"/>
      <c r="S172" s="3166"/>
      <c r="T172" s="3166"/>
      <c r="U172" s="3166"/>
      <c r="V172" s="3117"/>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132"/>
      <c r="G173" s="3133"/>
      <c r="H173" s="1"/>
      <c r="I173" s="1" t="s">
        <v>1615</v>
      </c>
      <c r="J173" s="1"/>
      <c r="K173" s="3138">
        <v>5000</v>
      </c>
      <c r="L173" s="3139"/>
      <c r="M173" s="1"/>
      <c r="N173" s="37" t="s">
        <v>3760</v>
      </c>
      <c r="O173" s="1213"/>
      <c r="P173" s="1213"/>
      <c r="Q173" s="1595"/>
      <c r="R173" s="3116"/>
      <c r="S173" s="3166"/>
      <c r="T173" s="3166"/>
      <c r="U173" s="3166"/>
      <c r="V173" s="3117"/>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132"/>
      <c r="G174" s="3133"/>
      <c r="H174" s="1"/>
      <c r="I174" s="3134" t="s">
        <v>52</v>
      </c>
      <c r="J174" s="3135"/>
      <c r="K174" s="3136"/>
      <c r="L174" s="3137"/>
      <c r="M174" s="1"/>
      <c r="N174" s="1213"/>
      <c r="O174" s="1213"/>
      <c r="P174" s="1213"/>
      <c r="Q174" s="1595"/>
      <c r="R174" s="3116"/>
      <c r="S174" s="3166"/>
      <c r="T174" s="3166"/>
      <c r="U174" s="3166"/>
      <c r="V174" s="3117"/>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132">
        <v>2500</v>
      </c>
      <c r="G175" s="3133"/>
      <c r="H175" s="1"/>
      <c r="I175" s="10"/>
      <c r="J175" s="12" t="s">
        <v>193</v>
      </c>
      <c r="K175" s="3147">
        <f>SUM(K171:K174)</f>
        <v>20000</v>
      </c>
      <c r="L175" s="3148"/>
      <c r="M175" s="3149" t="str">
        <f>IF(P177="","",IF(P175&lt;P177, "WARNING! OE below required minimum.",""))</f>
        <v/>
      </c>
      <c r="N175" s="10" t="s">
        <v>2202</v>
      </c>
      <c r="O175" s="5"/>
      <c r="P175" s="487">
        <f>F168+F177+F188+K166+K175+K185+P167+P170</f>
        <v>432000</v>
      </c>
      <c r="R175" s="3116"/>
      <c r="S175" s="3166"/>
      <c r="T175" s="3166"/>
      <c r="U175" s="3166"/>
      <c r="V175" s="3117"/>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42" t="s">
        <v>52</v>
      </c>
      <c r="C176" s="3143"/>
      <c r="D176" s="3143"/>
      <c r="E176" s="3144"/>
      <c r="F176" s="3145"/>
      <c r="G176" s="3146"/>
      <c r="H176" s="1"/>
      <c r="I176" s="1"/>
      <c r="J176" s="13"/>
      <c r="K176" s="1"/>
      <c r="L176" s="1"/>
      <c r="M176" s="3149"/>
      <c r="N176" s="69" t="s">
        <v>2776</v>
      </c>
      <c r="O176" s="477">
        <f>+P175/O62</f>
        <v>4500</v>
      </c>
      <c r="Q176" s="1059"/>
      <c r="R176" s="3116"/>
      <c r="S176" s="3166"/>
      <c r="T176" s="3166"/>
      <c r="U176" s="3166"/>
      <c r="V176" s="3117"/>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40">
        <f>SUM(F171:G176)</f>
        <v>10900</v>
      </c>
      <c r="G177" s="3141"/>
      <c r="H177" s="1"/>
      <c r="I177" s="1"/>
      <c r="J177" s="13"/>
      <c r="K177" s="1"/>
      <c r="L177" s="1"/>
      <c r="M177" s="3149"/>
      <c r="O177" s="1214" t="s">
        <v>3761</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384000</v>
      </c>
      <c r="R177" s="3116"/>
      <c r="S177" s="3166"/>
      <c r="T177" s="3166"/>
      <c r="U177" s="3166"/>
      <c r="V177" s="3117"/>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49"/>
      <c r="N178" s="1"/>
      <c r="O178" s="1"/>
      <c r="P178" s="5"/>
      <c r="Q178" s="5"/>
      <c r="R178" s="3116"/>
      <c r="S178" s="3166"/>
      <c r="T178" s="3166"/>
      <c r="U178" s="3166"/>
      <c r="V178" s="3117"/>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2773</v>
      </c>
      <c r="K179" s="1"/>
      <c r="L179" s="1"/>
      <c r="M179" s="1"/>
      <c r="N179" s="10" t="s">
        <v>3505</v>
      </c>
      <c r="O179" s="10"/>
      <c r="P179" s="1621">
        <f>P188</f>
        <v>24000</v>
      </c>
      <c r="Q179" s="1060"/>
      <c r="R179" s="3116"/>
      <c r="S179" s="3166"/>
      <c r="T179" s="3166"/>
      <c r="U179" s="3166"/>
      <c r="V179" s="3117"/>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56">
        <v>15000</v>
      </c>
      <c r="G180" s="3157"/>
      <c r="H180" s="1"/>
      <c r="I180" s="1" t="s">
        <v>1380</v>
      </c>
      <c r="J180" s="558">
        <f>K180/12/O62</f>
        <v>10.416666666666666</v>
      </c>
      <c r="K180" s="3158">
        <v>12000</v>
      </c>
      <c r="L180" s="3159"/>
      <c r="M180" s="3152" t="str">
        <f>IF(P179&lt;P188, "WARNING! RR proposed is below the DCA required minimum.","")</f>
        <v/>
      </c>
      <c r="N180" s="1236" t="s">
        <v>3769</v>
      </c>
      <c r="O180" s="1231"/>
      <c r="P180" s="1237">
        <f>P179/O188</f>
        <v>250</v>
      </c>
      <c r="Q180" s="1065"/>
      <c r="R180" s="3116"/>
      <c r="S180" s="3166"/>
      <c r="T180" s="3166"/>
      <c r="U180" s="3166"/>
      <c r="V180" s="3117"/>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56">
        <v>12500</v>
      </c>
      <c r="G181" s="3157"/>
      <c r="H181" s="1"/>
      <c r="I181" s="1" t="s">
        <v>1381</v>
      </c>
      <c r="J181" s="558">
        <f>K181/12/O62</f>
        <v>0</v>
      </c>
      <c r="K181" s="3158"/>
      <c r="L181" s="3159"/>
      <c r="M181" s="3152"/>
      <c r="N181" s="3153" t="s">
        <v>3768</v>
      </c>
      <c r="O181" s="3154"/>
      <c r="P181" s="3155"/>
      <c r="R181" s="3116"/>
      <c r="S181" s="3166"/>
      <c r="T181" s="3166"/>
      <c r="U181" s="3166"/>
      <c r="V181" s="3117"/>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56">
        <v>12000</v>
      </c>
      <c r="G182" s="3157"/>
      <c r="H182" s="1"/>
      <c r="I182" s="1" t="s">
        <v>2368</v>
      </c>
      <c r="J182" s="558">
        <f>K182/12/O62</f>
        <v>2.0833333333333335</v>
      </c>
      <c r="K182" s="3158">
        <v>2400</v>
      </c>
      <c r="L182" s="3159"/>
      <c r="M182" s="3152"/>
      <c r="N182" s="1230" t="s">
        <v>2732</v>
      </c>
      <c r="O182" s="1055" t="s">
        <v>3884</v>
      </c>
      <c r="P182" s="1232" t="s">
        <v>3460</v>
      </c>
      <c r="Q182" s="1055"/>
      <c r="R182" s="3116"/>
      <c r="S182" s="3166"/>
      <c r="T182" s="3166"/>
      <c r="U182" s="3166"/>
      <c r="V182" s="3117"/>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160">
        <v>10000</v>
      </c>
      <c r="G183" s="3161"/>
      <c r="H183" s="1"/>
      <c r="I183" s="1" t="s">
        <v>1383</v>
      </c>
      <c r="J183" s="1"/>
      <c r="K183" s="3158">
        <v>12500</v>
      </c>
      <c r="L183" s="3159"/>
      <c r="M183" s="3152"/>
      <c r="N183" s="788" t="s">
        <v>40</v>
      </c>
      <c r="O183" s="789"/>
      <c r="P183" s="790"/>
      <c r="Q183" s="789"/>
      <c r="R183" s="3116"/>
      <c r="S183" s="3166"/>
      <c r="T183" s="3166"/>
      <c r="U183" s="3166"/>
      <c r="V183" s="3117"/>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160">
        <v>10000</v>
      </c>
      <c r="G184" s="3161"/>
      <c r="H184" s="1"/>
      <c r="I184" s="3134" t="s">
        <v>52</v>
      </c>
      <c r="J184" s="3135"/>
      <c r="K184" s="3136"/>
      <c r="L184" s="3137"/>
      <c r="M184" s="3152"/>
      <c r="N184" s="599" t="s">
        <v>3452</v>
      </c>
      <c r="O184" s="1062" t="str">
        <f>CONCATENATE(SUM(JC48:JG48)," units x $",'DCA Underwriting Assumptions'!$Q$65," =")</f>
        <v>0 units x $350 =</v>
      </c>
      <c r="P184" s="791">
        <f>SUM(JC48:JG48)*'DCA Underwriting Assumptions'!$Q$65</f>
        <v>0</v>
      </c>
      <c r="Q184" s="1062"/>
      <c r="R184" s="3116"/>
      <c r="S184" s="3166"/>
      <c r="T184" s="3166"/>
      <c r="U184" s="3166"/>
      <c r="V184" s="3117"/>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132"/>
      <c r="G185" s="3133"/>
      <c r="H185" s="1"/>
      <c r="I185" s="1"/>
      <c r="J185" s="12" t="s">
        <v>193</v>
      </c>
      <c r="K185" s="3147">
        <f>SUM(K180:K184)</f>
        <v>26900</v>
      </c>
      <c r="L185" s="3148"/>
      <c r="M185" s="3152"/>
      <c r="N185" s="599" t="s">
        <v>3451</v>
      </c>
      <c r="O185" s="1062" t="str">
        <f>CONCATENATE(SUM(JH48:JL48)," units x $",'DCA Underwriting Assumptions'!$Q$66," =")</f>
        <v>96 units x $250 =</v>
      </c>
      <c r="P185" s="791">
        <f>SUM(JH48:JL48)*'DCA Underwriting Assumptions'!$Q$66</f>
        <v>24000</v>
      </c>
      <c r="Q185" s="1062"/>
      <c r="R185" s="3116"/>
      <c r="S185" s="3166"/>
      <c r="T185" s="3166"/>
      <c r="U185" s="3166"/>
      <c r="V185" s="3117"/>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132"/>
      <c r="G186" s="3133"/>
      <c r="H186" s="1"/>
      <c r="I186" s="1"/>
      <c r="J186" s="13"/>
      <c r="K186" s="1"/>
      <c r="L186" s="1"/>
      <c r="M186" s="3152"/>
      <c r="N186" s="792" t="s">
        <v>3455</v>
      </c>
      <c r="O186" s="1062" t="str">
        <f>CONCATENATE(SUM(JM48:JQ48)," units x $",'DCA Underwriting Assumptions'!$Q$67," =")</f>
        <v>0 units x $420 =</v>
      </c>
      <c r="P186" s="791">
        <f>SUM(JM48:JQ48)*'DCA Underwriting Assumptions'!$Q$67</f>
        <v>0</v>
      </c>
      <c r="Q186" s="1062"/>
      <c r="R186" s="3116"/>
      <c r="S186" s="3166"/>
      <c r="T186" s="3166"/>
      <c r="U186" s="3166"/>
      <c r="V186" s="3117"/>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42" t="s">
        <v>52</v>
      </c>
      <c r="C187" s="3143"/>
      <c r="D187" s="3143"/>
      <c r="E187" s="3144"/>
      <c r="F187" s="3145"/>
      <c r="G187" s="3146"/>
      <c r="H187" s="1"/>
      <c r="I187" s="1"/>
      <c r="J187" s="13"/>
      <c r="K187" s="1"/>
      <c r="L187" s="1"/>
      <c r="M187" s="1"/>
      <c r="N187" s="792" t="s">
        <v>3450</v>
      </c>
      <c r="O187" s="1062" t="str">
        <f>CONCATENATE(O84," units x $",'DCA Underwriting Assumptions'!$Q$67," =")</f>
        <v>0 units x $420 =</v>
      </c>
      <c r="P187" s="791">
        <f>O84*'DCA Underwriting Assumptions'!$Q$67</f>
        <v>0</v>
      </c>
      <c r="Q187" s="1062"/>
      <c r="R187" s="3116"/>
      <c r="S187" s="3166"/>
      <c r="T187" s="3166"/>
      <c r="U187" s="3166"/>
      <c r="V187" s="3117"/>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50">
        <f>SUM(F180:G187)</f>
        <v>59500</v>
      </c>
      <c r="G188" s="3151"/>
      <c r="H188" s="1"/>
      <c r="I188" s="1"/>
      <c r="J188" s="13"/>
      <c r="K188" s="1"/>
      <c r="L188" s="1"/>
      <c r="M188" s="1"/>
      <c r="N188" s="1233" t="s">
        <v>2735</v>
      </c>
      <c r="O188" s="1234">
        <f>SUM(JC48:JG48)+SUM(JH48:JL48)+SUM(JM48:JQ48)+O84</f>
        <v>96</v>
      </c>
      <c r="P188" s="1235">
        <f>SUM(P184:P187)</f>
        <v>24000</v>
      </c>
      <c r="Q188" s="1062"/>
      <c r="R188" s="3162"/>
      <c r="S188" s="3165"/>
      <c r="T188" s="3165"/>
      <c r="U188" s="3165"/>
      <c r="V188" s="3163"/>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456000</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4162</v>
      </c>
      <c r="N192" s="14"/>
    </row>
    <row r="193" spans="1:296" ht="409.5" customHeight="1">
      <c r="A193" s="2906" t="s">
        <v>4769</v>
      </c>
      <c r="B193" s="2906"/>
      <c r="C193" s="2906"/>
      <c r="D193" s="2906"/>
      <c r="E193" s="2906"/>
      <c r="F193" s="2906"/>
      <c r="G193" s="2906"/>
      <c r="H193" s="2906"/>
      <c r="I193" s="2906"/>
      <c r="J193" s="2906"/>
      <c r="K193" s="2906"/>
      <c r="L193" s="2906"/>
      <c r="M193" s="2905"/>
      <c r="N193" s="2905"/>
      <c r="O193" s="2905"/>
      <c r="P193" s="2905"/>
      <c r="Q193" s="3169" t="s">
        <v>4161</v>
      </c>
      <c r="R193" s="2511"/>
      <c r="S193" s="2511"/>
      <c r="T193" s="2511"/>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G5" sqref="G5"/>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74" t="str">
        <f>CONCATENATE("PART SEVEN - OPERATING PRO FORMA","  -  ",'Part I-Project Information'!$O$6," ",'Part I-Project Information'!$F$34,", ",'Part I-Project Information'!F38,", ",'Part I-Project Information'!J39," County")</f>
        <v>PART SEVEN - OPERATING PRO FORMA  -  2018-0 McIntosh Woods, Newnan, Coweta County</v>
      </c>
      <c r="B1" s="3175"/>
      <c r="C1" s="3175"/>
      <c r="D1" s="3175"/>
      <c r="E1" s="3175"/>
      <c r="F1" s="3175"/>
      <c r="G1" s="3175"/>
      <c r="H1" s="3175"/>
      <c r="I1" s="3175"/>
      <c r="J1" s="3175"/>
      <c r="K1" s="3176"/>
      <c r="L1" s="10"/>
      <c r="M1" s="10"/>
      <c r="N1" s="3177" t="str">
        <f>A1</f>
        <v>PART SEVEN - OPERATING PRO FORMA  -  2018-0 McIntosh Woods, Newnan, Coweta County</v>
      </c>
      <c r="O1" s="3177"/>
      <c r="P1" s="10"/>
    </row>
    <row r="2" spans="1:19" ht="13.5" customHeight="1">
      <c r="A2" s="591"/>
      <c r="B2" s="591"/>
      <c r="C2" s="591"/>
      <c r="D2" s="591"/>
      <c r="E2" s="591"/>
      <c r="F2" s="591"/>
      <c r="G2" s="591"/>
      <c r="H2" s="591"/>
      <c r="I2" s="591"/>
      <c r="J2" s="591"/>
      <c r="K2" s="591"/>
      <c r="N2" s="3178" t="s">
        <v>1859</v>
      </c>
      <c r="O2" s="3178"/>
    </row>
    <row r="3" spans="1:19" ht="13.5">
      <c r="A3" s="14" t="s">
        <v>91</v>
      </c>
      <c r="D3" s="1738" t="s">
        <v>81</v>
      </c>
      <c r="E3" s="257"/>
      <c r="F3" s="1739" t="s">
        <v>4241</v>
      </c>
      <c r="N3" s="14" t="str">
        <f>A3</f>
        <v>I.  OPERATING ASSUMPTIONS</v>
      </c>
      <c r="O3" s="32"/>
    </row>
    <row r="4" spans="1:19" ht="2.4500000000000002" customHeight="1">
      <c r="A4" s="17"/>
      <c r="B4" s="17"/>
      <c r="C4" s="17"/>
      <c r="H4" s="17"/>
      <c r="I4" s="17"/>
    </row>
    <row r="5" spans="1:19" ht="13.5" customHeight="1">
      <c r="A5" s="17" t="s">
        <v>2204</v>
      </c>
      <c r="B5" s="82">
        <v>0.02</v>
      </c>
      <c r="C5" s="17"/>
      <c r="D5" s="3129" t="s">
        <v>4242</v>
      </c>
      <c r="E5" s="3129"/>
      <c r="F5" s="3129"/>
      <c r="G5" s="85"/>
      <c r="H5" s="105" t="s">
        <v>1922</v>
      </c>
      <c r="K5" s="110">
        <f>IF(($B$14+$B$15+$B$16+$B$17)=0,"",B28/($B$14+$B$15+$B$16+$B$17))</f>
        <v>0</v>
      </c>
      <c r="N5" s="3123"/>
      <c r="O5" s="3124"/>
    </row>
    <row r="6" spans="1:19">
      <c r="A6" s="17" t="s">
        <v>2205</v>
      </c>
      <c r="B6" s="82">
        <v>0.03</v>
      </c>
      <c r="C6" s="17"/>
      <c r="D6" s="3129"/>
      <c r="E6" s="3129"/>
      <c r="F6" s="3129"/>
      <c r="G6" s="1740">
        <f>IF(OR('Part III-Sources of Funds'!B11="Yes",'Part III-Sources of Funds'!E11&gt;0),'DCA Underwriting Assumptions'!$Q$95,0)</f>
        <v>0</v>
      </c>
      <c r="H6" s="17"/>
      <c r="I6" s="17"/>
      <c r="J6" s="17"/>
      <c r="K6" s="17"/>
      <c r="N6" s="3116"/>
      <c r="O6" s="3117"/>
    </row>
    <row r="7" spans="1:19">
      <c r="A7" s="17" t="s">
        <v>2207</v>
      </c>
      <c r="B7" s="82">
        <v>0.03</v>
      </c>
      <c r="C7" s="17"/>
      <c r="D7" s="84" t="s">
        <v>272</v>
      </c>
      <c r="G7" s="88"/>
      <c r="H7" s="105" t="s">
        <v>2390</v>
      </c>
      <c r="K7" s="110">
        <f>IF(($B$14+$B$15+$B$16+$B$17)=0,"",-B20/($B$14+$B$15+$B$16+$B$17))</f>
        <v>6.0000426344186404E-2</v>
      </c>
      <c r="N7" s="3116"/>
      <c r="O7" s="3117"/>
    </row>
    <row r="8" spans="1:19" ht="13.15" customHeight="1">
      <c r="A8" s="17" t="s">
        <v>2206</v>
      </c>
      <c r="B8" s="263">
        <v>7.0000000000000007E-2</v>
      </c>
      <c r="C8" s="17"/>
      <c r="D8" s="83" t="s">
        <v>2525</v>
      </c>
      <c r="G8" s="92" t="s">
        <v>3014</v>
      </c>
      <c r="H8" s="193" t="s">
        <v>1456</v>
      </c>
      <c r="K8" s="253"/>
      <c r="N8" s="3116"/>
      <c r="O8" s="3117"/>
    </row>
    <row r="9" spans="1:19">
      <c r="A9" s="17" t="s">
        <v>1430</v>
      </c>
      <c r="B9" s="82">
        <v>0.02</v>
      </c>
      <c r="D9" s="83" t="s">
        <v>1731</v>
      </c>
      <c r="G9" s="92" t="s">
        <v>3011</v>
      </c>
      <c r="H9" s="193" t="s">
        <v>2372</v>
      </c>
      <c r="K9" s="86">
        <v>0.06</v>
      </c>
      <c r="N9" s="3162"/>
      <c r="O9" s="3163"/>
    </row>
    <row r="10" spans="1:19" ht="13.5" customHeight="1"/>
    <row r="11" spans="1:19">
      <c r="A11" s="14" t="s">
        <v>92</v>
      </c>
      <c r="D11" s="1461"/>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95" t="s">
        <v>2641</v>
      </c>
      <c r="O13" s="2795"/>
    </row>
    <row r="14" spans="1:19" ht="13.15" customHeight="1">
      <c r="A14" s="19" t="s">
        <v>2420</v>
      </c>
      <c r="B14" s="20">
        <f>'Part VI-Revenues &amp; Expenses'!$L$49</f>
        <v>1174512</v>
      </c>
      <c r="C14" s="20">
        <f t="shared" ref="C14:K14" si="1">$B$14*(1+$B$5)^(C13-1)</f>
        <v>1198002.24</v>
      </c>
      <c r="D14" s="20">
        <f t="shared" si="1"/>
        <v>1221962.2848</v>
      </c>
      <c r="E14" s="20">
        <f t="shared" si="1"/>
        <v>1246401.5304959998</v>
      </c>
      <c r="F14" s="20">
        <f t="shared" si="1"/>
        <v>1271329.56110592</v>
      </c>
      <c r="G14" s="20">
        <f t="shared" si="1"/>
        <v>1296756.1523280384</v>
      </c>
      <c r="H14" s="20">
        <f t="shared" si="1"/>
        <v>1322691.2753745993</v>
      </c>
      <c r="I14" s="20">
        <f t="shared" si="1"/>
        <v>1349145.1008820909</v>
      </c>
      <c r="J14" s="20">
        <f t="shared" si="1"/>
        <v>1376128.0028997329</v>
      </c>
      <c r="K14" s="21">
        <f t="shared" si="1"/>
        <v>1403650.5629577276</v>
      </c>
      <c r="N14" s="3123"/>
      <c r="O14" s="3124"/>
      <c r="S14" s="3170" t="s">
        <v>4247</v>
      </c>
    </row>
    <row r="15" spans="1:19" ht="13.15" customHeight="1">
      <c r="A15" s="22" t="s">
        <v>1026</v>
      </c>
      <c r="B15" s="23">
        <f>MIN(B14*B9,'Part VI-Revenues &amp; Expenses'!$H$122)</f>
        <v>23490.240000000002</v>
      </c>
      <c r="C15" s="23">
        <f t="shared" ref="C15:K15" si="2">$B$15*(1+$B$5)^(C13-1)</f>
        <v>23960.044800000003</v>
      </c>
      <c r="D15" s="23">
        <f t="shared" si="2"/>
        <v>24439.245696000002</v>
      </c>
      <c r="E15" s="23">
        <f t="shared" si="2"/>
        <v>24928.030609919999</v>
      </c>
      <c r="F15" s="23">
        <f t="shared" si="2"/>
        <v>25426.591222118401</v>
      </c>
      <c r="G15" s="23">
        <f t="shared" si="2"/>
        <v>25935.12304656077</v>
      </c>
      <c r="H15" s="23">
        <f t="shared" si="2"/>
        <v>26453.825507491987</v>
      </c>
      <c r="I15" s="23">
        <f t="shared" si="2"/>
        <v>26982.90201764182</v>
      </c>
      <c r="J15" s="23">
        <f t="shared" si="2"/>
        <v>27522.560057994659</v>
      </c>
      <c r="K15" s="24">
        <f t="shared" si="2"/>
        <v>28073.011259154551</v>
      </c>
      <c r="N15" s="3116"/>
      <c r="O15" s="3117"/>
      <c r="S15" s="3171"/>
    </row>
    <row r="16" spans="1:19" ht="13.15" customHeight="1">
      <c r="A16" s="22" t="s">
        <v>2421</v>
      </c>
      <c r="B16" s="23">
        <f t="shared" ref="B16:K16" si="3">-(B14+B15)*$B$8</f>
        <v>-83860.156800000012</v>
      </c>
      <c r="C16" s="23">
        <f t="shared" si="3"/>
        <v>-85537.359936000008</v>
      </c>
      <c r="D16" s="23">
        <f t="shared" si="3"/>
        <v>-87248.10713472002</v>
      </c>
      <c r="E16" s="23">
        <f t="shared" si="3"/>
        <v>-88993.069277414397</v>
      </c>
      <c r="F16" s="23">
        <f t="shared" si="3"/>
        <v>-90772.930662962695</v>
      </c>
      <c r="G16" s="23">
        <f t="shared" si="3"/>
        <v>-92588.389276221948</v>
      </c>
      <c r="H16" s="23">
        <f t="shared" si="3"/>
        <v>-94440.157061746402</v>
      </c>
      <c r="I16" s="23">
        <f t="shared" si="3"/>
        <v>-96328.960202981296</v>
      </c>
      <c r="J16" s="23">
        <f t="shared" si="3"/>
        <v>-98255.539407040938</v>
      </c>
      <c r="K16" s="24">
        <f t="shared" si="3"/>
        <v>-100220.65019518176</v>
      </c>
      <c r="N16" s="3116"/>
      <c r="O16" s="3117"/>
      <c r="Q16" s="3173" t="s">
        <v>3921</v>
      </c>
      <c r="R16" s="3173" t="s">
        <v>4246</v>
      </c>
      <c r="S16" s="3171"/>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16"/>
      <c r="O17" s="3117"/>
      <c r="Q17" s="3173"/>
      <c r="R17" s="3173"/>
      <c r="S17" s="3172"/>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16"/>
      <c r="O18" s="3117"/>
    </row>
    <row r="19" spans="1:19" ht="13.15" customHeight="1">
      <c r="A19" s="22" t="s">
        <v>620</v>
      </c>
      <c r="B19" s="23">
        <f>-('Part VI-Revenues &amp; Expenses'!$P$175-'Part VI-Revenues &amp; Expenses'!$P$170)</f>
        <v>-365151</v>
      </c>
      <c r="C19" s="23">
        <f t="shared" ref="C19:K19" si="4">$B$19*(1+$B$6)^(C13-1)</f>
        <v>-376105.53</v>
      </c>
      <c r="D19" s="23">
        <f t="shared" si="4"/>
        <v>-387388.69589999999</v>
      </c>
      <c r="E19" s="23">
        <f t="shared" si="4"/>
        <v>-399010.35677700001</v>
      </c>
      <c r="F19" s="23">
        <f t="shared" si="4"/>
        <v>-410980.66748030996</v>
      </c>
      <c r="G19" s="23">
        <f t="shared" si="4"/>
        <v>-423310.08750471927</v>
      </c>
      <c r="H19" s="23">
        <f t="shared" si="4"/>
        <v>-436009.39012986084</v>
      </c>
      <c r="I19" s="23">
        <f t="shared" si="4"/>
        <v>-449089.67183375667</v>
      </c>
      <c r="J19" s="23">
        <f t="shared" si="4"/>
        <v>-462562.36198876932</v>
      </c>
      <c r="K19" s="24">
        <f t="shared" si="4"/>
        <v>-476439.23284843244</v>
      </c>
      <c r="N19" s="3116"/>
      <c r="O19" s="3117"/>
      <c r="Q19" s="63">
        <v>1</v>
      </c>
      <c r="R19" s="1476">
        <f>-B29</f>
        <v>109690.34304046282</v>
      </c>
      <c r="S19" s="1476">
        <f>B30+R19</f>
        <v>109690.34304046282</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-66849</v>
      </c>
      <c r="C20" s="23">
        <f>IF(AND('Part VII-Pro Forma'!$G$8="Yes",'Part VII-Pro Forma'!$G$9="Yes"),"Choose One!",IF('Part VII-Pro Forma'!$G$8="Yes",ROUND((-$K$8*(1+'Part VII-Pro Forma'!$B$6)^('Part VII-Pro Forma'!C13-1)),),IF('Part VII-Pro Forma'!$G$9="Yes",ROUND((-(SUM(C14:C17)*'Part VII-Pro Forma'!$K$9)),),"Choose mgt fee")))</f>
        <v>-68185</v>
      </c>
      <c r="D20" s="23">
        <f>IF(AND('Part VII-Pro Forma'!$G$8="Yes",'Part VII-Pro Forma'!$G$9="Yes"),"Choose One!",IF('Part VII-Pro Forma'!$G$8="Yes",ROUND((-$K$8*(1+'Part VII-Pro Forma'!$B$6)^('Part VII-Pro Forma'!D13-1)),),IF('Part VII-Pro Forma'!$G$9="Yes",ROUND((-(SUM(D14:D17)*'Part VII-Pro Forma'!$K$9)),),"Choose mgt fee")))</f>
        <v>-69549</v>
      </c>
      <c r="E20" s="23">
        <f>IF(AND('Part VII-Pro Forma'!$G$8="Yes",'Part VII-Pro Forma'!$G$9="Yes"),"Choose One!",IF('Part VII-Pro Forma'!$G$8="Yes",ROUND((-$K$8*(1+'Part VII-Pro Forma'!$B$6)^('Part VII-Pro Forma'!E13-1)),),IF('Part VII-Pro Forma'!$G$9="Yes",ROUND((-(SUM(E14:E17)*'Part VII-Pro Forma'!$K$9)),),"Choose mgt fee")))</f>
        <v>-70940</v>
      </c>
      <c r="F20" s="23">
        <f>IF(AND('Part VII-Pro Forma'!$G$8="Yes",'Part VII-Pro Forma'!$G$9="Yes"),"Choose One!",IF('Part VII-Pro Forma'!$G$8="Yes",ROUND((-$K$8*(1+'Part VII-Pro Forma'!$B$6)^('Part VII-Pro Forma'!F13-1)),),IF('Part VII-Pro Forma'!$G$9="Yes",ROUND((-(SUM(F14:F17)*'Part VII-Pro Forma'!$K$9)),),"Choose mgt fee")))</f>
        <v>-72359</v>
      </c>
      <c r="G20" s="23">
        <f>IF(AND('Part VII-Pro Forma'!$G$8="Yes",'Part VII-Pro Forma'!$G$9="Yes"),"Choose One!",IF('Part VII-Pro Forma'!$G$8="Yes",ROUND((-$K$8*(1+'Part VII-Pro Forma'!$B$6)^('Part VII-Pro Forma'!G13-1)),),IF('Part VII-Pro Forma'!$G$9="Yes",ROUND((-(SUM(G14:G17)*'Part VII-Pro Forma'!$K$9)),),"Choose mgt fee")))</f>
        <v>-73806</v>
      </c>
      <c r="H20" s="23">
        <f>IF(AND('Part VII-Pro Forma'!$G$8="Yes",'Part VII-Pro Forma'!$G$9="Yes"),"Choose One!",IF('Part VII-Pro Forma'!$G$8="Yes",ROUND((-$K$8*(1+'Part VII-Pro Forma'!$B$6)^('Part VII-Pro Forma'!H13-1)),),IF('Part VII-Pro Forma'!$G$9="Yes",ROUND((-(SUM(H14:H17)*'Part VII-Pro Forma'!$K$9)),),"Choose mgt fee")))</f>
        <v>-75282</v>
      </c>
      <c r="I20" s="23">
        <f>IF(AND('Part VII-Pro Forma'!$G$8="Yes",'Part VII-Pro Forma'!$G$9="Yes"),"Choose One!",IF('Part VII-Pro Forma'!$G$8="Yes",ROUND((-$K$8*(1+'Part VII-Pro Forma'!$B$6)^('Part VII-Pro Forma'!I13-1)),),IF('Part VII-Pro Forma'!$G$9="Yes",ROUND((-(SUM(I14:I17)*'Part VII-Pro Forma'!$K$9)),),"Choose mgt fee")))</f>
        <v>-76788</v>
      </c>
      <c r="J20" s="23">
        <f>IF(AND('Part VII-Pro Forma'!$G$8="Yes",'Part VII-Pro Forma'!$G$9="Yes"),"Choose One!",IF('Part VII-Pro Forma'!$G$8="Yes",ROUND((-$K$8*(1+'Part VII-Pro Forma'!$B$6)^('Part VII-Pro Forma'!J13-1)),),IF('Part VII-Pro Forma'!$G$9="Yes",ROUND((-(SUM(J14:J17)*'Part VII-Pro Forma'!$K$9)),),"Choose mgt fee")))</f>
        <v>-78324</v>
      </c>
      <c r="K20" s="23">
        <f>IF(AND('Part VII-Pro Forma'!$G$8="Yes",'Part VII-Pro Forma'!$G$9="Yes"),"Choose One!",IF('Part VII-Pro Forma'!$G$8="Yes",ROUND((-$K$8*(1+'Part VII-Pro Forma'!$B$6)^('Part VII-Pro Forma'!K13-1)),),IF('Part VII-Pro Forma'!$G$9="Yes",ROUND((-(SUM(K14:K17)*'Part VII-Pro Forma'!$K$9)),),"Choose mgt fee")))</f>
        <v>-79890</v>
      </c>
      <c r="N20" s="3116"/>
      <c r="O20" s="3117"/>
      <c r="Q20" s="63">
        <v>2</v>
      </c>
      <c r="R20" s="1476">
        <f>-SUM(B29:C29)</f>
        <v>228652.99774492555</v>
      </c>
      <c r="S20" s="1476">
        <f>SUM(B30:C30)+R20</f>
        <v>228652.99774492555</v>
      </c>
    </row>
    <row r="21" spans="1:19" ht="13.15" customHeight="1">
      <c r="A21" s="22" t="s">
        <v>1214</v>
      </c>
      <c r="B21" s="23">
        <f>-('Part VI-Revenues &amp; Expenses'!$P$179)</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N21" s="3116"/>
      <c r="O21" s="3117"/>
      <c r="Q21" s="63">
        <v>3</v>
      </c>
      <c r="R21" s="1476">
        <f>-SUM(B29:D29)</f>
        <v>264667</v>
      </c>
      <c r="S21" s="1476">
        <f>SUM(B30:D30)+R21</f>
        <v>356955.38504666847</v>
      </c>
    </row>
    <row r="22" spans="1:19" ht="13.15" customHeight="1">
      <c r="A22" s="22" t="s">
        <v>1215</v>
      </c>
      <c r="B22" s="23">
        <f t="shared" ref="B22:K22" si="6">SUM(B14:B21)</f>
        <v>658142.08319999999</v>
      </c>
      <c r="C22" s="23">
        <f t="shared" si="6"/>
        <v>667414.39486399991</v>
      </c>
      <c r="D22" s="23">
        <f t="shared" si="6"/>
        <v>676754.12746128009</v>
      </c>
      <c r="E22" s="23">
        <f t="shared" si="6"/>
        <v>686160.68705150543</v>
      </c>
      <c r="F22" s="23">
        <f t="shared" si="6"/>
        <v>695631.3427447658</v>
      </c>
      <c r="G22" s="23">
        <f t="shared" si="6"/>
        <v>705164.22081045795</v>
      </c>
      <c r="H22" s="23">
        <f t="shared" si="6"/>
        <v>714756.29857378814</v>
      </c>
      <c r="I22" s="23">
        <f t="shared" si="6"/>
        <v>724404.39809279796</v>
      </c>
      <c r="J22" s="23">
        <f t="shared" si="6"/>
        <v>734106.17960861453</v>
      </c>
      <c r="K22" s="24">
        <f t="shared" si="6"/>
        <v>743859.13476136618</v>
      </c>
      <c r="N22" s="3116"/>
      <c r="O22" s="3117"/>
      <c r="Q22" s="1209">
        <v>4</v>
      </c>
      <c r="R22" s="1476">
        <f>-SUM(B29:E29)</f>
        <v>264667</v>
      </c>
      <c r="S22" s="1476">
        <f>SUM(B30:E30)+R22</f>
        <v>494664.33193863672</v>
      </c>
    </row>
    <row r="23" spans="1:19" ht="13.15" customHeight="1">
      <c r="A23" s="511" t="s">
        <v>1603</v>
      </c>
      <c r="B23" s="513">
        <f>IF('Part III-Sources of Funds'!$N$37="", 0,-'Part III-Sources of Funds'!$N$37)</f>
        <v>-548451.74015953718</v>
      </c>
      <c r="C23" s="513">
        <f>IF('Part III-Sources of Funds'!$N$37="", 0,-'Part III-Sources of Funds'!$N$37)</f>
        <v>-548451.74015953718</v>
      </c>
      <c r="D23" s="513">
        <f>IF('Part III-Sources of Funds'!$N$37="", 0,-'Part III-Sources of Funds'!$N$37)</f>
        <v>-548451.74015953718</v>
      </c>
      <c r="E23" s="513">
        <f>IF('Part III-Sources of Funds'!$N$37="", 0,-'Part III-Sources of Funds'!$N$37)</f>
        <v>-548451.74015953718</v>
      </c>
      <c r="F23" s="513">
        <f>IF('Part III-Sources of Funds'!$N$37="", 0,-'Part III-Sources of Funds'!$N$37)</f>
        <v>-548451.74015953718</v>
      </c>
      <c r="G23" s="513">
        <f>IF('Part III-Sources of Funds'!$N$37="", 0,-'Part III-Sources of Funds'!$N$37)</f>
        <v>-548451.74015953718</v>
      </c>
      <c r="H23" s="513">
        <f>IF('Part III-Sources of Funds'!$N$37="", 0,-'Part III-Sources of Funds'!$N$37)</f>
        <v>-548451.74015953718</v>
      </c>
      <c r="I23" s="513">
        <f>IF('Part III-Sources of Funds'!$N$37="", 0,-'Part III-Sources of Funds'!$N$37)</f>
        <v>-548451.74015953718</v>
      </c>
      <c r="J23" s="513">
        <f>IF('Part III-Sources of Funds'!$N$37="", 0,-'Part III-Sources of Funds'!$N$37)</f>
        <v>-548451.74015953718</v>
      </c>
      <c r="K23" s="513">
        <f>IF('Part III-Sources of Funds'!$N$37="", 0,-'Part III-Sources of Funds'!$N$37)</f>
        <v>-548451.74015953718</v>
      </c>
      <c r="N23" s="3116"/>
      <c r="O23" s="3117"/>
      <c r="Q23" s="1209">
        <v>5</v>
      </c>
      <c r="R23" s="1476">
        <f>-SUM(B29:F29)</f>
        <v>264667</v>
      </c>
      <c r="S23" s="1476">
        <f>SUM(B30:F30)+R23</f>
        <v>641843.93452386535</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116"/>
      <c r="O24" s="3117"/>
      <c r="Q24" s="1209">
        <v>6</v>
      </c>
      <c r="R24" s="1476">
        <f>-SUM(B29:G29)</f>
        <v>264667</v>
      </c>
      <c r="S24" s="1476">
        <f>SUM(B30:G30)+R24</f>
        <v>798556.41517478612</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116"/>
      <c r="O25" s="3117"/>
      <c r="Q25" s="1209">
        <v>7</v>
      </c>
      <c r="R25" s="1476">
        <f>-SUM(B29:H29)</f>
        <v>264667</v>
      </c>
      <c r="S25" s="1476">
        <f>SUM(B30:H30)+R25</f>
        <v>964860.97358903708</v>
      </c>
    </row>
    <row r="26" spans="1:19" ht="13.15" customHeight="1">
      <c r="A26" s="511" t="s">
        <v>3887</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116"/>
      <c r="O26" s="3117"/>
      <c r="Q26" s="1209">
        <v>8</v>
      </c>
      <c r="R26" s="1476">
        <f>-SUM(B29:I29)</f>
        <v>264667</v>
      </c>
      <c r="S26" s="1476">
        <f>SUM(B30:I30)+R26</f>
        <v>1140813.6315222979</v>
      </c>
    </row>
    <row r="27" spans="1:19" ht="13.15" customHeight="1">
      <c r="A27" s="22" t="s">
        <v>771</v>
      </c>
      <c r="B27" s="191"/>
      <c r="C27" s="191"/>
      <c r="D27" s="191"/>
      <c r="E27" s="191"/>
      <c r="F27" s="191"/>
      <c r="G27" s="191"/>
      <c r="H27" s="191"/>
      <c r="I27" s="191"/>
      <c r="J27" s="191"/>
      <c r="K27" s="191"/>
      <c r="N27" s="3116"/>
      <c r="O27" s="3117"/>
      <c r="Q27" s="1209">
        <v>9</v>
      </c>
      <c r="R27" s="1476">
        <f>-SUM(B29:J29)</f>
        <v>264667</v>
      </c>
      <c r="S27" s="1476">
        <f>SUM(B30:J30)+R27</f>
        <v>1326468.0709713753</v>
      </c>
    </row>
    <row r="28" spans="1:19" ht="13.15" customHeight="1">
      <c r="A28" s="511" t="s">
        <v>1174</v>
      </c>
      <c r="B28" s="1596">
        <f>-$G$5</f>
        <v>0</v>
      </c>
      <c r="C28" s="1596">
        <f t="shared" ref="C28:K28" si="7">+B28</f>
        <v>0</v>
      </c>
      <c r="D28" s="1596">
        <f t="shared" si="7"/>
        <v>0</v>
      </c>
      <c r="E28" s="1596">
        <f t="shared" si="7"/>
        <v>0</v>
      </c>
      <c r="F28" s="1596">
        <f t="shared" si="7"/>
        <v>0</v>
      </c>
      <c r="G28" s="1596">
        <f t="shared" si="7"/>
        <v>0</v>
      </c>
      <c r="H28" s="1596">
        <f t="shared" si="7"/>
        <v>0</v>
      </c>
      <c r="I28" s="1596">
        <f t="shared" si="7"/>
        <v>0</v>
      </c>
      <c r="J28" s="1596">
        <f t="shared" si="7"/>
        <v>0</v>
      </c>
      <c r="K28" s="1596">
        <f t="shared" si="7"/>
        <v>0</v>
      </c>
      <c r="N28" s="3116"/>
      <c r="O28" s="3117"/>
      <c r="Q28" s="1209">
        <v>10</v>
      </c>
      <c r="R28" s="1476">
        <f>-SUM(B29:K29)</f>
        <v>264667</v>
      </c>
      <c r="S28" s="1476">
        <f>SUM(B30:K30)+R28</f>
        <v>1521875.4655732042</v>
      </c>
    </row>
    <row r="29" spans="1:19" ht="13.15" customHeight="1">
      <c r="A29" s="511" t="s">
        <v>4136</v>
      </c>
      <c r="B29" s="256">
        <f>IF('Part III-Sources of Funds'!$N$42="", 0,-'Part III-Sources of Funds'!$N$42)</f>
        <v>-109690.34304046282</v>
      </c>
      <c r="C29" s="256">
        <f>-MIN(B41,SUM(C22:C28))</f>
        <v>-118962.65470446274</v>
      </c>
      <c r="D29" s="256">
        <f t="shared" ref="D29:F29" si="8">-MIN(C41,SUM(D22:D28))</f>
        <v>-36014.002255074447</v>
      </c>
      <c r="E29" s="256">
        <f t="shared" si="8"/>
        <v>0</v>
      </c>
      <c r="F29" s="256">
        <f t="shared" si="8"/>
        <v>0</v>
      </c>
      <c r="G29" s="256">
        <f t="shared" ref="G29" si="9">-MIN(F41,SUM(G22:G28))</f>
        <v>0</v>
      </c>
      <c r="H29" s="256">
        <f t="shared" ref="H29:I29" si="10">-MIN(G41,SUM(H22:H28))</f>
        <v>0</v>
      </c>
      <c r="I29" s="256">
        <f t="shared" si="10"/>
        <v>0</v>
      </c>
      <c r="J29" s="256">
        <f t="shared" ref="J29" si="11">-MIN(I41,SUM(J22:J28))</f>
        <v>0</v>
      </c>
      <c r="K29" s="256">
        <f t="shared" ref="K29" si="12">-MIN(J41,SUM(K22:K28))</f>
        <v>0</v>
      </c>
      <c r="N29" s="3116"/>
      <c r="O29" s="3117"/>
      <c r="Q29" s="1209">
        <v>11</v>
      </c>
      <c r="R29" s="1476">
        <f>-SUM(B29:K29)-B59</f>
        <v>374357.34304046282</v>
      </c>
      <c r="S29" s="1476">
        <f>SUM(B30:K30)+B60+R29</f>
        <v>1727082.304977657</v>
      </c>
    </row>
    <row r="30" spans="1:19" ht="13.15" customHeight="1">
      <c r="A30" s="22" t="s">
        <v>1175</v>
      </c>
      <c r="B30" s="23">
        <f>SUM(B22:B29)</f>
        <v>0</v>
      </c>
      <c r="C30" s="23">
        <f t="shared" ref="C30:K30" si="13">SUM(C22:C29)</f>
        <v>0</v>
      </c>
      <c r="D30" s="23">
        <f t="shared" si="13"/>
        <v>92288.385046668467</v>
      </c>
      <c r="E30" s="23">
        <f t="shared" si="13"/>
        <v>137708.94689196825</v>
      </c>
      <c r="F30" s="23">
        <f t="shared" si="13"/>
        <v>147179.60258522863</v>
      </c>
      <c r="G30" s="23">
        <f t="shared" si="13"/>
        <v>156712.48065092077</v>
      </c>
      <c r="H30" s="23">
        <f t="shared" si="13"/>
        <v>166304.55841425096</v>
      </c>
      <c r="I30" s="23">
        <f t="shared" si="13"/>
        <v>175952.65793326078</v>
      </c>
      <c r="J30" s="23">
        <f t="shared" si="13"/>
        <v>185654.43944907736</v>
      </c>
      <c r="K30" s="23">
        <f t="shared" si="13"/>
        <v>195407.394601829</v>
      </c>
      <c r="N30" s="3116"/>
      <c r="O30" s="3117"/>
      <c r="Q30" s="1209">
        <v>12</v>
      </c>
      <c r="R30" s="1476">
        <f>-SUM(B29:K29) - SUM(B59:C59)</f>
        <v>484047.68608092563</v>
      </c>
      <c r="S30" s="1476">
        <f>SUM(B30:K30) + SUM(B60:C60)+R30</f>
        <v>1942132.211944008</v>
      </c>
    </row>
    <row r="31" spans="1:19" ht="13.15" customHeight="1">
      <c r="A31" s="22" t="str">
        <f>IF('Part III-Sources of Funds'!$E$37 = "Neither", "", "DCR Mortgage A")</f>
        <v>DCR Mortgage A</v>
      </c>
      <c r="B31" s="25">
        <f t="shared" ref="B31:K31" si="14">IF(B23=0,"",-B22/B23)</f>
        <v>1.1999999908990266</v>
      </c>
      <c r="C31" s="25">
        <f t="shared" si="14"/>
        <v>1.2169063310289765</v>
      </c>
      <c r="D31" s="25">
        <f t="shared" si="14"/>
        <v>1.2339356007229032</v>
      </c>
      <c r="E31" s="25">
        <f t="shared" si="14"/>
        <v>1.2510867170407931</v>
      </c>
      <c r="F31" s="25">
        <f t="shared" si="14"/>
        <v>1.2683547007115268</v>
      </c>
      <c r="G31" s="25">
        <f t="shared" si="14"/>
        <v>1.2857361353349617</v>
      </c>
      <c r="H31" s="25">
        <f t="shared" si="14"/>
        <v>1.303225509624375</v>
      </c>
      <c r="I31" s="25">
        <f t="shared" si="14"/>
        <v>1.3208170291921739</v>
      </c>
      <c r="J31" s="25">
        <f t="shared" si="14"/>
        <v>1.338506427922123</v>
      </c>
      <c r="K31" s="26">
        <f t="shared" si="14"/>
        <v>1.356289132285345</v>
      </c>
      <c r="N31" s="3116"/>
      <c r="O31" s="3117"/>
      <c r="Q31" s="1209">
        <v>13</v>
      </c>
      <c r="R31" s="1476">
        <f>-SUM(B29:K29) - SUM(B59:D59)</f>
        <v>593738.02912138845</v>
      </c>
      <c r="S31" s="1476">
        <f>SUM(B30:K30) + SUM(B60:D60)+R31</f>
        <v>2167065.7519026143</v>
      </c>
    </row>
    <row r="32" spans="1:19" ht="13.15" customHeight="1">
      <c r="A32" s="22" t="str">
        <f>IF('Part III-Sources of Funds'!$E$37 = "Neither", "", "DCR Mortgage B")</f>
        <v>DCR Mortgage B</v>
      </c>
      <c r="B32" s="25" t="str">
        <f t="shared" ref="B32:K32" si="15">IF(B24=0,"",-(B22+B23)/B24)</f>
        <v/>
      </c>
      <c r="C32" s="25" t="str">
        <f t="shared" si="15"/>
        <v/>
      </c>
      <c r="D32" s="25" t="str">
        <f t="shared" si="15"/>
        <v/>
      </c>
      <c r="E32" s="25" t="str">
        <f t="shared" si="15"/>
        <v/>
      </c>
      <c r="F32" s="25" t="str">
        <f t="shared" si="15"/>
        <v/>
      </c>
      <c r="G32" s="25" t="str">
        <f t="shared" si="15"/>
        <v/>
      </c>
      <c r="H32" s="25" t="str">
        <f t="shared" si="15"/>
        <v/>
      </c>
      <c r="I32" s="25" t="str">
        <f t="shared" si="15"/>
        <v/>
      </c>
      <c r="J32" s="25" t="str">
        <f t="shared" si="15"/>
        <v/>
      </c>
      <c r="K32" s="26" t="str">
        <f t="shared" si="15"/>
        <v/>
      </c>
      <c r="N32" s="3116"/>
      <c r="O32" s="3117"/>
      <c r="Q32" s="1209">
        <v>14</v>
      </c>
      <c r="R32" s="1476">
        <f>-SUM(B29:K29) - SUM(B59:E59)</f>
        <v>703428.37216185126</v>
      </c>
      <c r="S32" s="1476">
        <f>SUM(B30:K30) + SUM(B60:E60)+R32</f>
        <v>2401918.2347148126</v>
      </c>
    </row>
    <row r="33" spans="1:19" ht="13.15" customHeight="1">
      <c r="A33" s="22" t="str">
        <f>IF('Part III-Sources of Funds'!$E$37 = "Neither", "DCR First Mortgage", "DCR Mortgage C")</f>
        <v>DCR Mortgage C</v>
      </c>
      <c r="B33" s="25" t="str">
        <f t="shared" ref="B33:K33" si="16">IF(B25=0,"",-(B22+B23+B24)/B25)</f>
        <v/>
      </c>
      <c r="C33" s="25" t="str">
        <f t="shared" si="16"/>
        <v/>
      </c>
      <c r="D33" s="25" t="str">
        <f t="shared" si="16"/>
        <v/>
      </c>
      <c r="E33" s="25" t="str">
        <f t="shared" si="16"/>
        <v/>
      </c>
      <c r="F33" s="25" t="str">
        <f t="shared" si="16"/>
        <v/>
      </c>
      <c r="G33" s="25" t="str">
        <f t="shared" si="16"/>
        <v/>
      </c>
      <c r="H33" s="25" t="str">
        <f t="shared" si="16"/>
        <v/>
      </c>
      <c r="I33" s="25" t="str">
        <f t="shared" si="16"/>
        <v/>
      </c>
      <c r="J33" s="25" t="str">
        <f t="shared" si="16"/>
        <v/>
      </c>
      <c r="K33" s="26" t="str">
        <f t="shared" si="16"/>
        <v/>
      </c>
      <c r="N33" s="3116"/>
      <c r="O33" s="3117"/>
      <c r="Q33" s="1209">
        <v>15</v>
      </c>
      <c r="R33" s="1476">
        <f>-SUM(B29:K29) - SUM(B59:F59)</f>
        <v>813118.71520231408</v>
      </c>
      <c r="S33" s="1476">
        <f>SUM(B30:K30) + SUM(B60:F60)+R33</f>
        <v>2646722.5083552115</v>
      </c>
    </row>
    <row r="34" spans="1:19" ht="13.15" customHeight="1">
      <c r="A34" s="22" t="s">
        <v>791</v>
      </c>
      <c r="B34" s="25" t="str">
        <f t="shared" ref="B34:K34" si="17">IF(B26=0,"",-(B22+B23+B24+B25)/B26)</f>
        <v/>
      </c>
      <c r="C34" s="25" t="str">
        <f t="shared" si="17"/>
        <v/>
      </c>
      <c r="D34" s="25" t="str">
        <f t="shared" si="17"/>
        <v/>
      </c>
      <c r="E34" s="25" t="str">
        <f t="shared" si="17"/>
        <v/>
      </c>
      <c r="F34" s="25" t="str">
        <f t="shared" si="17"/>
        <v/>
      </c>
      <c r="G34" s="25" t="str">
        <f t="shared" si="17"/>
        <v/>
      </c>
      <c r="H34" s="25" t="str">
        <f t="shared" si="17"/>
        <v/>
      </c>
      <c r="I34" s="25" t="str">
        <f t="shared" si="17"/>
        <v/>
      </c>
      <c r="J34" s="25" t="str">
        <f t="shared" si="17"/>
        <v/>
      </c>
      <c r="K34" s="26" t="str">
        <f t="shared" si="17"/>
        <v/>
      </c>
      <c r="N34" s="3116"/>
      <c r="O34" s="3117"/>
      <c r="Q34" s="63">
        <v>16</v>
      </c>
      <c r="R34" s="1476">
        <f>-SUM(B29:K29) - SUM(B59:G59)</f>
        <v>813118.71520231408</v>
      </c>
      <c r="S34" s="1476">
        <f>SUM(B30:K30) + SUM(B60:G60)+R34</f>
        <v>2901505.7442314383</v>
      </c>
    </row>
    <row r="35" spans="1:19" ht="13.15" customHeight="1">
      <c r="A35" s="511" t="s">
        <v>3743</v>
      </c>
      <c r="B35" s="25">
        <f t="shared" ref="B35:K35" si="18">IF(AND(B23=0,B24=0,B25=0,B26=0),"",-B22/(B23+B24+B25+B26))</f>
        <v>1.1999999908990266</v>
      </c>
      <c r="C35" s="25">
        <f t="shared" si="18"/>
        <v>1.2169063310289765</v>
      </c>
      <c r="D35" s="25">
        <f t="shared" si="18"/>
        <v>1.2339356007229032</v>
      </c>
      <c r="E35" s="25">
        <f t="shared" si="18"/>
        <v>1.2510867170407931</v>
      </c>
      <c r="F35" s="25">
        <f t="shared" si="18"/>
        <v>1.2683547007115268</v>
      </c>
      <c r="G35" s="25">
        <f t="shared" si="18"/>
        <v>1.2857361353349617</v>
      </c>
      <c r="H35" s="25">
        <f t="shared" si="18"/>
        <v>1.303225509624375</v>
      </c>
      <c r="I35" s="25">
        <f t="shared" si="18"/>
        <v>1.3208170291921739</v>
      </c>
      <c r="J35" s="25">
        <f t="shared" si="18"/>
        <v>1.338506427922123</v>
      </c>
      <c r="K35" s="26">
        <f t="shared" si="18"/>
        <v>1.356289132285345</v>
      </c>
      <c r="N35" s="3116"/>
      <c r="O35" s="3117"/>
      <c r="Q35" s="63">
        <v>17</v>
      </c>
      <c r="R35" s="1476">
        <f>-SUM(B29:K29) - SUM(B59:H59)</f>
        <v>813118.71520231408</v>
      </c>
      <c r="S35" s="1476">
        <f>SUM(B30:K30) + SUM(B60:H60)+R35</f>
        <v>3166290.2138470039</v>
      </c>
    </row>
    <row r="36" spans="1:19" ht="13.15" customHeight="1">
      <c r="A36" s="22" t="s">
        <v>778</v>
      </c>
      <c r="B36" s="315">
        <f t="shared" ref="B36:K36" si="19">IF(OR(B20="Choose mgt fee",B20="Choose One!"),"",(B14+B15+B16+B17+B18) / -(B19+B20+B21))</f>
        <v>2.4432940421052631</v>
      </c>
      <c r="C36" s="315">
        <f t="shared" si="19"/>
        <v>2.4230264613973591</v>
      </c>
      <c r="D36" s="315">
        <f t="shared" si="19"/>
        <v>2.4028920299286036</v>
      </c>
      <c r="E36" s="315">
        <f t="shared" si="19"/>
        <v>2.3828983204045828</v>
      </c>
      <c r="F36" s="315">
        <f t="shared" si="19"/>
        <v>2.3630425819464587</v>
      </c>
      <c r="G36" s="315">
        <f t="shared" si="19"/>
        <v>2.3433268826248268</v>
      </c>
      <c r="H36" s="315">
        <f t="shared" si="19"/>
        <v>2.3237486654817125</v>
      </c>
      <c r="I36" s="315">
        <f t="shared" si="19"/>
        <v>2.3043056952941341</v>
      </c>
      <c r="J36" s="315">
        <f t="shared" si="19"/>
        <v>2.2850000265068222</v>
      </c>
      <c r="K36" s="316">
        <f t="shared" si="19"/>
        <v>2.2658333983205368</v>
      </c>
      <c r="N36" s="3116"/>
      <c r="O36" s="3117"/>
      <c r="Q36" s="63">
        <v>18</v>
      </c>
      <c r="R36" s="1476">
        <f>-SUM(B29:K29) - SUM(B59:I59)</f>
        <v>813118.71520231408</v>
      </c>
      <c r="S36" s="1476">
        <f>SUM(B30:K30) + SUM(B60:I60)+R36</f>
        <v>3441095.0565032549</v>
      </c>
    </row>
    <row r="37" spans="1:19" ht="13.15" customHeight="1">
      <c r="A37" s="511" t="s">
        <v>2634</v>
      </c>
      <c r="B37" s="254">
        <f>IF('Part III-Sources of Funds'!$I$37="","",-FV('Part III-Sources of Funds'!$K$37/12,12,B23/12,'Part III-Sources of Funds'!$I$37))</f>
        <v>8428371.5723738819</v>
      </c>
      <c r="C37" s="254">
        <f>IF('Part III-Sources of Funds'!$I$37="","",-FV('Part III-Sources of Funds'!$K$37/12,12,C23/12,B37))</f>
        <v>8341307.266812616</v>
      </c>
      <c r="D37" s="254">
        <f>IF('Part III-Sources of Funds'!$I$37="","",-FV('Part III-Sources of Funds'!$K$37/12,12,D23/12,C37))</f>
        <v>8249331.8500586869</v>
      </c>
      <c r="E37" s="254">
        <f>IF('Part III-Sources of Funds'!$I$37="","",-FV('Part III-Sources of Funds'!$K$37/12,12,E23/12,D37))</f>
        <v>8152168.2968376009</v>
      </c>
      <c r="F37" s="254">
        <f>IF('Part III-Sources of Funds'!$I$37="","",-FV('Part III-Sources of Funds'!$K$37/12,12,F23/12,E37))</f>
        <v>8049523.9554718575</v>
      </c>
      <c r="G37" s="254">
        <f>IF('Part III-Sources of Funds'!$I$37="","",-FV('Part III-Sources of Funds'!$K$37/12,12,G23/12,F37))</f>
        <v>7941089.6664289897</v>
      </c>
      <c r="H37" s="254">
        <f>IF('Part III-Sources of Funds'!$I$37="","",-FV('Part III-Sources of Funds'!$K$37/12,12,H23/12,G37))</f>
        <v>7826538.8311487874</v>
      </c>
      <c r="I37" s="254">
        <f>IF('Part III-Sources of Funds'!$I$37="","",-FV('Part III-Sources of Funds'!$K$37/12,12,I23/12,H37))</f>
        <v>7705526.4283450525</v>
      </c>
      <c r="J37" s="254">
        <f>IF('Part III-Sources of Funds'!$I$37="","",-FV('Part III-Sources of Funds'!$K$37/12,12,J23/12,I37))</f>
        <v>7577687.9748190464</v>
      </c>
      <c r="K37" s="254">
        <f>IF('Part III-Sources of Funds'!$I$37="","",-FV('Part III-Sources of Funds'!$K$37/12,12,K23/12,J37))</f>
        <v>7442638.4276546426</v>
      </c>
      <c r="N37" s="3116"/>
      <c r="O37" s="3117"/>
      <c r="Q37" s="1209">
        <v>19</v>
      </c>
      <c r="R37" s="1476">
        <f>-SUM(B29:K29) - SUM(B59:J59)</f>
        <v>813118.71520231408</v>
      </c>
      <c r="S37" s="1476">
        <f>SUM(B30:K30) + SUM(B60:J60)+R37</f>
        <v>3725933.0377263594</v>
      </c>
    </row>
    <row r="38" spans="1:19" ht="13.15" customHeight="1">
      <c r="A38" s="511" t="s">
        <v>2635</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116"/>
      <c r="O38" s="3117"/>
      <c r="Q38" s="1209">
        <v>20</v>
      </c>
      <c r="R38" s="1476">
        <f>-SUM(B29:K29) - SUM(B59:K59)</f>
        <v>813118.71520231408</v>
      </c>
      <c r="S38" s="1476">
        <f>SUM(B30:K30) + SUM(B60:K60)+R38</f>
        <v>4020811.2980949711</v>
      </c>
    </row>
    <row r="39" spans="1:19" ht="13.15" customHeight="1">
      <c r="A39" s="511" t="s">
        <v>2636</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116"/>
      <c r="O39" s="3117"/>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116"/>
      <c r="O40" s="3117"/>
    </row>
    <row r="41" spans="1:19" ht="13.15" customHeight="1">
      <c r="A41" s="511" t="s">
        <v>4137</v>
      </c>
      <c r="B41" s="256">
        <f>IF('Part III-Sources of Funds'!$I$42="","",-FV('Part III-Sources of Funds'!$K$42/12,12,B29/12,'Part III-Sources of Funds'!$I$42))</f>
        <v>154976.65695953718</v>
      </c>
      <c r="C41" s="256">
        <f>IF('Part III-Sources of Funds'!$I$42="","",IF(-FV('Part III-Sources of Funds'!$K$42/12,12,C29/12,B41)&gt;0,-FV('Part III-Sources of Funds'!$K$42/12,12,C29/12,B41),0))</f>
        <v>36014.002255074447</v>
      </c>
      <c r="D41" s="256">
        <f>IF('Part III-Sources of Funds'!$I$42="","",IF(-FV('Part III-Sources of Funds'!$K$42/12,12,D29/12,C41)&gt;0,-FV('Part III-Sources of Funds'!$K$42/12,12,D29/12,C41),0))</f>
        <v>0</v>
      </c>
      <c r="E41" s="256">
        <f>IF('Part III-Sources of Funds'!$I$42="","",IF(-FV('Part III-Sources of Funds'!$K$42/12,12,E29/12,D41)&gt;0,-FV('Part III-Sources of Funds'!$K$42/12,12,E29/12,D41),0))</f>
        <v>0</v>
      </c>
      <c r="F41" s="256">
        <f>IF('Part III-Sources of Funds'!$I$42="","",IF(-FV('Part III-Sources of Funds'!$K$42/12,12,F29/12,E41)&gt;0,-FV('Part III-Sources of Funds'!$K$42/12,12,F29/12,E41),0))</f>
        <v>0</v>
      </c>
      <c r="G41" s="256">
        <f>IF('Part III-Sources of Funds'!$I$42="","",IF(-FV('Part III-Sources of Funds'!$K$42/12,12,G29/12,F41)&gt;0,-FV('Part III-Sources of Funds'!$K$42/12,12,G29/12,F41),0))</f>
        <v>0</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162"/>
      <c r="O41" s="3163"/>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20">B43+1</f>
        <v>12</v>
      </c>
      <c r="D43" s="16">
        <f t="shared" si="20"/>
        <v>13</v>
      </c>
      <c r="E43" s="16">
        <f t="shared" si="20"/>
        <v>14</v>
      </c>
      <c r="F43" s="16">
        <f t="shared" si="20"/>
        <v>15</v>
      </c>
      <c r="G43" s="16">
        <f t="shared" si="20"/>
        <v>16</v>
      </c>
      <c r="H43" s="16">
        <f t="shared" si="20"/>
        <v>17</v>
      </c>
      <c r="I43" s="16">
        <f t="shared" si="20"/>
        <v>18</v>
      </c>
      <c r="J43" s="16">
        <f t="shared" si="20"/>
        <v>19</v>
      </c>
      <c r="K43" s="16">
        <f t="shared" si="20"/>
        <v>20</v>
      </c>
      <c r="N43" s="2795" t="s">
        <v>2639</v>
      </c>
      <c r="O43" s="2795"/>
    </row>
    <row r="44" spans="1:19" ht="13.15" customHeight="1">
      <c r="A44" s="19" t="s">
        <v>2420</v>
      </c>
      <c r="B44" s="20">
        <f t="shared" ref="B44:K44" si="21">$B$14*(1+$B$5)^(B43-1)</f>
        <v>1431723.5742168822</v>
      </c>
      <c r="C44" s="20">
        <f t="shared" si="21"/>
        <v>1460358.0457012195</v>
      </c>
      <c r="D44" s="20">
        <f t="shared" si="21"/>
        <v>1489565.2066152443</v>
      </c>
      <c r="E44" s="20">
        <f t="shared" si="21"/>
        <v>1519356.5107475489</v>
      </c>
      <c r="F44" s="20">
        <f t="shared" si="21"/>
        <v>1549743.6409625001</v>
      </c>
      <c r="G44" s="20">
        <f t="shared" si="21"/>
        <v>1580738.5137817496</v>
      </c>
      <c r="H44" s="20">
        <f t="shared" si="21"/>
        <v>1612353.2840573848</v>
      </c>
      <c r="I44" s="20">
        <f t="shared" si="21"/>
        <v>1644600.3497385327</v>
      </c>
      <c r="J44" s="20">
        <f t="shared" si="21"/>
        <v>1677492.3567333033</v>
      </c>
      <c r="K44" s="21">
        <f t="shared" si="21"/>
        <v>1711042.2038679693</v>
      </c>
      <c r="N44" s="3123"/>
      <c r="O44" s="3124"/>
    </row>
    <row r="45" spans="1:19" ht="13.15" customHeight="1">
      <c r="A45" s="22" t="s">
        <v>1026</v>
      </c>
      <c r="B45" s="23">
        <f t="shared" ref="B45:K45" si="22">$B$15*(1+$B$5)^(B43-1)</f>
        <v>28634.471484337646</v>
      </c>
      <c r="C45" s="23">
        <f t="shared" si="22"/>
        <v>29207.160914024393</v>
      </c>
      <c r="D45" s="23">
        <f t="shared" si="22"/>
        <v>29791.304132304886</v>
      </c>
      <c r="E45" s="23">
        <f t="shared" si="22"/>
        <v>30387.130214950983</v>
      </c>
      <c r="F45" s="23">
        <f t="shared" si="22"/>
        <v>30994.872819250006</v>
      </c>
      <c r="G45" s="23">
        <f t="shared" si="22"/>
        <v>31614.770275634994</v>
      </c>
      <c r="H45" s="23">
        <f t="shared" si="22"/>
        <v>32247.065681147702</v>
      </c>
      <c r="I45" s="23">
        <f t="shared" si="22"/>
        <v>32892.006994770658</v>
      </c>
      <c r="J45" s="23">
        <f t="shared" si="22"/>
        <v>33549.847134666066</v>
      </c>
      <c r="K45" s="24">
        <f t="shared" si="22"/>
        <v>34220.84407735939</v>
      </c>
      <c r="N45" s="3116"/>
      <c r="O45" s="3117"/>
    </row>
    <row r="46" spans="1:19" ht="13.15" customHeight="1">
      <c r="A46" s="22" t="s">
        <v>2421</v>
      </c>
      <c r="B46" s="23">
        <f t="shared" ref="B46:K46" si="23">-(B44+B45)*$B$8</f>
        <v>-102225.0631990854</v>
      </c>
      <c r="C46" s="23">
        <f t="shared" si="23"/>
        <v>-104269.56446306707</v>
      </c>
      <c r="D46" s="23">
        <f t="shared" si="23"/>
        <v>-106354.95575232845</v>
      </c>
      <c r="E46" s="23">
        <f t="shared" si="23"/>
        <v>-108482.054867375</v>
      </c>
      <c r="F46" s="23">
        <f t="shared" si="23"/>
        <v>-110651.69596472252</v>
      </c>
      <c r="G46" s="23">
        <f t="shared" si="23"/>
        <v>-112864.72988401694</v>
      </c>
      <c r="H46" s="23">
        <f t="shared" si="23"/>
        <v>-115122.02448169728</v>
      </c>
      <c r="I46" s="23">
        <f t="shared" si="23"/>
        <v>-117424.46497133124</v>
      </c>
      <c r="J46" s="23">
        <f t="shared" si="23"/>
        <v>-119772.95427075787</v>
      </c>
      <c r="K46" s="24">
        <f t="shared" si="23"/>
        <v>-122168.41335617303</v>
      </c>
      <c r="N46" s="3116"/>
      <c r="O46" s="3117"/>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16"/>
      <c r="O47" s="3117"/>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16"/>
      <c r="O48" s="3117"/>
    </row>
    <row r="49" spans="1:18" ht="13.15" customHeight="1">
      <c r="A49" s="22" t="s">
        <v>620</v>
      </c>
      <c r="B49" s="23">
        <f t="shared" ref="B49:K49" si="24">$B$19*(1+$B$6)^(B43-1)</f>
        <v>-490732.40983388544</v>
      </c>
      <c r="C49" s="23">
        <f t="shared" si="24"/>
        <v>-505454.38212890201</v>
      </c>
      <c r="D49" s="23">
        <f t="shared" si="24"/>
        <v>-520618.01359276898</v>
      </c>
      <c r="E49" s="23">
        <f t="shared" si="24"/>
        <v>-536236.55400055205</v>
      </c>
      <c r="F49" s="23">
        <f t="shared" si="24"/>
        <v>-552323.65062056866</v>
      </c>
      <c r="G49" s="23">
        <f t="shared" si="24"/>
        <v>-568893.36013918568</v>
      </c>
      <c r="H49" s="23">
        <f t="shared" si="24"/>
        <v>-585960.16094336123</v>
      </c>
      <c r="I49" s="23">
        <f t="shared" si="24"/>
        <v>-603538.96577166207</v>
      </c>
      <c r="J49" s="23">
        <f t="shared" si="24"/>
        <v>-621645.13474481192</v>
      </c>
      <c r="K49" s="24">
        <f t="shared" si="24"/>
        <v>-640294.4887871563</v>
      </c>
      <c r="N49" s="3116"/>
      <c r="O49" s="3117"/>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-81488</v>
      </c>
      <c r="C50" s="23">
        <f>IF(AND('Part VII-Pro Forma'!$G$8="Yes",'Part VII-Pro Forma'!$G$9="Yes"),"Choose One!",IF('Part VII-Pro Forma'!$G$8="Yes",ROUND((-$K$8*(1+'Part VII-Pro Forma'!$B$6)^('Part VII-Pro Forma'!C43-1)),),IF('Part VII-Pro Forma'!$G$9="Yes",ROUND((-(SUM(C44:C47)*'Part VII-Pro Forma'!$K$9)),),"Choose mgt fee")))</f>
        <v>-83118</v>
      </c>
      <c r="D50" s="23">
        <f>IF(AND('Part VII-Pro Forma'!$G$8="Yes",'Part VII-Pro Forma'!$G$9="Yes"),"Choose One!",IF('Part VII-Pro Forma'!$G$8="Yes",ROUND((-$K$8*(1+'Part VII-Pro Forma'!$B$6)^('Part VII-Pro Forma'!D43-1)),),IF('Part VII-Pro Forma'!$G$9="Yes",ROUND((-(SUM(D44:D47)*'Part VII-Pro Forma'!$K$9)),),"Choose mgt fee")))</f>
        <v>-84780</v>
      </c>
      <c r="E50" s="23">
        <f>IF(AND('Part VII-Pro Forma'!$G$8="Yes",'Part VII-Pro Forma'!$G$9="Yes"),"Choose One!",IF('Part VII-Pro Forma'!$G$8="Yes",ROUND((-$K$8*(1+'Part VII-Pro Forma'!$B$6)^('Part VII-Pro Forma'!E43-1)),),IF('Part VII-Pro Forma'!$G$9="Yes",ROUND((-(SUM(E44:E47)*'Part VII-Pro Forma'!$K$9)),),"Choose mgt fee")))</f>
        <v>-86476</v>
      </c>
      <c r="F50" s="23">
        <f>IF(AND('Part VII-Pro Forma'!$G$8="Yes",'Part VII-Pro Forma'!$G$9="Yes"),"Choose One!",IF('Part VII-Pro Forma'!$G$8="Yes",ROUND((-$K$8*(1+'Part VII-Pro Forma'!$B$6)^('Part VII-Pro Forma'!F43-1)),),IF('Part VII-Pro Forma'!$G$9="Yes",ROUND((-(SUM(F44:F47)*'Part VII-Pro Forma'!$K$9)),),"Choose mgt fee")))</f>
        <v>-88205</v>
      </c>
      <c r="G50" s="23">
        <f>IF(AND('Part VII-Pro Forma'!$G$8="Yes",'Part VII-Pro Forma'!$G$9="Yes"),"Choose One!",IF('Part VII-Pro Forma'!$G$8="Yes",ROUND((-$K$8*(1+'Part VII-Pro Forma'!$B$6)^('Part VII-Pro Forma'!G43-1)),),IF('Part VII-Pro Forma'!$G$9="Yes",ROUND((-(SUM(G44:G47)*'Part VII-Pro Forma'!$K$9)),),"Choose mgt fee")))</f>
        <v>-89969</v>
      </c>
      <c r="H50" s="23">
        <f>IF(AND('Part VII-Pro Forma'!$G$8="Yes",'Part VII-Pro Forma'!$G$9="Yes"),"Choose One!",IF('Part VII-Pro Forma'!$G$8="Yes",ROUND((-$K$8*(1+'Part VII-Pro Forma'!$B$6)^('Part VII-Pro Forma'!H43-1)),),IF('Part VII-Pro Forma'!$G$9="Yes",ROUND((-(SUM(H44:H47)*'Part VII-Pro Forma'!$K$9)),),"Choose mgt fee")))</f>
        <v>-91769</v>
      </c>
      <c r="I50" s="23">
        <f>IF(AND('Part VII-Pro Forma'!$G$8="Yes",'Part VII-Pro Forma'!$G$9="Yes"),"Choose One!",IF('Part VII-Pro Forma'!$G$8="Yes",ROUND((-$K$8*(1+'Part VII-Pro Forma'!$B$6)^('Part VII-Pro Forma'!I43-1)),),IF('Part VII-Pro Forma'!$G$9="Yes",ROUND((-(SUM(I44:I47)*'Part VII-Pro Forma'!$K$9)),),"Choose mgt fee")))</f>
        <v>-93604</v>
      </c>
      <c r="J50" s="23">
        <f>IF(AND('Part VII-Pro Forma'!$G$8="Yes",'Part VII-Pro Forma'!$G$9="Yes"),"Choose One!",IF('Part VII-Pro Forma'!$G$8="Yes",ROUND((-$K$8*(1+'Part VII-Pro Forma'!$B$6)^('Part VII-Pro Forma'!J43-1)),),IF('Part VII-Pro Forma'!$G$9="Yes",ROUND((-(SUM(J44:J47)*'Part VII-Pro Forma'!$K$9)),),"Choose mgt fee")))</f>
        <v>-95476</v>
      </c>
      <c r="K50" s="23">
        <f>IF(AND('Part VII-Pro Forma'!$G$8="Yes",'Part VII-Pro Forma'!$G$9="Yes"),"Choose One!",IF('Part VII-Pro Forma'!$G$8="Yes",ROUND((-$K$8*(1+'Part VII-Pro Forma'!$B$6)^('Part VII-Pro Forma'!K43-1)),),IF('Part VII-Pro Forma'!$G$9="Yes",ROUND((-(SUM(K44:K47)*'Part VII-Pro Forma'!$K$9)),),"Choose mgt fee")))</f>
        <v>-97386</v>
      </c>
      <c r="N50" s="3116"/>
      <c r="O50" s="3117"/>
    </row>
    <row r="51" spans="1:18" ht="13.15" customHeight="1">
      <c r="A51" s="22" t="s">
        <v>1214</v>
      </c>
      <c r="B51" s="23">
        <f t="shared" ref="B51:K51" si="25">$B$21*(1+$B$7)^(B43-1)</f>
        <v>-32253.993104258923</v>
      </c>
      <c r="C51" s="23">
        <f t="shared" si="25"/>
        <v>-33221.612897386694</v>
      </c>
      <c r="D51" s="23">
        <f t="shared" si="25"/>
        <v>-34218.26128430829</v>
      </c>
      <c r="E51" s="23">
        <f t="shared" si="25"/>
        <v>-35244.809122837534</v>
      </c>
      <c r="F51" s="23">
        <f t="shared" si="25"/>
        <v>-36302.153396522663</v>
      </c>
      <c r="G51" s="23">
        <f t="shared" si="25"/>
        <v>-37391.217998418346</v>
      </c>
      <c r="H51" s="23">
        <f t="shared" si="25"/>
        <v>-38512.95453837089</v>
      </c>
      <c r="I51" s="23">
        <f t="shared" si="25"/>
        <v>-39668.343174522015</v>
      </c>
      <c r="J51" s="23">
        <f t="shared" si="25"/>
        <v>-40858.393469757677</v>
      </c>
      <c r="K51" s="24">
        <f t="shared" si="25"/>
        <v>-42084.145273850409</v>
      </c>
      <c r="N51" s="3116"/>
      <c r="O51" s="3117"/>
    </row>
    <row r="52" spans="1:18" ht="13.15" customHeight="1">
      <c r="A52" s="22" t="s">
        <v>1215</v>
      </c>
      <c r="B52" s="23">
        <f t="shared" ref="B52:K52" si="26">SUM(B44:B51)</f>
        <v>753658.57956399012</v>
      </c>
      <c r="C52" s="23">
        <f t="shared" si="26"/>
        <v>763501.64712588803</v>
      </c>
      <c r="D52" s="23">
        <f t="shared" si="26"/>
        <v>773385.28011814342</v>
      </c>
      <c r="E52" s="23">
        <f t="shared" si="26"/>
        <v>783304.22297173541</v>
      </c>
      <c r="F52" s="23">
        <f t="shared" si="26"/>
        <v>793256.01379993639</v>
      </c>
      <c r="G52" s="23">
        <f t="shared" si="26"/>
        <v>803234.97603576351</v>
      </c>
      <c r="H52" s="23">
        <f t="shared" si="26"/>
        <v>813236.20977510302</v>
      </c>
      <c r="I52" s="23">
        <f t="shared" si="26"/>
        <v>823256.58281578799</v>
      </c>
      <c r="J52" s="23">
        <f t="shared" si="26"/>
        <v>833289.72138264182</v>
      </c>
      <c r="K52" s="24">
        <f t="shared" si="26"/>
        <v>843330.00052814896</v>
      </c>
      <c r="N52" s="3116"/>
      <c r="O52" s="3117"/>
    </row>
    <row r="53" spans="1:18" ht="13.15" customHeight="1">
      <c r="A53" s="22" t="str">
        <f>$A23</f>
        <v>Mortgage A</v>
      </c>
      <c r="B53" s="513">
        <f>IF('Part III-Sources of Funds'!$N$37="", 0,-'Part III-Sources of Funds'!$N$37)</f>
        <v>-548451.74015953718</v>
      </c>
      <c r="C53" s="513">
        <f>IF('Part III-Sources of Funds'!$N$37="", 0,-'Part III-Sources of Funds'!$N$37)</f>
        <v>-548451.74015953718</v>
      </c>
      <c r="D53" s="513">
        <f>IF('Part III-Sources of Funds'!$N$37="", 0,-'Part III-Sources of Funds'!$N$37)</f>
        <v>-548451.74015953718</v>
      </c>
      <c r="E53" s="513">
        <f>IF('Part III-Sources of Funds'!$N$37="", 0,-'Part III-Sources of Funds'!$N$37)</f>
        <v>-548451.74015953718</v>
      </c>
      <c r="F53" s="513">
        <f>IF('Part III-Sources of Funds'!$N$37="", 0,-'Part III-Sources of Funds'!$N$37)</f>
        <v>-548451.74015953718</v>
      </c>
      <c r="G53" s="513">
        <f>IF('Part III-Sources of Funds'!$N$37="", 0,-'Part III-Sources of Funds'!$N$37)</f>
        <v>-548451.74015953718</v>
      </c>
      <c r="H53" s="513">
        <f>IF('Part III-Sources of Funds'!$N$37="", 0,-'Part III-Sources of Funds'!$N$37)</f>
        <v>-548451.74015953718</v>
      </c>
      <c r="I53" s="513">
        <f>IF('Part III-Sources of Funds'!$N$37="", 0,-'Part III-Sources of Funds'!$N$37)</f>
        <v>-548451.74015953718</v>
      </c>
      <c r="J53" s="513">
        <f>IF('Part III-Sources of Funds'!$N$37="", 0,-'Part III-Sources of Funds'!$N$37)</f>
        <v>-548451.74015953718</v>
      </c>
      <c r="K53" s="513">
        <f>IF('Part III-Sources of Funds'!$N$37="", 0,-'Part III-Sources of Funds'!$N$37)</f>
        <v>-548451.74015953718</v>
      </c>
      <c r="N53" s="3116"/>
      <c r="O53" s="3117"/>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116"/>
      <c r="O54" s="3117"/>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116"/>
      <c r="O55" s="3117"/>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116"/>
      <c r="O56" s="3117"/>
    </row>
    <row r="57" spans="1:18" ht="13.15" customHeight="1">
      <c r="A57" s="22" t="s">
        <v>771</v>
      </c>
      <c r="B57" s="191"/>
      <c r="C57" s="191"/>
      <c r="D57" s="191"/>
      <c r="E57" s="191"/>
      <c r="F57" s="191"/>
      <c r="G57" s="191"/>
      <c r="H57" s="191"/>
      <c r="I57" s="191"/>
      <c r="J57" s="191"/>
      <c r="K57" s="191"/>
      <c r="N57" s="3116"/>
      <c r="O57" s="3117"/>
    </row>
    <row r="58" spans="1:18" ht="13.15" customHeight="1">
      <c r="A58" s="511" t="s">
        <v>1174</v>
      </c>
      <c r="B58" s="255">
        <f>+K28</f>
        <v>0</v>
      </c>
      <c r="C58" s="255">
        <f t="shared" ref="C58:K58" si="27">+B58</f>
        <v>0</v>
      </c>
      <c r="D58" s="255">
        <f t="shared" si="27"/>
        <v>0</v>
      </c>
      <c r="E58" s="255">
        <f t="shared" si="27"/>
        <v>0</v>
      </c>
      <c r="F58" s="255">
        <f t="shared" si="27"/>
        <v>0</v>
      </c>
      <c r="G58" s="255">
        <f t="shared" si="27"/>
        <v>0</v>
      </c>
      <c r="H58" s="255">
        <f t="shared" si="27"/>
        <v>0</v>
      </c>
      <c r="I58" s="255">
        <f t="shared" si="27"/>
        <v>0</v>
      </c>
      <c r="J58" s="255">
        <f t="shared" si="27"/>
        <v>0</v>
      </c>
      <c r="K58" s="255">
        <f t="shared" si="27"/>
        <v>0</v>
      </c>
      <c r="N58" s="3116"/>
      <c r="O58" s="3117"/>
      <c r="Q58" s="1209"/>
      <c r="R58" s="1476"/>
    </row>
    <row r="59" spans="1:18" ht="13.15" customHeight="1">
      <c r="A59" s="511" t="s">
        <v>4136</v>
      </c>
      <c r="B59" s="256">
        <f>IF('Part III-Sources of Funds'!$N$42="", 0,-'Part III-Sources of Funds'!$N$42)</f>
        <v>-109690.34304046282</v>
      </c>
      <c r="C59" s="256">
        <f>IF('Part III-Sources of Funds'!$N$42="", 0,-'Part III-Sources of Funds'!$N$42)</f>
        <v>-109690.34304046282</v>
      </c>
      <c r="D59" s="256">
        <f>IF('Part III-Sources of Funds'!$N$42="", 0,-'Part III-Sources of Funds'!$N$42)</f>
        <v>-109690.34304046282</v>
      </c>
      <c r="E59" s="256">
        <f>IF('Part III-Sources of Funds'!$N$42="", 0,-'Part III-Sources of Funds'!$N$42)</f>
        <v>-109690.34304046282</v>
      </c>
      <c r="F59" s="256">
        <f>IF('Part III-Sources of Funds'!$N$42="", 0,-'Part III-Sources of Funds'!$N$42)</f>
        <v>-109690.34304046282</v>
      </c>
      <c r="G59" s="256"/>
      <c r="H59" s="256"/>
      <c r="I59" s="256"/>
      <c r="J59" s="256"/>
      <c r="K59" s="256"/>
      <c r="N59" s="3116"/>
      <c r="O59" s="3117"/>
    </row>
    <row r="60" spans="1:18" ht="13.15" customHeight="1">
      <c r="A60" s="22" t="s">
        <v>1175</v>
      </c>
      <c r="B60" s="23">
        <f>SUM(B52:B59)</f>
        <v>95516.496363990125</v>
      </c>
      <c r="C60" s="23">
        <f t="shared" ref="C60:K60" si="28">SUM(C52:C59)</f>
        <v>105359.56392588804</v>
      </c>
      <c r="D60" s="23">
        <f t="shared" si="28"/>
        <v>115243.19691814343</v>
      </c>
      <c r="E60" s="23">
        <f t="shared" si="28"/>
        <v>125162.13977173541</v>
      </c>
      <c r="F60" s="23">
        <f t="shared" si="28"/>
        <v>135113.9305999364</v>
      </c>
      <c r="G60" s="23">
        <f t="shared" si="28"/>
        <v>254783.23587622633</v>
      </c>
      <c r="H60" s="23">
        <f t="shared" si="28"/>
        <v>264784.46961556585</v>
      </c>
      <c r="I60" s="23">
        <f t="shared" si="28"/>
        <v>274804.84265625081</v>
      </c>
      <c r="J60" s="23">
        <f t="shared" si="28"/>
        <v>284837.98122310464</v>
      </c>
      <c r="K60" s="23">
        <f t="shared" si="28"/>
        <v>294878.26036861178</v>
      </c>
      <c r="N60" s="3116"/>
      <c r="O60" s="3117"/>
    </row>
    <row r="61" spans="1:18" ht="13.15" customHeight="1">
      <c r="A61" s="22" t="str">
        <f>$A31</f>
        <v>DCR Mortgage A</v>
      </c>
      <c r="B61" s="25">
        <f t="shared" ref="B61:K61" si="29">IF(B53=0,"",-B52/B53)</f>
        <v>1.3741566019003988</v>
      </c>
      <c r="C61" s="25">
        <f t="shared" si="29"/>
        <v>1.392103609524141</v>
      </c>
      <c r="D61" s="25">
        <f t="shared" si="29"/>
        <v>1.4101245806844849</v>
      </c>
      <c r="E61" s="25">
        <f t="shared" si="29"/>
        <v>1.4282099328263282</v>
      </c>
      <c r="F61" s="25">
        <f t="shared" si="29"/>
        <v>1.44635517715595</v>
      </c>
      <c r="G61" s="25">
        <f t="shared" si="29"/>
        <v>1.4645499635065673</v>
      </c>
      <c r="H61" s="25">
        <f t="shared" si="29"/>
        <v>1.482785357812054</v>
      </c>
      <c r="I61" s="25">
        <f t="shared" si="29"/>
        <v>1.5010556490828415</v>
      </c>
      <c r="J61" s="25">
        <f t="shared" si="29"/>
        <v>1.5193492159223509</v>
      </c>
      <c r="K61" s="26">
        <f t="shared" si="29"/>
        <v>1.5376558022823223</v>
      </c>
      <c r="N61" s="3116"/>
      <c r="O61" s="3117"/>
    </row>
    <row r="62" spans="1:18" ht="13.15" customHeight="1">
      <c r="A62" s="22" t="str">
        <f>$A32</f>
        <v>DCR Mortgage B</v>
      </c>
      <c r="B62" s="25" t="str">
        <f t="shared" ref="B62:K62" si="30">IF(B54=0,"",-(B52+B53)/B54)</f>
        <v/>
      </c>
      <c r="C62" s="25" t="str">
        <f t="shared" si="30"/>
        <v/>
      </c>
      <c r="D62" s="25" t="str">
        <f t="shared" si="30"/>
        <v/>
      </c>
      <c r="E62" s="25" t="str">
        <f t="shared" si="30"/>
        <v/>
      </c>
      <c r="F62" s="25" t="str">
        <f t="shared" si="30"/>
        <v/>
      </c>
      <c r="G62" s="25" t="str">
        <f t="shared" si="30"/>
        <v/>
      </c>
      <c r="H62" s="25" t="str">
        <f t="shared" si="30"/>
        <v/>
      </c>
      <c r="I62" s="25" t="str">
        <f t="shared" si="30"/>
        <v/>
      </c>
      <c r="J62" s="25" t="str">
        <f t="shared" si="30"/>
        <v/>
      </c>
      <c r="K62" s="26" t="str">
        <f t="shared" si="30"/>
        <v/>
      </c>
      <c r="N62" s="3116"/>
      <c r="O62" s="3117"/>
    </row>
    <row r="63" spans="1:18" ht="13.15" customHeight="1">
      <c r="A63" s="22" t="str">
        <f>$A33</f>
        <v>DCR Mortgage C</v>
      </c>
      <c r="B63" s="25" t="str">
        <f t="shared" ref="B63:K63" si="31">IF(B55=0,"",-(B52+B53+B54)/B55)</f>
        <v/>
      </c>
      <c r="C63" s="25" t="str">
        <f t="shared" si="31"/>
        <v/>
      </c>
      <c r="D63" s="25" t="str">
        <f t="shared" si="31"/>
        <v/>
      </c>
      <c r="E63" s="25" t="str">
        <f t="shared" si="31"/>
        <v/>
      </c>
      <c r="F63" s="25" t="str">
        <f t="shared" si="31"/>
        <v/>
      </c>
      <c r="G63" s="25" t="str">
        <f t="shared" si="31"/>
        <v/>
      </c>
      <c r="H63" s="25" t="str">
        <f t="shared" si="31"/>
        <v/>
      </c>
      <c r="I63" s="25" t="str">
        <f t="shared" si="31"/>
        <v/>
      </c>
      <c r="J63" s="25" t="str">
        <f t="shared" si="31"/>
        <v/>
      </c>
      <c r="K63" s="26" t="str">
        <f t="shared" si="31"/>
        <v/>
      </c>
      <c r="N63" s="3116"/>
      <c r="O63" s="3117"/>
    </row>
    <row r="64" spans="1:18" ht="13.15" customHeight="1">
      <c r="A64" s="22" t="str">
        <f>$A34</f>
        <v>DCR Other Source</v>
      </c>
      <c r="B64" s="25" t="str">
        <f t="shared" ref="B64:K64" si="32">IF(B56=0,"",-(B52+B53+B54+B55)/B56)</f>
        <v/>
      </c>
      <c r="C64" s="25" t="str">
        <f t="shared" si="32"/>
        <v/>
      </c>
      <c r="D64" s="25" t="str">
        <f t="shared" si="32"/>
        <v/>
      </c>
      <c r="E64" s="25" t="str">
        <f t="shared" si="32"/>
        <v/>
      </c>
      <c r="F64" s="25" t="str">
        <f t="shared" si="32"/>
        <v/>
      </c>
      <c r="G64" s="25" t="str">
        <f t="shared" si="32"/>
        <v/>
      </c>
      <c r="H64" s="25" t="str">
        <f t="shared" si="32"/>
        <v/>
      </c>
      <c r="I64" s="25" t="str">
        <f t="shared" si="32"/>
        <v/>
      </c>
      <c r="J64" s="25" t="str">
        <f t="shared" si="32"/>
        <v/>
      </c>
      <c r="K64" s="26" t="str">
        <f t="shared" si="32"/>
        <v/>
      </c>
      <c r="N64" s="3116"/>
      <c r="O64" s="3117"/>
    </row>
    <row r="65" spans="1:15" ht="13.15" customHeight="1">
      <c r="A65" s="511" t="s">
        <v>3743</v>
      </c>
      <c r="B65" s="25">
        <f t="shared" ref="B65:K65" si="33">IF(AND(B53=0,B54=0,B55=0,B56=0),"",-B52/(B53+B54+B55+B56))</f>
        <v>1.3741566019003988</v>
      </c>
      <c r="C65" s="25">
        <f t="shared" si="33"/>
        <v>1.392103609524141</v>
      </c>
      <c r="D65" s="25">
        <f t="shared" si="33"/>
        <v>1.4101245806844849</v>
      </c>
      <c r="E65" s="25">
        <f t="shared" si="33"/>
        <v>1.4282099328263282</v>
      </c>
      <c r="F65" s="25">
        <f t="shared" si="33"/>
        <v>1.44635517715595</v>
      </c>
      <c r="G65" s="25">
        <f t="shared" si="33"/>
        <v>1.4645499635065673</v>
      </c>
      <c r="H65" s="25">
        <f t="shared" si="33"/>
        <v>1.482785357812054</v>
      </c>
      <c r="I65" s="25">
        <f t="shared" si="33"/>
        <v>1.5010556490828415</v>
      </c>
      <c r="J65" s="25">
        <f t="shared" si="33"/>
        <v>1.5193492159223509</v>
      </c>
      <c r="K65" s="26">
        <f t="shared" si="33"/>
        <v>1.5376558022823223</v>
      </c>
      <c r="N65" s="3116"/>
      <c r="O65" s="3117"/>
    </row>
    <row r="66" spans="1:15" ht="13.15" customHeight="1">
      <c r="A66" s="22" t="s">
        <v>778</v>
      </c>
      <c r="B66" s="315">
        <f t="shared" ref="B66:K66" si="34">IF(OR(B50="Choose mgt fee",B50="Choose One!"),"",(B44+B45+B46+B47+B48) / -(B49+B50+B51))</f>
        <v>2.246799824609135</v>
      </c>
      <c r="C66" s="315">
        <f t="shared" si="34"/>
        <v>2.2279012876179483</v>
      </c>
      <c r="D66" s="315">
        <f t="shared" si="34"/>
        <v>2.2091394645434472</v>
      </c>
      <c r="E66" s="315">
        <f t="shared" si="34"/>
        <v>2.1905090920379884</v>
      </c>
      <c r="F66" s="315">
        <f t="shared" si="34"/>
        <v>2.1720152349624815</v>
      </c>
      <c r="G66" s="315">
        <f t="shared" si="34"/>
        <v>2.1536529236723236</v>
      </c>
      <c r="H66" s="315">
        <f t="shared" si="34"/>
        <v>2.1354208195759812</v>
      </c>
      <c r="I66" s="315">
        <f t="shared" si="34"/>
        <v>2.1173234895013233</v>
      </c>
      <c r="J66" s="315">
        <f t="shared" si="34"/>
        <v>2.0993565002282666</v>
      </c>
      <c r="K66" s="316">
        <f t="shared" si="34"/>
        <v>2.081518657926424</v>
      </c>
      <c r="N66" s="3116"/>
      <c r="O66" s="3117"/>
    </row>
    <row r="67" spans="1:15" ht="13.15" customHeight="1">
      <c r="A67" s="511" t="s">
        <v>2634</v>
      </c>
      <c r="B67" s="254">
        <f>IF('Part III-Sources of Funds'!$I$37="","",-FV('Part III-Sources of Funds'!$K$37/12,12,B53/12,K37))</f>
        <v>7299971.0244886596</v>
      </c>
      <c r="C67" s="254">
        <f>IF('Part III-Sources of Funds'!$I$37="","",-FV('Part III-Sources of Funds'!$K$37/12,12,C53/12,B67))</f>
        <v>7149256.0583633222</v>
      </c>
      <c r="D67" s="254">
        <f>IF('Part III-Sources of Funds'!$I$37="","",-FV('Part III-Sources of Funds'!$K$37/12,12,D53/12,C67))</f>
        <v>6990039.5834707767</v>
      </c>
      <c r="E67" s="254">
        <f>IF('Part III-Sources of Funds'!$I$37="","",-FV('Part III-Sources of Funds'!$K$37/12,12,E53/12,D67))</f>
        <v>6821842.0478914157</v>
      </c>
      <c r="F67" s="254">
        <f>IF('Part III-Sources of Funds'!$I$37="","",-FV('Part III-Sources of Funds'!$K$37/12,12,F53/12,E67))</f>
        <v>6644156.8492079023</v>
      </c>
      <c r="G67" s="254">
        <f>IF('Part III-Sources of Funds'!$I$37="","",-FV('Part III-Sources of Funds'!$K$37/12,12,G53/12,F67))</f>
        <v>6456448.8086444736</v>
      </c>
      <c r="H67" s="254">
        <f>IF('Part III-Sources of Funds'!$I$37="","",-FV('Part III-Sources of Funds'!$K$37/12,12,H53/12,G67))</f>
        <v>6258152.5591357006</v>
      </c>
      <c r="I67" s="254">
        <f>IF('Part III-Sources of Funds'!$I$37="","",-FV('Part III-Sources of Funds'!$K$37/12,12,I53/12,H67))</f>
        <v>6048670.8424696615</v>
      </c>
      <c r="J67" s="254">
        <f>IF('Part III-Sources of Funds'!$I$37="","",-FV('Part III-Sources of Funds'!$K$37/12,12,J53/12,I67))</f>
        <v>5827372.7103766017</v>
      </c>
      <c r="K67" s="254">
        <f>IF('Part III-Sources of Funds'!$I$37="","",-FV('Part III-Sources of Funds'!$K$37/12,12,K53/12,J67))</f>
        <v>5593591.6241448568</v>
      </c>
      <c r="N67" s="3116"/>
      <c r="O67" s="3117"/>
    </row>
    <row r="68" spans="1:15" ht="13.15" customHeight="1">
      <c r="A68" s="511" t="s">
        <v>2635</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116"/>
      <c r="O68" s="3117"/>
    </row>
    <row r="69" spans="1:15" ht="13.15" customHeight="1">
      <c r="A69" s="511" t="s">
        <v>2636</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116"/>
      <c r="O69" s="3117"/>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116"/>
      <c r="O70" s="3117"/>
    </row>
    <row r="71" spans="1:15" ht="13.15" customHeight="1">
      <c r="A71" s="511" t="s">
        <v>4137</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62"/>
      <c r="O71" s="3163"/>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5">B73+1</f>
        <v>22</v>
      </c>
      <c r="D73" s="16">
        <f t="shared" si="35"/>
        <v>23</v>
      </c>
      <c r="E73" s="16">
        <f t="shared" si="35"/>
        <v>24</v>
      </c>
      <c r="F73" s="16">
        <f t="shared" si="35"/>
        <v>25</v>
      </c>
      <c r="G73" s="16">
        <f t="shared" si="35"/>
        <v>26</v>
      </c>
      <c r="H73" s="16">
        <f t="shared" si="35"/>
        <v>27</v>
      </c>
      <c r="I73" s="16">
        <f t="shared" si="35"/>
        <v>28</v>
      </c>
      <c r="J73" s="16">
        <f t="shared" si="35"/>
        <v>29</v>
      </c>
      <c r="K73" s="16">
        <f t="shared" si="35"/>
        <v>30</v>
      </c>
      <c r="N73" s="2795" t="s">
        <v>2640</v>
      </c>
      <c r="O73" s="2795"/>
    </row>
    <row r="74" spans="1:15" ht="13.15" customHeight="1">
      <c r="A74" s="19" t="s">
        <v>2420</v>
      </c>
      <c r="B74" s="20">
        <f t="shared" ref="B74:K74" si="36">$B$14*(1+$B$5)^(B73-1)</f>
        <v>1745263.0479453288</v>
      </c>
      <c r="C74" s="20">
        <f t="shared" si="36"/>
        <v>1780168.3089042353</v>
      </c>
      <c r="D74" s="20">
        <f t="shared" si="36"/>
        <v>1815771.6750823201</v>
      </c>
      <c r="E74" s="20">
        <f t="shared" si="36"/>
        <v>1852087.108583966</v>
      </c>
      <c r="F74" s="20">
        <f t="shared" si="36"/>
        <v>1889128.8507556454</v>
      </c>
      <c r="G74" s="20">
        <f t="shared" si="36"/>
        <v>1926911.4277707585</v>
      </c>
      <c r="H74" s="20">
        <f t="shared" si="36"/>
        <v>1965449.6563261738</v>
      </c>
      <c r="I74" s="20">
        <f t="shared" si="36"/>
        <v>2004758.649452697</v>
      </c>
      <c r="J74" s="20">
        <f t="shared" si="36"/>
        <v>2044853.8224417514</v>
      </c>
      <c r="K74" s="21">
        <f t="shared" si="36"/>
        <v>2085750.8988905861</v>
      </c>
      <c r="N74" s="3123"/>
      <c r="O74" s="3124"/>
    </row>
    <row r="75" spans="1:15" ht="13.15" customHeight="1">
      <c r="A75" s="22" t="s">
        <v>1026</v>
      </c>
      <c r="B75" s="23">
        <f t="shared" ref="B75:K75" si="37">$B$15*(1+$B$5)^(B73-1)</f>
        <v>34905.260958906576</v>
      </c>
      <c r="C75" s="23">
        <f t="shared" si="37"/>
        <v>35603.366178084711</v>
      </c>
      <c r="D75" s="23">
        <f t="shared" si="37"/>
        <v>36315.433501646403</v>
      </c>
      <c r="E75" s="23">
        <f t="shared" si="37"/>
        <v>37041.742171679325</v>
      </c>
      <c r="F75" s="23">
        <f t="shared" si="37"/>
        <v>37782.577015112911</v>
      </c>
      <c r="G75" s="23">
        <f t="shared" si="37"/>
        <v>38538.228555415168</v>
      </c>
      <c r="H75" s="23">
        <f t="shared" si="37"/>
        <v>39308.993126523477</v>
      </c>
      <c r="I75" s="23">
        <f t="shared" si="37"/>
        <v>40095.172989053943</v>
      </c>
      <c r="J75" s="23">
        <f t="shared" si="37"/>
        <v>40897.076448835025</v>
      </c>
      <c r="K75" s="24">
        <f t="shared" si="37"/>
        <v>41715.017977811724</v>
      </c>
      <c r="N75" s="3116"/>
      <c r="O75" s="3117"/>
    </row>
    <row r="76" spans="1:15" ht="13.15" customHeight="1">
      <c r="A76" s="22" t="s">
        <v>2421</v>
      </c>
      <c r="B76" s="23">
        <f t="shared" ref="B76:K76" si="38">-(B74+B75)*$B$8</f>
        <v>-124611.78162329648</v>
      </c>
      <c r="C76" s="23">
        <f t="shared" si="38"/>
        <v>-127104.0172557624</v>
      </c>
      <c r="D76" s="23">
        <f t="shared" si="38"/>
        <v>-129646.09760087766</v>
      </c>
      <c r="E76" s="23">
        <f t="shared" si="38"/>
        <v>-132239.01955289519</v>
      </c>
      <c r="F76" s="23">
        <f t="shared" si="38"/>
        <v>-134883.79994395308</v>
      </c>
      <c r="G76" s="23">
        <f t="shared" si="38"/>
        <v>-137581.47594283216</v>
      </c>
      <c r="H76" s="23">
        <f t="shared" si="38"/>
        <v>-140333.10546168883</v>
      </c>
      <c r="I76" s="23">
        <f t="shared" si="38"/>
        <v>-143139.76757092259</v>
      </c>
      <c r="J76" s="23">
        <f t="shared" si="38"/>
        <v>-146002.56292234105</v>
      </c>
      <c r="K76" s="24">
        <f t="shared" si="38"/>
        <v>-148922.61418078787</v>
      </c>
      <c r="N76" s="3116"/>
      <c r="O76" s="3117"/>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16"/>
      <c r="O77" s="3117"/>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16"/>
      <c r="O78" s="3117"/>
    </row>
    <row r="79" spans="1:15" ht="13.15" customHeight="1">
      <c r="A79" s="22" t="s">
        <v>620</v>
      </c>
      <c r="B79" s="23">
        <f t="shared" ref="B79:K79" si="39">$B$19*(1+$B$6)^(B73-1)</f>
        <v>-659503.32345077093</v>
      </c>
      <c r="C79" s="23">
        <f t="shared" si="39"/>
        <v>-679288.42315429391</v>
      </c>
      <c r="D79" s="23">
        <f t="shared" si="39"/>
        <v>-699667.07584892283</v>
      </c>
      <c r="E79" s="23">
        <f t="shared" si="39"/>
        <v>-720657.08812439058</v>
      </c>
      <c r="F79" s="23">
        <f t="shared" si="39"/>
        <v>-742276.80076812219</v>
      </c>
      <c r="G79" s="23">
        <f t="shared" si="39"/>
        <v>-764545.1047911658</v>
      </c>
      <c r="H79" s="23">
        <f t="shared" si="39"/>
        <v>-787481.45793490089</v>
      </c>
      <c r="I79" s="23">
        <f t="shared" si="39"/>
        <v>-811105.9016729478</v>
      </c>
      <c r="J79" s="23">
        <f t="shared" si="39"/>
        <v>-835439.07872313634</v>
      </c>
      <c r="K79" s="24">
        <f t="shared" si="39"/>
        <v>-860502.25108483026</v>
      </c>
      <c r="N79" s="3116"/>
      <c r="O79" s="3117"/>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-99333</v>
      </c>
      <c r="C80" s="23">
        <f>IF(AND('Part VII-Pro Forma'!$G$8="Yes",'Part VII-Pro Forma'!$G$9="Yes"),"Choose One!",IF('Part VII-Pro Forma'!$G$8="Yes",ROUND((-$K$8*(1+'Part VII-Pro Forma'!$B$6)^('Part VII-Pro Forma'!C73-1)),),IF('Part VII-Pro Forma'!$G$9="Yes",ROUND((-(SUM(C74:C77)*'Part VII-Pro Forma'!$K$9)),),"Choose mgt fee")))</f>
        <v>-101320</v>
      </c>
      <c r="D80" s="23">
        <f>IF(AND('Part VII-Pro Forma'!$G$8="Yes",'Part VII-Pro Forma'!$G$9="Yes"),"Choose One!",IF('Part VII-Pro Forma'!$G$8="Yes",ROUND((-$K$8*(1+'Part VII-Pro Forma'!$B$6)^('Part VII-Pro Forma'!D73-1)),),IF('Part VII-Pro Forma'!$G$9="Yes",ROUND((-(SUM(D74:D77)*'Part VII-Pro Forma'!$K$9)),),"Choose mgt fee")))</f>
        <v>-103346</v>
      </c>
      <c r="E80" s="23">
        <f>IF(AND('Part VII-Pro Forma'!$G$8="Yes",'Part VII-Pro Forma'!$G$9="Yes"),"Choose One!",IF('Part VII-Pro Forma'!$G$8="Yes",ROUND((-$K$8*(1+'Part VII-Pro Forma'!$B$6)^('Part VII-Pro Forma'!E73-1)),),IF('Part VII-Pro Forma'!$G$9="Yes",ROUND((-(SUM(E74:E77)*'Part VII-Pro Forma'!$K$9)),),"Choose mgt fee")))</f>
        <v>-105413</v>
      </c>
      <c r="F80" s="23">
        <f>IF(AND('Part VII-Pro Forma'!$G$8="Yes",'Part VII-Pro Forma'!$G$9="Yes"),"Choose One!",IF('Part VII-Pro Forma'!$G$8="Yes",ROUND((-$K$8*(1+'Part VII-Pro Forma'!$B$6)^('Part VII-Pro Forma'!F73-1)),),IF('Part VII-Pro Forma'!$G$9="Yes",ROUND((-(SUM(F74:F77)*'Part VII-Pro Forma'!$K$9)),),"Choose mgt fee")))</f>
        <v>-107522</v>
      </c>
      <c r="G80" s="23">
        <f>IF(AND('Part VII-Pro Forma'!$G$8="Yes",'Part VII-Pro Forma'!$G$9="Yes"),"Choose One!",IF('Part VII-Pro Forma'!$G$8="Yes",ROUND((-$K$8*(1+'Part VII-Pro Forma'!$B$6)^('Part VII-Pro Forma'!G73-1)),),IF('Part VII-Pro Forma'!$G$9="Yes",ROUND((-(SUM(G74:G77)*'Part VII-Pro Forma'!$K$9)),),"Choose mgt fee")))</f>
        <v>-109672</v>
      </c>
      <c r="H80" s="23">
        <f>IF(AND('Part VII-Pro Forma'!$G$8="Yes",'Part VII-Pro Forma'!$G$9="Yes"),"Choose One!",IF('Part VII-Pro Forma'!$G$8="Yes",ROUND((-$K$8*(1+'Part VII-Pro Forma'!$B$6)^('Part VII-Pro Forma'!H73-1)),),IF('Part VII-Pro Forma'!$G$9="Yes",ROUND((-(SUM(H74:H77)*'Part VII-Pro Forma'!$K$9)),),"Choose mgt fee")))</f>
        <v>-111866</v>
      </c>
      <c r="I80" s="23">
        <f>IF(AND('Part VII-Pro Forma'!$G$8="Yes",'Part VII-Pro Forma'!$G$9="Yes"),"Choose One!",IF('Part VII-Pro Forma'!$G$8="Yes",ROUND((-$K$8*(1+'Part VII-Pro Forma'!$B$6)^('Part VII-Pro Forma'!I73-1)),),IF('Part VII-Pro Forma'!$G$9="Yes",ROUND((-(SUM(I74:I77)*'Part VII-Pro Forma'!$K$9)),),"Choose mgt fee")))</f>
        <v>-114103</v>
      </c>
      <c r="J80" s="23">
        <f>IF(AND('Part VII-Pro Forma'!$G$8="Yes",'Part VII-Pro Forma'!$G$9="Yes"),"Choose One!",IF('Part VII-Pro Forma'!$G$8="Yes",ROUND((-$K$8*(1+'Part VII-Pro Forma'!$B$6)^('Part VII-Pro Forma'!J73-1)),),IF('Part VII-Pro Forma'!$G$9="Yes",ROUND((-(SUM(J74:J77)*'Part VII-Pro Forma'!$K$9)),),"Choose mgt fee")))</f>
        <v>-116385</v>
      </c>
      <c r="K80" s="23">
        <f>IF(AND('Part VII-Pro Forma'!$G$8="Yes",'Part VII-Pro Forma'!$G$9="Yes"),"Choose One!",IF('Part VII-Pro Forma'!$G$8="Yes",ROUND((-$K$8*(1+'Part VII-Pro Forma'!$B$6)^('Part VII-Pro Forma'!K73-1)),),IF('Part VII-Pro Forma'!$G$9="Yes",ROUND((-(SUM(K74:K77)*'Part VII-Pro Forma'!$K$9)),),"Choose mgt fee")))</f>
        <v>-118713</v>
      </c>
      <c r="N80" s="3116"/>
      <c r="O80" s="3117"/>
    </row>
    <row r="81" spans="1:15" ht="13.15" customHeight="1">
      <c r="A81" s="22" t="s">
        <v>1214</v>
      </c>
      <c r="B81" s="23">
        <f t="shared" ref="B81:K81" si="40">$B$21*(1+$B$7)^(B73-1)</f>
        <v>-43346.669632065918</v>
      </c>
      <c r="C81" s="23">
        <f t="shared" si="40"/>
        <v>-44647.069721027889</v>
      </c>
      <c r="D81" s="23">
        <f t="shared" si="40"/>
        <v>-45986.481812658734</v>
      </c>
      <c r="E81" s="23">
        <f t="shared" si="40"/>
        <v>-47366.076267038494</v>
      </c>
      <c r="F81" s="23">
        <f t="shared" si="40"/>
        <v>-48787.058555049647</v>
      </c>
      <c r="G81" s="23">
        <f t="shared" si="40"/>
        <v>-50250.670311701135</v>
      </c>
      <c r="H81" s="23">
        <f t="shared" si="40"/>
        <v>-51758.190421052175</v>
      </c>
      <c r="I81" s="23">
        <f t="shared" si="40"/>
        <v>-53310.936133683732</v>
      </c>
      <c r="J81" s="23">
        <f t="shared" si="40"/>
        <v>-54910.264217694246</v>
      </c>
      <c r="K81" s="24">
        <f t="shared" si="40"/>
        <v>-56557.572144225065</v>
      </c>
      <c r="N81" s="3116"/>
      <c r="O81" s="3117"/>
    </row>
    <row r="82" spans="1:15" ht="13.15" customHeight="1">
      <c r="A82" s="22" t="s">
        <v>1215</v>
      </c>
      <c r="B82" s="23">
        <f t="shared" ref="B82:K82" si="41">SUM(B74:B81)</f>
        <v>853373.53419810196</v>
      </c>
      <c r="C82" s="23">
        <f t="shared" si="41"/>
        <v>863412.16495123575</v>
      </c>
      <c r="D82" s="23">
        <f t="shared" si="41"/>
        <v>873441.4533215072</v>
      </c>
      <c r="E82" s="23">
        <f t="shared" si="41"/>
        <v>883453.66681132128</v>
      </c>
      <c r="F82" s="23">
        <f t="shared" si="41"/>
        <v>893441.76850363356</v>
      </c>
      <c r="G82" s="23">
        <f t="shared" si="41"/>
        <v>903400.40528047446</v>
      </c>
      <c r="H82" s="23">
        <f t="shared" si="41"/>
        <v>913319.89563505526</v>
      </c>
      <c r="I82" s="23">
        <f t="shared" si="41"/>
        <v>923194.21706419659</v>
      </c>
      <c r="J82" s="23">
        <f t="shared" si="41"/>
        <v>933013.99302741466</v>
      </c>
      <c r="K82" s="24">
        <f t="shared" si="41"/>
        <v>942770.47945855488</v>
      </c>
      <c r="N82" s="3116"/>
      <c r="O82" s="3117"/>
    </row>
    <row r="83" spans="1:15" ht="13.15" customHeight="1">
      <c r="A83" s="22" t="str">
        <f>$A53</f>
        <v>Mortgage A</v>
      </c>
      <c r="B83" s="513">
        <f>IF('Part III-Sources of Funds'!$N$37="", 0,-'Part III-Sources of Funds'!$N$37)</f>
        <v>-548451.74015953718</v>
      </c>
      <c r="C83" s="513">
        <f>IF('Part III-Sources of Funds'!$N$37="", 0,-'Part III-Sources of Funds'!$N$37)</f>
        <v>-548451.74015953718</v>
      </c>
      <c r="D83" s="513">
        <f>IF('Part III-Sources of Funds'!$N$37="", 0,-'Part III-Sources of Funds'!$N$37)</f>
        <v>-548451.74015953718</v>
      </c>
      <c r="E83" s="513">
        <f>IF('Part III-Sources of Funds'!$N$37="", 0,-'Part III-Sources of Funds'!$N$37)</f>
        <v>-548451.74015953718</v>
      </c>
      <c r="F83" s="513">
        <f>IF('Part III-Sources of Funds'!$N$37="", 0,-'Part III-Sources of Funds'!$N$37)</f>
        <v>-548451.74015953718</v>
      </c>
      <c r="G83" s="513">
        <f>IF('Part III-Sources of Funds'!$N$37="", 0,-'Part III-Sources of Funds'!$N$37)</f>
        <v>-548451.74015953718</v>
      </c>
      <c r="H83" s="513">
        <f>IF('Part III-Sources of Funds'!$N$37="", 0,-'Part III-Sources of Funds'!$N$37)</f>
        <v>-548451.74015953718</v>
      </c>
      <c r="I83" s="513">
        <f>IF('Part III-Sources of Funds'!$N$37="", 0,-'Part III-Sources of Funds'!$N$37)</f>
        <v>-548451.74015953718</v>
      </c>
      <c r="J83" s="513">
        <f>IF('Part III-Sources of Funds'!$N$37="", 0,-'Part III-Sources of Funds'!$N$37)</f>
        <v>-548451.74015953718</v>
      </c>
      <c r="K83" s="513">
        <f>IF('Part III-Sources of Funds'!$N$37="", 0,-'Part III-Sources of Funds'!$N$37)</f>
        <v>-548451.74015953718</v>
      </c>
      <c r="N83" s="3116"/>
      <c r="O83" s="3117"/>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116"/>
      <c r="O84" s="3117"/>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116"/>
      <c r="O85" s="3117"/>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116"/>
      <c r="O86" s="3117"/>
    </row>
    <row r="87" spans="1:15" ht="13.15" customHeight="1">
      <c r="A87" s="22" t="s">
        <v>771</v>
      </c>
      <c r="B87" s="191"/>
      <c r="C87" s="191"/>
      <c r="D87" s="191"/>
      <c r="E87" s="191"/>
      <c r="F87" s="191"/>
      <c r="G87" s="191"/>
      <c r="H87" s="191"/>
      <c r="I87" s="191"/>
      <c r="J87" s="191"/>
      <c r="K87" s="191"/>
      <c r="N87" s="3116"/>
      <c r="O87" s="3117"/>
    </row>
    <row r="88" spans="1:15" ht="13.15" customHeight="1">
      <c r="A88" s="511" t="s">
        <v>1174</v>
      </c>
      <c r="B88" s="256">
        <f>+K58</f>
        <v>0</v>
      </c>
      <c r="C88" s="256">
        <f t="shared" ref="C88:K88" si="42">+B88</f>
        <v>0</v>
      </c>
      <c r="D88" s="256">
        <f t="shared" si="42"/>
        <v>0</v>
      </c>
      <c r="E88" s="256">
        <f t="shared" si="42"/>
        <v>0</v>
      </c>
      <c r="F88" s="256">
        <f t="shared" si="42"/>
        <v>0</v>
      </c>
      <c r="G88" s="256">
        <f t="shared" si="42"/>
        <v>0</v>
      </c>
      <c r="H88" s="256">
        <f t="shared" si="42"/>
        <v>0</v>
      </c>
      <c r="I88" s="256">
        <f t="shared" si="42"/>
        <v>0</v>
      </c>
      <c r="J88" s="256">
        <f t="shared" si="42"/>
        <v>0</v>
      </c>
      <c r="K88" s="256">
        <f t="shared" si="42"/>
        <v>0</v>
      </c>
      <c r="N88" s="3116"/>
      <c r="O88" s="3117"/>
    </row>
    <row r="89" spans="1:15" ht="13.15" customHeight="1">
      <c r="A89" s="22" t="s">
        <v>1175</v>
      </c>
      <c r="B89" s="23">
        <f t="shared" ref="B89:K89" si="43">SUM(B82:B88)</f>
        <v>304921.79403856478</v>
      </c>
      <c r="C89" s="23">
        <f t="shared" si="43"/>
        <v>314960.42479169858</v>
      </c>
      <c r="D89" s="23">
        <f t="shared" si="43"/>
        <v>324989.71316197002</v>
      </c>
      <c r="E89" s="23">
        <f t="shared" si="43"/>
        <v>335001.9266517841</v>
      </c>
      <c r="F89" s="23">
        <f t="shared" si="43"/>
        <v>344990.02834409638</v>
      </c>
      <c r="G89" s="23">
        <f t="shared" si="43"/>
        <v>354948.66512093728</v>
      </c>
      <c r="H89" s="23">
        <f t="shared" si="43"/>
        <v>364868.15547551808</v>
      </c>
      <c r="I89" s="23">
        <f t="shared" si="43"/>
        <v>374742.47690465942</v>
      </c>
      <c r="J89" s="23">
        <f t="shared" si="43"/>
        <v>384562.25286787748</v>
      </c>
      <c r="K89" s="24">
        <f t="shared" si="43"/>
        <v>394318.7392990177</v>
      </c>
      <c r="N89" s="3116"/>
      <c r="O89" s="3117"/>
    </row>
    <row r="90" spans="1:15" ht="13.15" customHeight="1">
      <c r="A90" s="22" t="str">
        <f>$A61</f>
        <v>DCR Mortgage A</v>
      </c>
      <c r="B90" s="25">
        <f>IF(B83=0,"",-B82/B83)</f>
        <v>1.555968322663845</v>
      </c>
      <c r="C90" s="25">
        <f t="shared" ref="C90:K90" si="44">IF(C83=0,"",-C82/C83)</f>
        <v>1.5742719034861314</v>
      </c>
      <c r="D90" s="25">
        <f t="shared" si="44"/>
        <v>1.5925584502064574</v>
      </c>
      <c r="E90" s="25">
        <f t="shared" si="44"/>
        <v>1.6108138640499829</v>
      </c>
      <c r="F90" s="25">
        <f t="shared" si="44"/>
        <v>1.6290253145039588</v>
      </c>
      <c r="G90" s="25">
        <f t="shared" si="44"/>
        <v>1.6471830411508723</v>
      </c>
      <c r="H90" s="25">
        <f t="shared" si="44"/>
        <v>1.665269391559197</v>
      </c>
      <c r="I90" s="25">
        <f t="shared" si="44"/>
        <v>1.6832733848116734</v>
      </c>
      <c r="J90" s="25">
        <f t="shared" si="44"/>
        <v>1.7011779245262555</v>
      </c>
      <c r="K90" s="26">
        <f t="shared" si="44"/>
        <v>1.7189670675205</v>
      </c>
      <c r="N90" s="3116"/>
      <c r="O90" s="3117"/>
    </row>
    <row r="91" spans="1:15" ht="13.15" customHeight="1">
      <c r="A91" s="22" t="str">
        <f>$A62</f>
        <v>DCR Mortgage B</v>
      </c>
      <c r="B91" s="25" t="str">
        <f>IF(B84=0,"",-(B82+B83)/B84)</f>
        <v/>
      </c>
      <c r="C91" s="25" t="str">
        <f t="shared" ref="C91:K91" si="45">IF(C84=0,"",-(C82+C83)/C84)</f>
        <v/>
      </c>
      <c r="D91" s="25" t="str">
        <f t="shared" si="45"/>
        <v/>
      </c>
      <c r="E91" s="25" t="str">
        <f t="shared" si="45"/>
        <v/>
      </c>
      <c r="F91" s="25" t="str">
        <f t="shared" si="45"/>
        <v/>
      </c>
      <c r="G91" s="25" t="str">
        <f t="shared" si="45"/>
        <v/>
      </c>
      <c r="H91" s="25" t="str">
        <f t="shared" si="45"/>
        <v/>
      </c>
      <c r="I91" s="25" t="str">
        <f t="shared" si="45"/>
        <v/>
      </c>
      <c r="J91" s="25" t="str">
        <f t="shared" si="45"/>
        <v/>
      </c>
      <c r="K91" s="26" t="str">
        <f t="shared" si="45"/>
        <v/>
      </c>
      <c r="N91" s="3116"/>
      <c r="O91" s="3117"/>
    </row>
    <row r="92" spans="1:15" ht="13.15" customHeight="1">
      <c r="A92" s="22" t="str">
        <f>$A63</f>
        <v>DCR Mortgage C</v>
      </c>
      <c r="B92" s="25" t="str">
        <f>IF(B85=0,"",-(B82+B83+B84)/B85)</f>
        <v/>
      </c>
      <c r="C92" s="25" t="str">
        <f t="shared" ref="C92:K92" si="46">IF(C85=0,"",-(C82+C83+C84)/C85)</f>
        <v/>
      </c>
      <c r="D92" s="25" t="str">
        <f t="shared" si="46"/>
        <v/>
      </c>
      <c r="E92" s="25" t="str">
        <f t="shared" si="46"/>
        <v/>
      </c>
      <c r="F92" s="25" t="str">
        <f t="shared" si="46"/>
        <v/>
      </c>
      <c r="G92" s="25" t="str">
        <f t="shared" si="46"/>
        <v/>
      </c>
      <c r="H92" s="25" t="str">
        <f t="shared" si="46"/>
        <v/>
      </c>
      <c r="I92" s="25" t="str">
        <f t="shared" si="46"/>
        <v/>
      </c>
      <c r="J92" s="25" t="str">
        <f t="shared" si="46"/>
        <v/>
      </c>
      <c r="K92" s="26" t="str">
        <f t="shared" si="46"/>
        <v/>
      </c>
      <c r="N92" s="3116"/>
      <c r="O92" s="3117"/>
    </row>
    <row r="93" spans="1:15" ht="13.15" customHeight="1">
      <c r="A93" s="22" t="str">
        <f>$A64</f>
        <v>DCR Other Source</v>
      </c>
      <c r="B93" s="25" t="str">
        <f>IF(B86=0,"",-(B82+B83+B84+B85)/B86)</f>
        <v/>
      </c>
      <c r="C93" s="25" t="str">
        <f t="shared" ref="C93:K93" si="47">IF(C86=0,"",-(C82+C83+C84+C85)/C86)</f>
        <v/>
      </c>
      <c r="D93" s="25" t="str">
        <f t="shared" si="47"/>
        <v/>
      </c>
      <c r="E93" s="25" t="str">
        <f t="shared" si="47"/>
        <v/>
      </c>
      <c r="F93" s="25" t="str">
        <f t="shared" si="47"/>
        <v/>
      </c>
      <c r="G93" s="25" t="str">
        <f t="shared" si="47"/>
        <v/>
      </c>
      <c r="H93" s="25" t="str">
        <f t="shared" si="47"/>
        <v/>
      </c>
      <c r="I93" s="25" t="str">
        <f t="shared" si="47"/>
        <v/>
      </c>
      <c r="J93" s="25" t="str">
        <f t="shared" si="47"/>
        <v/>
      </c>
      <c r="K93" s="26" t="str">
        <f t="shared" si="47"/>
        <v/>
      </c>
      <c r="N93" s="3116"/>
      <c r="O93" s="3117"/>
    </row>
    <row r="94" spans="1:15" ht="13.15" customHeight="1">
      <c r="A94" s="511" t="s">
        <v>3743</v>
      </c>
      <c r="B94" s="25">
        <f>IF(AND(B83=0,B84=0,B85=0,B86=0),"",-B82/(B83+B84+B85+B86))</f>
        <v>1.555968322663845</v>
      </c>
      <c r="C94" s="25">
        <f t="shared" ref="C94:K94" si="48">IF(AND(C83=0,C84=0,C85=0,C86=0),"",-C82/(C83+C84+C85+C86))</f>
        <v>1.5742719034861314</v>
      </c>
      <c r="D94" s="25">
        <f t="shared" si="48"/>
        <v>1.5925584502064574</v>
      </c>
      <c r="E94" s="25">
        <f t="shared" si="48"/>
        <v>1.6108138640499829</v>
      </c>
      <c r="F94" s="25">
        <f t="shared" si="48"/>
        <v>1.6290253145039588</v>
      </c>
      <c r="G94" s="25">
        <f t="shared" si="48"/>
        <v>1.6471830411508723</v>
      </c>
      <c r="H94" s="25">
        <f t="shared" si="48"/>
        <v>1.665269391559197</v>
      </c>
      <c r="I94" s="25">
        <f t="shared" si="48"/>
        <v>1.6832733848116734</v>
      </c>
      <c r="J94" s="25">
        <f t="shared" si="48"/>
        <v>1.7011779245262555</v>
      </c>
      <c r="K94" s="26">
        <f t="shared" si="48"/>
        <v>1.7189670675205</v>
      </c>
      <c r="N94" s="3116"/>
      <c r="O94" s="3117"/>
    </row>
    <row r="95" spans="1:15" ht="13.15" customHeight="1">
      <c r="A95" s="22" t="s">
        <v>778</v>
      </c>
      <c r="B95" s="315">
        <f>IF(OR(B80="Choose mgt fee",B80="Choose One!"),"",(B74+B75+B76+B77+B78) / -(B79+B80+B81))</f>
        <v>2.0638140443722657</v>
      </c>
      <c r="C95" s="315">
        <f t="shared" ref="C95:K95" si="49">IF(OR(C80="Choose mgt fee",C80="Choose One!"),"",(C74+C75+C76+C77+C78) / -(C79+C80+C81))</f>
        <v>2.0462361927976631</v>
      </c>
      <c r="D95" s="315">
        <f t="shared" si="49"/>
        <v>2.0287890558238293</v>
      </c>
      <c r="E95" s="315">
        <f t="shared" si="49"/>
        <v>2.0114690721867143</v>
      </c>
      <c r="F95" s="315">
        <f t="shared" si="49"/>
        <v>1.9942753485755795</v>
      </c>
      <c r="G95" s="315">
        <f t="shared" si="49"/>
        <v>1.9772113529646307</v>
      </c>
      <c r="H95" s="315">
        <f t="shared" si="49"/>
        <v>1.9602717607805054</v>
      </c>
      <c r="I95" s="315">
        <f t="shared" si="49"/>
        <v>1.943459888491941</v>
      </c>
      <c r="J95" s="315">
        <f t="shared" si="49"/>
        <v>1.9267727872498448</v>
      </c>
      <c r="K95" s="316">
        <f t="shared" si="49"/>
        <v>1.9102097084565679</v>
      </c>
      <c r="N95" s="3116"/>
      <c r="O95" s="3117"/>
    </row>
    <row r="96" spans="1:15" ht="13.15" customHeight="1">
      <c r="A96" s="511" t="s">
        <v>2634</v>
      </c>
      <c r="B96" s="254">
        <f>IF('Part III-Sources of Funds'!$I$37="","",-FV('Part III-Sources of Funds'!$K$37/12,12,B83/12,K67))</f>
        <v>5346623.4470401732</v>
      </c>
      <c r="C96" s="254">
        <f>IF('Part III-Sources of Funds'!$I$37="","",-FV('Part III-Sources of Funds'!$K$37/12,12,C83/12,B96))</f>
        <v>5085724.3234816985</v>
      </c>
      <c r="D96" s="254">
        <f>IF('Part III-Sources of Funds'!$I$37="","",-FV('Part III-Sources of Funds'!$K$37/12,12,D83/12,C96))</f>
        <v>4810108.4385868283</v>
      </c>
      <c r="E96" s="254">
        <f>IF('Part III-Sources of Funds'!$I$37="","",-FV('Part III-Sources of Funds'!$K$37/12,12,E83/12,D96))</f>
        <v>4518945.6513367724</v>
      </c>
      <c r="F96" s="254">
        <f>IF('Part III-Sources of Funds'!$I$37="","",-FV('Part III-Sources of Funds'!$K$37/12,12,F83/12,E96))</f>
        <v>4211358.9942340525</v>
      </c>
      <c r="G96" s="254">
        <f>IF('Part III-Sources of Funds'!$I$37="","",-FV('Part III-Sources of Funds'!$K$37/12,12,G83/12,F96))</f>
        <v>3886422.0319210291</v>
      </c>
      <c r="H96" s="254">
        <f>IF('Part III-Sources of Funds'!$I$37="","",-FV('Part III-Sources of Funds'!$K$37/12,12,H83/12,G96))</f>
        <v>3543156.0708037522</v>
      </c>
      <c r="I96" s="254">
        <f>IF('Part III-Sources of Funds'!$I$37="","",-FV('Part III-Sources of Funds'!$K$37/12,12,I83/12,H96))</f>
        <v>3180527.2112766653</v>
      </c>
      <c r="J96" s="254">
        <f>IF('Part III-Sources of Funds'!$I$37="","",-FV('Part III-Sources of Funds'!$K$37/12,12,J83/12,I96))</f>
        <v>2797443.2336696088</v>
      </c>
      <c r="K96" s="254">
        <f>IF('Part III-Sources of Funds'!$I$37="","",-FV('Part III-Sources of Funds'!$K$37/12,12,K83/12,J96))</f>
        <v>2392750.308537758</v>
      </c>
      <c r="N96" s="3116"/>
      <c r="O96" s="3117"/>
    </row>
    <row r="97" spans="1:15" ht="13.15" customHeight="1">
      <c r="A97" s="511" t="s">
        <v>2635</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116"/>
      <c r="O97" s="3117"/>
    </row>
    <row r="98" spans="1:15" ht="13.15" customHeight="1">
      <c r="A98" s="511" t="s">
        <v>2636</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116"/>
      <c r="O98" s="3117"/>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62"/>
      <c r="O99" s="3163"/>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95" t="s">
        <v>3733</v>
      </c>
      <c r="O101" s="2795"/>
    </row>
    <row r="102" spans="1:15" ht="13.15" customHeight="1">
      <c r="A102" s="19" t="s">
        <v>2420</v>
      </c>
      <c r="B102" s="20">
        <f>$B$14*(1+$B$5)^(B101-1)</f>
        <v>2127465.916868398</v>
      </c>
      <c r="C102" s="20">
        <f>$B$14*(1+$B$5)^(C101-1)</f>
        <v>2170015.2352057653</v>
      </c>
      <c r="D102" s="20">
        <f>$B$14*(1+$B$5)^(D101-1)</f>
        <v>2213415.5399098811</v>
      </c>
      <c r="E102" s="20">
        <f>$B$14*(1+$B$5)^(E101-1)</f>
        <v>2257683.8507080791</v>
      </c>
      <c r="F102" s="786">
        <f>$B$14*(1+$B$5)^(F101-1)</f>
        <v>2302837.5277222404</v>
      </c>
      <c r="G102" s="18"/>
      <c r="H102" s="18"/>
      <c r="I102" s="18"/>
      <c r="J102" s="18"/>
      <c r="K102" s="18"/>
      <c r="N102" s="3123"/>
      <c r="O102" s="3124"/>
    </row>
    <row r="103" spans="1:15" ht="13.15" customHeight="1">
      <c r="A103" s="22" t="s">
        <v>1026</v>
      </c>
      <c r="B103" s="23">
        <f>$B$15*(1+$B$5)^(B101-1)</f>
        <v>42549.318337367964</v>
      </c>
      <c r="C103" s="23">
        <f>$B$15*(1+$B$5)^(C101-1)</f>
        <v>43400.304704115311</v>
      </c>
      <c r="D103" s="23">
        <f>$B$15*(1+$B$5)^(D101-1)</f>
        <v>44268.310798197628</v>
      </c>
      <c r="E103" s="23">
        <f>$B$15*(1+$B$5)^(E101-1)</f>
        <v>45153.677014161578</v>
      </c>
      <c r="F103" s="24">
        <f>$B$15*(1+$B$5)^(F101-1)</f>
        <v>46056.750554444807</v>
      </c>
      <c r="G103" s="18"/>
      <c r="H103" s="18"/>
      <c r="I103" s="18"/>
      <c r="J103" s="18"/>
      <c r="K103" s="18"/>
      <c r="N103" s="3116"/>
      <c r="O103" s="3117"/>
    </row>
    <row r="104" spans="1:15" ht="13.15" customHeight="1">
      <c r="A104" s="22" t="s">
        <v>2421</v>
      </c>
      <c r="B104" s="23">
        <f>-(B102+B103)*$B$8</f>
        <v>-151901.06646440362</v>
      </c>
      <c r="C104" s="23">
        <f>-(C102+C103)*$B$8</f>
        <v>-154939.08779369167</v>
      </c>
      <c r="D104" s="23">
        <f>-(D102+D103)*$B$8</f>
        <v>-158037.86954956551</v>
      </c>
      <c r="E104" s="23">
        <f>-(E102+E103)*$B$8</f>
        <v>-161198.62694055683</v>
      </c>
      <c r="F104" s="24">
        <f>-(F102+F103)*$B$8</f>
        <v>-164422.59947936799</v>
      </c>
      <c r="G104" s="18"/>
      <c r="H104" s="18"/>
      <c r="I104" s="18"/>
      <c r="J104" s="18"/>
      <c r="K104" s="18"/>
      <c r="N104" s="3116"/>
      <c r="O104" s="3117"/>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16"/>
      <c r="O105" s="3117"/>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16"/>
      <c r="O106" s="3117"/>
    </row>
    <row r="107" spans="1:15" ht="13.15" customHeight="1">
      <c r="A107" s="22" t="s">
        <v>620</v>
      </c>
      <c r="B107" s="23">
        <f>$B$19*(1+$B$6)^(B101-1)</f>
        <v>-886317.31861737522</v>
      </c>
      <c r="C107" s="23">
        <f>$B$19*(1+$B$6)^(C101-1)</f>
        <v>-912906.83817589667</v>
      </c>
      <c r="D107" s="23">
        <f>$B$19*(1+$B$6)^(D101-1)</f>
        <v>-940294.04332117329</v>
      </c>
      <c r="E107" s="23">
        <f>$B$19*(1+$B$6)^(E101-1)</f>
        <v>-968502.86462080863</v>
      </c>
      <c r="F107" s="24">
        <f>$B$19*(1+$B$6)^(F101-1)</f>
        <v>-997557.95055943262</v>
      </c>
      <c r="G107" s="18"/>
      <c r="H107" s="18"/>
      <c r="I107" s="18"/>
      <c r="J107" s="18"/>
      <c r="K107" s="18"/>
      <c r="N107" s="3116"/>
      <c r="O107" s="3117"/>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-121087</v>
      </c>
      <c r="C108" s="23">
        <f>IF(AND('Part VII-Pro Forma'!$G$8="Yes",'Part VII-Pro Forma'!$G$9="Yes"),"Choose One!",IF('Part VII-Pro Forma'!$G$8="Yes",ROUND((-$K$8*(1+'Part VII-Pro Forma'!$B$6)^('Part VII-Pro Forma'!C101-1)),),IF('Part VII-Pro Forma'!$G$9="Yes",ROUND((-(SUM(C102:C105)*'Part VII-Pro Forma'!$K$9)),),"Choose mgt fee")))</f>
        <v>-123509</v>
      </c>
      <c r="D108" s="23">
        <f>IF(AND('Part VII-Pro Forma'!$G$8="Yes",'Part VII-Pro Forma'!$G$9="Yes"),"Choose One!",IF('Part VII-Pro Forma'!$G$8="Yes",ROUND((-$K$8*(1+'Part VII-Pro Forma'!$B$6)^('Part VII-Pro Forma'!D101-1)),),IF('Part VII-Pro Forma'!$G$9="Yes",ROUND((-(SUM(D102:D105)*'Part VII-Pro Forma'!$K$9)),),"Choose mgt fee")))</f>
        <v>-125979</v>
      </c>
      <c r="E108" s="23">
        <f>IF(AND('Part VII-Pro Forma'!$G$8="Yes",'Part VII-Pro Forma'!$G$9="Yes"),"Choose One!",IF('Part VII-Pro Forma'!$G$8="Yes",ROUND((-$K$8*(1+'Part VII-Pro Forma'!$B$6)^('Part VII-Pro Forma'!E101-1)),),IF('Part VII-Pro Forma'!$G$9="Yes",ROUND((-(SUM(E102:E105)*'Part VII-Pro Forma'!$K$9)),),"Choose mgt fee")))</f>
        <v>-128498</v>
      </c>
      <c r="F108" s="24">
        <f>IF(AND('Part VII-Pro Forma'!$G$8="Yes",'Part VII-Pro Forma'!$G$9="Yes"),"Choose One!",IF('Part VII-Pro Forma'!$G$8="Yes",ROUND((-$K$8*(1+'Part VII-Pro Forma'!$B$6)^('Part VII-Pro Forma'!F101-1)),),IF('Part VII-Pro Forma'!$G$9="Yes",ROUND((-(SUM(F102:F105)*'Part VII-Pro Forma'!$K$9)),),"Choose mgt fee")))</f>
        <v>-131068</v>
      </c>
      <c r="G108" s="18"/>
      <c r="H108" s="18"/>
      <c r="I108" s="18"/>
      <c r="J108" s="18"/>
      <c r="K108" s="18"/>
      <c r="N108" s="3116"/>
      <c r="O108" s="3117"/>
    </row>
    <row r="109" spans="1:15" ht="13.15" customHeight="1">
      <c r="A109" s="22" t="s">
        <v>1214</v>
      </c>
      <c r="B109" s="23">
        <f>$B$21*(1+$B$7)^(B101-1)</f>
        <v>-58254.299308551817</v>
      </c>
      <c r="C109" s="23">
        <f>$B$21*(1+$B$7)^(C101-1)</f>
        <v>-60001.928287808383</v>
      </c>
      <c r="D109" s="23">
        <f>$B$21*(1+$B$7)^(D101-1)</f>
        <v>-61801.986136442625</v>
      </c>
      <c r="E109" s="23">
        <f>$B$21*(1+$B$7)^(E101-1)</f>
        <v>-63656.045720535905</v>
      </c>
      <c r="F109" s="24">
        <f>$B$21*(1+$B$7)^(F101-1)</f>
        <v>-65565.727092151967</v>
      </c>
      <c r="G109" s="18"/>
      <c r="H109" s="18"/>
      <c r="I109" s="18"/>
      <c r="J109" s="18"/>
      <c r="K109" s="18"/>
      <c r="N109" s="3116"/>
      <c r="O109" s="3117"/>
    </row>
    <row r="110" spans="1:15" ht="13.15" customHeight="1">
      <c r="A110" s="22" t="s">
        <v>1215</v>
      </c>
      <c r="B110" s="23">
        <f>SUM(B102:B109)</f>
        <v>952455.55081543524</v>
      </c>
      <c r="C110" s="23">
        <f>SUM(C102:C109)</f>
        <v>962058.68565248407</v>
      </c>
      <c r="D110" s="23">
        <f>SUM(D102:D109)</f>
        <v>971570.95170089731</v>
      </c>
      <c r="E110" s="23">
        <f>SUM(E102:E109)</f>
        <v>980981.9904403392</v>
      </c>
      <c r="F110" s="24">
        <f>SUM(F102:F109)</f>
        <v>990280.00114573259</v>
      </c>
      <c r="G110" s="18"/>
      <c r="H110" s="18"/>
      <c r="I110" s="18"/>
      <c r="J110" s="18"/>
      <c r="K110" s="18"/>
      <c r="N110" s="3116"/>
      <c r="O110" s="3117"/>
    </row>
    <row r="111" spans="1:15" ht="13.15" customHeight="1">
      <c r="A111" s="22" t="str">
        <f>$A83</f>
        <v>Mortgage A</v>
      </c>
      <c r="B111" s="513">
        <f>IF('Part III-Sources of Funds'!$N$37="", 0,-'Part III-Sources of Funds'!$N$37)</f>
        <v>-548451.74015953718</v>
      </c>
      <c r="C111" s="513">
        <f>IF('Part III-Sources of Funds'!$N$37="", 0,-'Part III-Sources of Funds'!$N$37)</f>
        <v>-548451.74015953718</v>
      </c>
      <c r="D111" s="513">
        <f>IF('Part III-Sources of Funds'!$N$37="", 0,-'Part III-Sources of Funds'!$N$37)</f>
        <v>-548451.74015953718</v>
      </c>
      <c r="E111" s="513">
        <f>IF('Part III-Sources of Funds'!$N$37="", 0,-'Part III-Sources of Funds'!$N$37)</f>
        <v>-548451.74015953718</v>
      </c>
      <c r="F111" s="513">
        <f>IF('Part III-Sources of Funds'!$N$37="", 0,-'Part III-Sources of Funds'!$N$37)</f>
        <v>-548451.74015953718</v>
      </c>
      <c r="G111" s="18"/>
      <c r="H111" s="18"/>
      <c r="I111" s="18"/>
      <c r="J111" s="18"/>
      <c r="K111" s="18"/>
      <c r="N111" s="3116"/>
      <c r="O111" s="3117"/>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116"/>
      <c r="O112" s="3117"/>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116"/>
      <c r="O113" s="3117"/>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116"/>
      <c r="O114" s="3117"/>
    </row>
    <row r="115" spans="1:15" ht="13.15" customHeight="1">
      <c r="A115" s="22" t="s">
        <v>771</v>
      </c>
      <c r="B115" s="191"/>
      <c r="C115" s="191"/>
      <c r="D115" s="191"/>
      <c r="E115" s="191"/>
      <c r="F115" s="191"/>
      <c r="G115" s="18"/>
      <c r="H115" s="18"/>
      <c r="I115" s="18"/>
      <c r="J115" s="18"/>
      <c r="K115" s="18"/>
      <c r="N115" s="3116"/>
      <c r="O115" s="3117"/>
    </row>
    <row r="116" spans="1:15" ht="13.15" customHeight="1">
      <c r="A116" s="22" t="s">
        <v>1174</v>
      </c>
      <c r="B116" s="256">
        <f>+K88</f>
        <v>0</v>
      </c>
      <c r="C116" s="256">
        <f>+B116</f>
        <v>0</v>
      </c>
      <c r="D116" s="256">
        <f>+C116</f>
        <v>0</v>
      </c>
      <c r="E116" s="256">
        <f>+D116</f>
        <v>0</v>
      </c>
      <c r="F116" s="256">
        <f>+E116</f>
        <v>0</v>
      </c>
      <c r="G116" s="18"/>
      <c r="H116" s="18"/>
      <c r="I116" s="18"/>
      <c r="J116" s="18"/>
      <c r="K116" s="18"/>
      <c r="N116" s="3116"/>
      <c r="O116" s="3117"/>
    </row>
    <row r="117" spans="1:15" ht="13.15" customHeight="1">
      <c r="A117" s="22" t="s">
        <v>1175</v>
      </c>
      <c r="B117" s="23">
        <f>SUM(B110:B116)</f>
        <v>404003.81065589807</v>
      </c>
      <c r="C117" s="23">
        <f>SUM(C110:C116)</f>
        <v>413606.94549294689</v>
      </c>
      <c r="D117" s="23">
        <f>SUM(D110:D116)</f>
        <v>423119.21154136013</v>
      </c>
      <c r="E117" s="23">
        <f>SUM(E110:E116)</f>
        <v>432530.25028080202</v>
      </c>
      <c r="F117" s="24">
        <f>SUM(F110:F116)</f>
        <v>441828.26098619541</v>
      </c>
      <c r="G117" s="18"/>
      <c r="H117" s="18"/>
      <c r="I117" s="18"/>
      <c r="J117" s="18"/>
      <c r="K117" s="18"/>
      <c r="N117" s="3116"/>
      <c r="O117" s="3117"/>
    </row>
    <row r="118" spans="1:15" ht="13.15" customHeight="1">
      <c r="A118" s="22" t="str">
        <f>$A90</f>
        <v>DCR Mortgage A</v>
      </c>
      <c r="B118" s="25">
        <f>IF(B111=0,"",-B110/B111)</f>
        <v>1.73662599837568</v>
      </c>
      <c r="C118" s="25">
        <f>IF(C111=0,"",-C110/C111)</f>
        <v>1.7541355331877226</v>
      </c>
      <c r="D118" s="25">
        <f>IF(D111=0,"",-D110/D111)</f>
        <v>1.7714793856215689</v>
      </c>
      <c r="E118" s="25">
        <f>IF(E111=0,"",-E110/E111)</f>
        <v>1.7886386688370883</v>
      </c>
      <c r="F118" s="26">
        <f>IF(F111=0,"",-F110/F111)</f>
        <v>1.8055918664013602</v>
      </c>
      <c r="G118" s="18"/>
      <c r="H118" s="18"/>
      <c r="I118" s="18"/>
      <c r="J118" s="18"/>
      <c r="K118" s="18"/>
      <c r="N118" s="3116"/>
      <c r="O118" s="311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16"/>
      <c r="O119" s="311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16"/>
      <c r="O120" s="3117"/>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16"/>
      <c r="O121" s="3117"/>
    </row>
    <row r="122" spans="1:15" ht="13.15" customHeight="1">
      <c r="A122" s="511" t="s">
        <v>3743</v>
      </c>
      <c r="B122" s="25">
        <f>IF(AND(B111=0,B112=0,B113=0,B114=0),"",-B110/(B111+B112+B113+B114))</f>
        <v>1.73662599837568</v>
      </c>
      <c r="C122" s="25">
        <f>IF(AND(C111=0,C112=0,C113=0,C114=0),"",-C110/(C111+C112+C113+C114))</f>
        <v>1.7541355331877226</v>
      </c>
      <c r="D122" s="25">
        <f>IF(AND(D111=0,D112=0,D113=0,D114=0),"",-D110/(D111+D112+D113+D114))</f>
        <v>1.7714793856215689</v>
      </c>
      <c r="E122" s="25">
        <f>IF(AND(E111=0,E112=0,E113=0,E114=0),"",-E110/(E111+E112+E113+E114))</f>
        <v>1.7886386688370883</v>
      </c>
      <c r="F122" s="26">
        <f>IF(AND(F111=0,F112=0,F113=0,F114=0),"",-F110/(F111+F112+F113+F114))</f>
        <v>1.8055918664013602</v>
      </c>
      <c r="G122" s="18"/>
      <c r="H122" s="18"/>
      <c r="I122" s="18"/>
      <c r="J122" s="18"/>
      <c r="K122" s="18"/>
      <c r="N122" s="3116"/>
      <c r="O122" s="3117"/>
    </row>
    <row r="123" spans="1:15" ht="13.15" customHeight="1">
      <c r="A123" s="22" t="s">
        <v>778</v>
      </c>
      <c r="B123" s="315">
        <f>IF(OR(B108="Choose mgt fee",B108="Choose One!"),"",(B102+B103+B104+B105+B106) / -(B107+B108+B109))</f>
        <v>1.8937717340185198</v>
      </c>
      <c r="C123" s="315">
        <f>IF(OR(C108="Choose mgt fee",C108="Choose One!"),"",(C102+C103+C104+C105+C106) / -(C107+C108+C109))</f>
        <v>1.8774563082422755</v>
      </c>
      <c r="D123" s="315">
        <f>IF(OR(D108="Choose mgt fee",D108="Choose One!"),"",(D102+D103+D104+D105+D106) / -(D107+D108+D109))</f>
        <v>1.8612644782750256</v>
      </c>
      <c r="E123" s="315">
        <f>IF(OR(E108="Choose mgt fee",E108="Choose One!"),"",(E102+E103+E104+E105+E106) / -(E107+E108+E109))</f>
        <v>1.8451954937758797</v>
      </c>
      <c r="F123" s="787">
        <f>IF(OR(F108="Choose mgt fee",F108="Choose One!"),"",(F102+F103+F104+F105+F106) / -(F107+F108+F109))</f>
        <v>1.8292471130707837</v>
      </c>
      <c r="G123" s="18"/>
      <c r="H123" s="18"/>
      <c r="I123" s="18"/>
      <c r="J123" s="18"/>
      <c r="K123" s="18"/>
      <c r="N123" s="3116"/>
      <c r="O123" s="3117"/>
    </row>
    <row r="124" spans="1:15" ht="13.15" customHeight="1">
      <c r="A124" s="511" t="s">
        <v>2634</v>
      </c>
      <c r="B124" s="254">
        <f>IF('Part III-Sources of Funds'!$I$37="","",-FV('Part III-Sources of Funds'!$K$37/12,12,B111/12,K96))</f>
        <v>1965229.5213860555</v>
      </c>
      <c r="C124" s="254">
        <f>IF('Part III-Sources of Funds'!$I$37="","",-FV('Part III-Sources of Funds'!$K$37/12,12,C111/12,B124))</f>
        <v>1513593.2013607856</v>
      </c>
      <c r="D124" s="254">
        <f>IF('Part III-Sources of Funds'!$I$37="","",-FV('Part III-Sources of Funds'!$K$37/12,12,D111/12,C124))</f>
        <v>1036481.0428504932</v>
      </c>
      <c r="E124" s="254">
        <f>IF('Part III-Sources of Funds'!$I$37="","",-FV('Part III-Sources of Funds'!$K$37/12,12,E111/12,D124))</f>
        <v>532456.00831471104</v>
      </c>
      <c r="F124" s="254">
        <f>IF('Part III-Sources of Funds'!$I$37="","",-FV('Part III-Sources of Funds'!$K$37/12,12,F111/12,E124))</f>
        <v>1.9674189388751984E-8</v>
      </c>
      <c r="G124" s="18"/>
      <c r="H124" s="18"/>
      <c r="I124" s="18"/>
      <c r="J124" s="18"/>
      <c r="K124" s="18"/>
      <c r="N124" s="3116"/>
      <c r="O124" s="3117"/>
    </row>
    <row r="125" spans="1:15" ht="13.15" customHeight="1">
      <c r="A125" s="511" t="s">
        <v>2635</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116"/>
      <c r="O125" s="3117"/>
    </row>
    <row r="126" spans="1:15" ht="13.15" customHeight="1">
      <c r="A126" s="511" t="s">
        <v>2636</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116"/>
      <c r="O126" s="3117"/>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62"/>
      <c r="O127" s="3163"/>
    </row>
    <row r="128" spans="1:15" ht="4.1500000000000004" customHeight="1"/>
    <row r="129" spans="1:18" ht="12" customHeight="1">
      <c r="A129" s="14" t="s">
        <v>576</v>
      </c>
      <c r="B129" s="14"/>
      <c r="G129" s="14" t="s">
        <v>1041</v>
      </c>
    </row>
    <row r="130" spans="1:18" ht="12" customHeight="1">
      <c r="B130" s="32"/>
    </row>
    <row r="131" spans="1:18" ht="409.5" customHeight="1">
      <c r="A131" s="2781" t="s">
        <v>3507</v>
      </c>
      <c r="B131" s="3179"/>
      <c r="C131" s="3179"/>
      <c r="D131" s="3179"/>
      <c r="E131" s="3179"/>
      <c r="F131" s="3180"/>
      <c r="G131" s="3181"/>
      <c r="H131" s="3182"/>
      <c r="I131" s="3182"/>
      <c r="J131" s="3182"/>
      <c r="K131" s="3183"/>
      <c r="N131" s="2897" t="s">
        <v>2710</v>
      </c>
      <c r="O131" s="28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451" sqref="A451:Q451"/>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915" t="str">
        <f>CONCATENATE("PART EIGHT - THRESHOLD CRITERIA","  -  ",'Part I-Project Information'!$O$6," ",'Part I-Project Information'!$F$34,", ",'Part I-Project Information'!F38,", ",'Part I-Project Information'!J39," County")</f>
        <v>PART EIGHT - THRESHOLD CRITERIA  -  2018-0 McIntosh Woods, Newnan, Coweta County</v>
      </c>
      <c r="B1" s="2916"/>
      <c r="C1" s="2916"/>
      <c r="D1" s="2916"/>
      <c r="E1" s="2916"/>
      <c r="F1" s="2916"/>
      <c r="G1" s="2916"/>
      <c r="H1" s="2916"/>
      <c r="I1" s="2916"/>
      <c r="J1" s="2916"/>
      <c r="K1" s="2916"/>
      <c r="L1" s="2916"/>
      <c r="M1" s="2916"/>
      <c r="N1" s="2916"/>
      <c r="O1" s="2916"/>
      <c r="P1" s="2916"/>
      <c r="Q1" s="2916"/>
    </row>
    <row r="2" spans="1:32" s="28" customFormat="1" ht="3" customHeight="1">
      <c r="S2" s="36"/>
      <c r="T2" s="36"/>
      <c r="AE2" s="127"/>
      <c r="AF2" s="127"/>
    </row>
    <row r="3" spans="1:32" ht="13.5" customHeight="1">
      <c r="A3" s="322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23"/>
      <c r="C3" s="3223"/>
      <c r="D3" s="3223"/>
      <c r="E3" s="3223"/>
      <c r="F3" s="3223"/>
      <c r="G3" s="3223"/>
      <c r="H3" s="322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23"/>
      <c r="J3" s="3223"/>
      <c r="K3" s="3223"/>
      <c r="L3" s="3223"/>
      <c r="M3" s="3223"/>
      <c r="N3" s="3224"/>
      <c r="O3" s="3225" t="s">
        <v>944</v>
      </c>
      <c r="P3" s="3226"/>
      <c r="Q3" s="660" t="s">
        <v>1857</v>
      </c>
    </row>
    <row r="4" spans="1:32" ht="3" customHeight="1">
      <c r="A4" s="1536"/>
      <c r="B4" s="3227"/>
      <c r="C4" s="3227"/>
      <c r="D4" s="3227"/>
      <c r="E4" s="1536"/>
      <c r="F4" s="1536"/>
      <c r="G4" s="1536"/>
      <c r="H4" s="1536"/>
      <c r="I4" s="1536"/>
      <c r="J4" s="1536"/>
      <c r="K4" s="1536"/>
      <c r="L4" s="1536"/>
      <c r="M4" s="1536"/>
      <c r="N4" s="1536"/>
      <c r="P4" s="1536"/>
      <c r="Q4" s="1536"/>
    </row>
    <row r="5" spans="1:32" ht="10.9" hidden="1" customHeight="1">
      <c r="A5" s="1536"/>
      <c r="B5" s="1536"/>
      <c r="C5" s="1536"/>
      <c r="D5" s="1536"/>
      <c r="E5" s="1536"/>
      <c r="F5" s="1536"/>
      <c r="G5" s="1536"/>
      <c r="H5" s="1536"/>
      <c r="I5" s="1536"/>
      <c r="J5" s="1536"/>
      <c r="K5" s="1536"/>
      <c r="L5" s="1536"/>
      <c r="M5" s="1536"/>
      <c r="N5" s="1536"/>
      <c r="P5" s="1536"/>
      <c r="Q5" s="1536"/>
    </row>
    <row r="6" spans="1:32" ht="17.25" customHeight="1">
      <c r="A6" s="137" t="s">
        <v>572</v>
      </c>
      <c r="J6" s="3230" t="s">
        <v>3880</v>
      </c>
      <c r="K6" s="3230"/>
      <c r="L6" s="3230"/>
      <c r="M6" s="3230"/>
      <c r="N6" s="3230"/>
      <c r="O6" s="3231"/>
      <c r="P6" s="3228"/>
      <c r="Q6" s="3229"/>
    </row>
    <row r="7" spans="1:32" ht="12.6" customHeight="1">
      <c r="A7" s="138" t="s">
        <v>3473</v>
      </c>
      <c r="C7" s="139"/>
      <c r="D7" s="139"/>
      <c r="H7" s="1821"/>
      <c r="I7" s="1821"/>
      <c r="J7" s="1821"/>
      <c r="K7" s="1821"/>
      <c r="L7" s="1821"/>
      <c r="M7" s="1536"/>
      <c r="N7" s="1536"/>
    </row>
    <row r="8" spans="1:32" ht="24.6" customHeight="1">
      <c r="A8" s="3196" t="s">
        <v>1420</v>
      </c>
      <c r="B8" s="3197"/>
      <c r="C8" s="3197"/>
      <c r="D8" s="3197"/>
      <c r="E8" s="3197"/>
      <c r="F8" s="3197"/>
      <c r="G8" s="3197"/>
      <c r="H8" s="3197"/>
      <c r="I8" s="3197"/>
      <c r="J8" s="3197"/>
      <c r="K8" s="3197"/>
      <c r="L8" s="3197"/>
      <c r="M8" s="3197"/>
      <c r="N8" s="3197"/>
      <c r="O8" s="3197"/>
      <c r="P8" s="3197"/>
      <c r="Q8" s="3198"/>
      <c r="R8" s="3169" t="s">
        <v>2047</v>
      </c>
      <c r="S8" s="2511"/>
    </row>
    <row r="9" spans="1:32" ht="24.6" customHeight="1">
      <c r="A9" s="3199" t="s">
        <v>228</v>
      </c>
      <c r="B9" s="3200"/>
      <c r="C9" s="3200"/>
      <c r="D9" s="3200"/>
      <c r="E9" s="3200"/>
      <c r="F9" s="3200"/>
      <c r="G9" s="3200"/>
      <c r="H9" s="3200"/>
      <c r="I9" s="3200"/>
      <c r="J9" s="3200"/>
      <c r="K9" s="3200"/>
      <c r="L9" s="3200"/>
      <c r="M9" s="3200"/>
      <c r="N9" s="3200"/>
      <c r="O9" s="3200"/>
      <c r="P9" s="3200"/>
      <c r="Q9" s="3201"/>
      <c r="R9" s="3169"/>
      <c r="S9" s="2511"/>
    </row>
    <row r="10" spans="1:32" ht="24.6" customHeight="1">
      <c r="A10" s="3199" t="s">
        <v>1416</v>
      </c>
      <c r="B10" s="3200"/>
      <c r="C10" s="3200"/>
      <c r="D10" s="3200"/>
      <c r="E10" s="3200"/>
      <c r="F10" s="3200"/>
      <c r="G10" s="3200"/>
      <c r="H10" s="3200"/>
      <c r="I10" s="3200"/>
      <c r="J10" s="3200"/>
      <c r="K10" s="3200"/>
      <c r="L10" s="3200"/>
      <c r="M10" s="3200"/>
      <c r="N10" s="3200"/>
      <c r="O10" s="3200"/>
      <c r="P10" s="3200"/>
      <c r="Q10" s="3201"/>
      <c r="R10" s="3169"/>
      <c r="S10" s="2511"/>
    </row>
    <row r="11" spans="1:32" ht="24.6" customHeight="1">
      <c r="A11" s="3199" t="s">
        <v>1417</v>
      </c>
      <c r="B11" s="3200"/>
      <c r="C11" s="3200"/>
      <c r="D11" s="3200"/>
      <c r="E11" s="3200"/>
      <c r="F11" s="3200"/>
      <c r="G11" s="3200"/>
      <c r="H11" s="3200"/>
      <c r="I11" s="3200"/>
      <c r="J11" s="3200"/>
      <c r="K11" s="3200"/>
      <c r="L11" s="3200"/>
      <c r="M11" s="3200"/>
      <c r="N11" s="3200"/>
      <c r="O11" s="3200"/>
      <c r="P11" s="3200"/>
      <c r="Q11" s="3201"/>
      <c r="R11" s="3169"/>
      <c r="S11" s="2511"/>
    </row>
    <row r="12" spans="1:32" ht="24" customHeight="1">
      <c r="A12" s="3199" t="s">
        <v>1418</v>
      </c>
      <c r="B12" s="3200"/>
      <c r="C12" s="3200"/>
      <c r="D12" s="3200"/>
      <c r="E12" s="3200"/>
      <c r="F12" s="3200"/>
      <c r="G12" s="3200"/>
      <c r="H12" s="3200"/>
      <c r="I12" s="3200"/>
      <c r="J12" s="3200"/>
      <c r="K12" s="3200"/>
      <c r="L12" s="3200"/>
      <c r="M12" s="3200"/>
      <c r="N12" s="3200"/>
      <c r="O12" s="3200"/>
      <c r="P12" s="3200"/>
      <c r="Q12" s="3201"/>
      <c r="R12" s="1529"/>
      <c r="S12" s="1529"/>
    </row>
    <row r="13" spans="1:32" ht="11.25" customHeight="1">
      <c r="A13" s="3199" t="s">
        <v>1419</v>
      </c>
      <c r="B13" s="3200"/>
      <c r="C13" s="3200"/>
      <c r="D13" s="3200"/>
      <c r="E13" s="3200"/>
      <c r="F13" s="3200"/>
      <c r="G13" s="3200"/>
      <c r="H13" s="3200"/>
      <c r="I13" s="3200"/>
      <c r="J13" s="3200"/>
      <c r="K13" s="3200"/>
      <c r="L13" s="3200"/>
      <c r="M13" s="3200"/>
      <c r="N13" s="3200"/>
      <c r="O13" s="3200"/>
      <c r="P13" s="3200"/>
      <c r="Q13" s="3201"/>
      <c r="R13" s="1529"/>
      <c r="S13" s="1529"/>
    </row>
    <row r="14" spans="1:32" ht="11.25" customHeight="1">
      <c r="A14" s="3199" t="s">
        <v>1421</v>
      </c>
      <c r="B14" s="3200"/>
      <c r="C14" s="3200"/>
      <c r="D14" s="3200"/>
      <c r="E14" s="3200"/>
      <c r="F14" s="3200"/>
      <c r="G14" s="3200"/>
      <c r="H14" s="3200"/>
      <c r="I14" s="3200"/>
      <c r="J14" s="3200"/>
      <c r="K14" s="3200"/>
      <c r="L14" s="3200"/>
      <c r="M14" s="3200"/>
      <c r="N14" s="3200"/>
      <c r="O14" s="3200"/>
      <c r="P14" s="3200"/>
      <c r="Q14" s="3201"/>
    </row>
    <row r="15" spans="1:32" ht="11.25" customHeight="1">
      <c r="A15" s="3199" t="s">
        <v>2034</v>
      </c>
      <c r="B15" s="3200"/>
      <c r="C15" s="3200"/>
      <c r="D15" s="3200"/>
      <c r="E15" s="3200"/>
      <c r="F15" s="3200"/>
      <c r="G15" s="3200"/>
      <c r="H15" s="3200"/>
      <c r="I15" s="3200"/>
      <c r="J15" s="3200"/>
      <c r="K15" s="3200"/>
      <c r="L15" s="3200"/>
      <c r="M15" s="3200"/>
      <c r="N15" s="3200"/>
      <c r="O15" s="3200"/>
      <c r="P15" s="3200"/>
      <c r="Q15" s="3201"/>
      <c r="R15" s="3169" t="s">
        <v>2047</v>
      </c>
      <c r="S15" s="2693"/>
    </row>
    <row r="16" spans="1:32" ht="11.25" customHeight="1">
      <c r="A16" s="3199" t="s">
        <v>2035</v>
      </c>
      <c r="B16" s="3200"/>
      <c r="C16" s="3200"/>
      <c r="D16" s="3200"/>
      <c r="E16" s="3200"/>
      <c r="F16" s="3200"/>
      <c r="G16" s="3200"/>
      <c r="H16" s="3200"/>
      <c r="I16" s="3200"/>
      <c r="J16" s="3200"/>
      <c r="K16" s="3200"/>
      <c r="L16" s="3200"/>
      <c r="M16" s="3200"/>
      <c r="N16" s="3200"/>
      <c r="O16" s="3200"/>
      <c r="P16" s="3200"/>
      <c r="Q16" s="3201"/>
      <c r="R16" s="3169"/>
      <c r="S16" s="2693"/>
    </row>
    <row r="17" spans="1:31" ht="11.25" customHeight="1">
      <c r="A17" s="3199" t="s">
        <v>2036</v>
      </c>
      <c r="B17" s="3200"/>
      <c r="C17" s="3200"/>
      <c r="D17" s="3200"/>
      <c r="E17" s="3200"/>
      <c r="F17" s="3200"/>
      <c r="G17" s="3200"/>
      <c r="H17" s="3200"/>
      <c r="I17" s="3200"/>
      <c r="J17" s="3200"/>
      <c r="K17" s="3200"/>
      <c r="L17" s="3200"/>
      <c r="M17" s="3200"/>
      <c r="N17" s="3200"/>
      <c r="O17" s="3200"/>
      <c r="P17" s="3200"/>
      <c r="Q17" s="3201"/>
      <c r="R17" s="3169"/>
      <c r="S17" s="2693"/>
    </row>
    <row r="18" spans="1:31" ht="11.25" customHeight="1">
      <c r="A18" s="3199" t="s">
        <v>2037</v>
      </c>
      <c r="B18" s="3200"/>
      <c r="C18" s="3200"/>
      <c r="D18" s="3200"/>
      <c r="E18" s="3200"/>
      <c r="F18" s="3200"/>
      <c r="G18" s="3200"/>
      <c r="H18" s="3200"/>
      <c r="I18" s="3200"/>
      <c r="J18" s="3200"/>
      <c r="K18" s="3200"/>
      <c r="L18" s="3200"/>
      <c r="M18" s="3200"/>
      <c r="N18" s="3200"/>
      <c r="O18" s="3200"/>
      <c r="P18" s="3200"/>
      <c r="Q18" s="3201"/>
      <c r="R18" s="3169"/>
      <c r="S18" s="2693"/>
    </row>
    <row r="19" spans="1:31" ht="11.25" customHeight="1">
      <c r="A19" s="3199" t="s">
        <v>2038</v>
      </c>
      <c r="B19" s="3200"/>
      <c r="C19" s="3200"/>
      <c r="D19" s="3200"/>
      <c r="E19" s="3200"/>
      <c r="F19" s="3200"/>
      <c r="G19" s="3200"/>
      <c r="H19" s="3200"/>
      <c r="I19" s="3200"/>
      <c r="J19" s="3200"/>
      <c r="K19" s="3200"/>
      <c r="L19" s="3200"/>
      <c r="M19" s="3200"/>
      <c r="N19" s="3200"/>
      <c r="O19" s="3200"/>
      <c r="P19" s="3200"/>
      <c r="Q19" s="3201"/>
      <c r="R19" s="3169"/>
      <c r="S19" s="2693"/>
    </row>
    <row r="20" spans="1:31" ht="11.25" customHeight="1">
      <c r="A20" s="3199" t="s">
        <v>2039</v>
      </c>
      <c r="B20" s="3200"/>
      <c r="C20" s="3200"/>
      <c r="D20" s="3200"/>
      <c r="E20" s="3200"/>
      <c r="F20" s="3200"/>
      <c r="G20" s="3200"/>
      <c r="H20" s="3200"/>
      <c r="I20" s="3200"/>
      <c r="J20" s="3200"/>
      <c r="K20" s="3200"/>
      <c r="L20" s="3200"/>
      <c r="M20" s="3200"/>
      <c r="N20" s="3200"/>
      <c r="O20" s="3200"/>
      <c r="P20" s="3200"/>
      <c r="Q20" s="3201"/>
      <c r="R20" s="3169"/>
      <c r="S20" s="2693"/>
    </row>
    <row r="21" spans="1:31" ht="11.25" customHeight="1">
      <c r="A21" s="3199" t="s">
        <v>2040</v>
      </c>
      <c r="B21" s="3200"/>
      <c r="C21" s="3200"/>
      <c r="D21" s="3200"/>
      <c r="E21" s="3200"/>
      <c r="F21" s="3200"/>
      <c r="G21" s="3200"/>
      <c r="H21" s="3200"/>
      <c r="I21" s="3200"/>
      <c r="J21" s="3200"/>
      <c r="K21" s="3200"/>
      <c r="L21" s="3200"/>
      <c r="M21" s="3200"/>
      <c r="N21" s="3200"/>
      <c r="O21" s="3200"/>
      <c r="P21" s="3200"/>
      <c r="Q21" s="3201"/>
    </row>
    <row r="22" spans="1:31" ht="11.25" customHeight="1">
      <c r="A22" s="3199" t="s">
        <v>2041</v>
      </c>
      <c r="B22" s="3200"/>
      <c r="C22" s="3200"/>
      <c r="D22" s="3200"/>
      <c r="E22" s="3200"/>
      <c r="F22" s="3200"/>
      <c r="G22" s="3200"/>
      <c r="H22" s="3200"/>
      <c r="I22" s="3200"/>
      <c r="J22" s="3200"/>
      <c r="K22" s="3200"/>
      <c r="L22" s="3200"/>
      <c r="M22" s="3200"/>
      <c r="N22" s="3200"/>
      <c r="O22" s="3200"/>
      <c r="P22" s="3200"/>
      <c r="Q22" s="3201"/>
      <c r="R22" s="3169" t="s">
        <v>2047</v>
      </c>
      <c r="S22" s="2693"/>
    </row>
    <row r="23" spans="1:31" ht="11.25" customHeight="1">
      <c r="A23" s="3199" t="s">
        <v>2042</v>
      </c>
      <c r="B23" s="3200"/>
      <c r="C23" s="3200"/>
      <c r="D23" s="3200"/>
      <c r="E23" s="3200"/>
      <c r="F23" s="3200"/>
      <c r="G23" s="3200"/>
      <c r="H23" s="3200"/>
      <c r="I23" s="3200"/>
      <c r="J23" s="3200"/>
      <c r="K23" s="3200"/>
      <c r="L23" s="3200"/>
      <c r="M23" s="3200"/>
      <c r="N23" s="3200"/>
      <c r="O23" s="3200"/>
      <c r="P23" s="3200"/>
      <c r="Q23" s="3201"/>
      <c r="R23" s="3169"/>
      <c r="S23" s="2693"/>
    </row>
    <row r="24" spans="1:31" ht="11.25" customHeight="1">
      <c r="A24" s="3199" t="s">
        <v>2043</v>
      </c>
      <c r="B24" s="3200"/>
      <c r="C24" s="3200"/>
      <c r="D24" s="3200"/>
      <c r="E24" s="3200"/>
      <c r="F24" s="3200"/>
      <c r="G24" s="3200"/>
      <c r="H24" s="3200"/>
      <c r="I24" s="3200"/>
      <c r="J24" s="3200"/>
      <c r="K24" s="3200"/>
      <c r="L24" s="3200"/>
      <c r="M24" s="3200"/>
      <c r="N24" s="3200"/>
      <c r="O24" s="3200"/>
      <c r="P24" s="3200"/>
      <c r="Q24" s="3201"/>
      <c r="R24" s="3169"/>
      <c r="S24" s="2693"/>
    </row>
    <row r="25" spans="1:31" ht="11.25" customHeight="1">
      <c r="A25" s="3199" t="s">
        <v>2044</v>
      </c>
      <c r="B25" s="3200"/>
      <c r="C25" s="3200"/>
      <c r="D25" s="3200"/>
      <c r="E25" s="3200"/>
      <c r="F25" s="3200"/>
      <c r="G25" s="3200"/>
      <c r="H25" s="3200"/>
      <c r="I25" s="3200"/>
      <c r="J25" s="3200"/>
      <c r="K25" s="3200"/>
      <c r="L25" s="3200"/>
      <c r="M25" s="3200"/>
      <c r="N25" s="3200"/>
      <c r="O25" s="3200"/>
      <c r="P25" s="3200"/>
      <c r="Q25" s="3201"/>
      <c r="R25" s="3169"/>
      <c r="S25" s="2693"/>
    </row>
    <row r="26" spans="1:31" ht="11.25" customHeight="1">
      <c r="A26" s="3199" t="s">
        <v>2045</v>
      </c>
      <c r="B26" s="3200"/>
      <c r="C26" s="3200"/>
      <c r="D26" s="3200"/>
      <c r="E26" s="3200"/>
      <c r="F26" s="3200"/>
      <c r="G26" s="3200"/>
      <c r="H26" s="3200"/>
      <c r="I26" s="3200"/>
      <c r="J26" s="3200"/>
      <c r="K26" s="3200"/>
      <c r="L26" s="3200"/>
      <c r="M26" s="3200"/>
      <c r="N26" s="3200"/>
      <c r="O26" s="3200"/>
      <c r="P26" s="3200"/>
      <c r="Q26" s="3201"/>
      <c r="R26" s="3169"/>
      <c r="S26" s="2693"/>
    </row>
    <row r="27" spans="1:31" ht="11.25" customHeight="1">
      <c r="A27" s="3220" t="s">
        <v>2046</v>
      </c>
      <c r="B27" s="3221"/>
      <c r="C27" s="3221"/>
      <c r="D27" s="3221"/>
      <c r="E27" s="3221"/>
      <c r="F27" s="3221"/>
      <c r="G27" s="3221"/>
      <c r="H27" s="3221"/>
      <c r="I27" s="3221"/>
      <c r="J27" s="3221"/>
      <c r="K27" s="3221"/>
      <c r="L27" s="3221"/>
      <c r="M27" s="3221"/>
      <c r="N27" s="3221"/>
      <c r="O27" s="3221"/>
      <c r="P27" s="3221"/>
      <c r="Q27" s="3222"/>
      <c r="R27" s="3169"/>
      <c r="S27" s="2693"/>
    </row>
    <row r="28" spans="1:31" ht="6" customHeight="1"/>
    <row r="29" spans="1:31" ht="13.9" customHeight="1">
      <c r="A29" s="140" t="s">
        <v>622</v>
      </c>
      <c r="B29" s="141" t="s">
        <v>2668</v>
      </c>
      <c r="C29" s="142"/>
      <c r="D29" s="94"/>
      <c r="E29" s="94"/>
      <c r="F29" s="94"/>
      <c r="G29" s="94"/>
      <c r="I29" s="1544"/>
      <c r="J29" s="1544"/>
      <c r="K29" s="1544"/>
      <c r="L29" s="1536"/>
      <c r="M29" s="1536"/>
      <c r="O29" s="143" t="s">
        <v>1881</v>
      </c>
      <c r="P29" s="3209"/>
      <c r="Q29" s="3210"/>
    </row>
    <row r="30" spans="1:31" ht="3" customHeight="1"/>
    <row r="31" spans="1:31" ht="11.25" customHeight="1">
      <c r="B31" s="69" t="s">
        <v>3785</v>
      </c>
      <c r="C31" s="69"/>
      <c r="D31" s="69"/>
      <c r="E31" s="69"/>
      <c r="F31" s="69"/>
      <c r="G31" s="1544"/>
      <c r="H31" s="1544"/>
      <c r="I31" s="1544"/>
      <c r="J31" s="1544"/>
      <c r="K31" s="1536"/>
      <c r="L31" s="1536"/>
      <c r="M31" s="1536"/>
      <c r="N31" s="1536"/>
      <c r="O31" s="1536"/>
      <c r="P31" s="1092"/>
      <c r="S31" s="170"/>
      <c r="T31" s="170"/>
    </row>
    <row r="32" spans="1:31" ht="108.75" customHeight="1">
      <c r="A32" s="3838" t="s">
        <v>4770</v>
      </c>
      <c r="B32" s="3839"/>
      <c r="C32" s="3839"/>
      <c r="D32" s="3839"/>
      <c r="E32" s="3839"/>
      <c r="F32" s="3839"/>
      <c r="G32" s="3839"/>
      <c r="H32" s="3839"/>
      <c r="I32" s="3839"/>
      <c r="J32" s="3839"/>
      <c r="K32" s="3839"/>
      <c r="L32" s="3839"/>
      <c r="M32" s="3839"/>
      <c r="N32" s="3839"/>
      <c r="O32" s="3839"/>
      <c r="P32" s="3839"/>
      <c r="Q32" s="3840"/>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211"/>
      <c r="B34" s="3211"/>
      <c r="C34" s="3211"/>
      <c r="D34" s="3211"/>
      <c r="E34" s="3211"/>
      <c r="F34" s="3211"/>
      <c r="G34" s="3211"/>
      <c r="H34" s="3211"/>
      <c r="I34" s="3211"/>
      <c r="J34" s="3211"/>
      <c r="K34" s="3211"/>
      <c r="L34" s="3211"/>
      <c r="M34" s="3211"/>
      <c r="N34" s="3211"/>
      <c r="O34" s="3211"/>
      <c r="P34" s="3211"/>
      <c r="Q34" s="3211"/>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2729</v>
      </c>
      <c r="C36" s="4"/>
      <c r="D36" s="4"/>
      <c r="E36" s="1537"/>
      <c r="G36" s="768"/>
      <c r="H36" s="768"/>
      <c r="I36" s="768"/>
      <c r="J36" s="43"/>
      <c r="L36" s="769"/>
      <c r="M36" s="769"/>
      <c r="N36" s="769"/>
      <c r="O36" s="143" t="s">
        <v>1881</v>
      </c>
      <c r="P36" s="3209"/>
      <c r="Q36" s="3210"/>
    </row>
    <row r="37" spans="1:295" ht="11.25" customHeight="1">
      <c r="A37" s="3212" t="s">
        <v>3474</v>
      </c>
      <c r="B37" s="3212"/>
      <c r="C37" s="3212"/>
      <c r="D37" s="3212"/>
      <c r="E37" s="3212"/>
      <c r="F37" s="3212"/>
      <c r="G37" s="3213" t="s">
        <v>2733</v>
      </c>
      <c r="H37" s="3214"/>
      <c r="I37" s="772"/>
      <c r="J37" s="43"/>
      <c r="K37" s="3215" t="s">
        <v>3663</v>
      </c>
      <c r="L37" s="3216"/>
      <c r="M37" s="3216"/>
      <c r="N37" s="3217"/>
    </row>
    <row r="38" spans="1:295" ht="11.25" customHeight="1">
      <c r="A38" s="3212"/>
      <c r="B38" s="3212"/>
      <c r="C38" s="3212"/>
      <c r="D38" s="3212"/>
      <c r="E38" s="3212"/>
      <c r="F38" s="3212"/>
      <c r="G38" s="3218" t="s">
        <v>348</v>
      </c>
      <c r="H38" s="3219"/>
      <c r="I38" s="772"/>
      <c r="J38" s="43"/>
      <c r="K38" s="3249" t="s">
        <v>3664</v>
      </c>
      <c r="L38" s="3250"/>
      <c r="M38" s="3250"/>
      <c r="N38" s="3251"/>
      <c r="P38" s="634" t="s">
        <v>2753</v>
      </c>
      <c r="Q38" s="104" t="s">
        <v>3011</v>
      </c>
    </row>
    <row r="39" spans="1:295" ht="4.5" customHeight="1">
      <c r="A39" s="3212"/>
      <c r="B39" s="3212"/>
      <c r="C39" s="3212"/>
      <c r="D39" s="3212"/>
      <c r="E39" s="3212"/>
      <c r="F39" s="3212"/>
      <c r="G39" s="248"/>
      <c r="H39" s="248"/>
      <c r="I39" s="248"/>
      <c r="J39" s="43"/>
      <c r="K39" s="3202"/>
      <c r="L39" s="3202"/>
      <c r="M39" s="3202"/>
      <c r="N39" s="3202"/>
    </row>
    <row r="40" spans="1:295" s="89" customFormat="1" ht="10.5" customHeight="1">
      <c r="D40" s="773" t="s">
        <v>2732</v>
      </c>
      <c r="E40" s="36"/>
      <c r="F40" s="774" t="s">
        <v>3476</v>
      </c>
      <c r="G40" s="3203" t="s">
        <v>3475</v>
      </c>
      <c r="H40" s="3203"/>
      <c r="I40" s="3203"/>
      <c r="J40" s="36"/>
      <c r="K40" s="774" t="s">
        <v>3476</v>
      </c>
      <c r="L40" s="3203" t="s">
        <v>3475</v>
      </c>
      <c r="M40" s="3203"/>
      <c r="N40" s="3203"/>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204" t="s">
        <v>3380</v>
      </c>
      <c r="B41" s="3204"/>
      <c r="C41" s="3204"/>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7"/>
      <c r="P41" s="3279" t="s">
        <v>3929</v>
      </c>
      <c r="Q41" s="3279"/>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204"/>
      <c r="B42" s="3204"/>
      <c r="C42" s="3204"/>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7"/>
      <c r="P42" s="3205" t="str">
        <f>IF('Part I-Project Information'!$F$38="","",VLOOKUP('Part I-Project Information'!$J$39,'DCA Underwriting Assumptions'!$G$155:$N$314,8,FALSE))</f>
        <v>Atlanta</v>
      </c>
      <c r="Q42" s="3206"/>
      <c r="R42" s="494"/>
      <c r="S42" s="3184" t="s">
        <v>4141</v>
      </c>
      <c r="T42" s="3184"/>
      <c r="U42" s="3184"/>
      <c r="V42" s="3184"/>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204"/>
      <c r="B43" s="3204"/>
      <c r="C43" s="3204"/>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7"/>
      <c r="P43" s="3207"/>
      <c r="Q43" s="3208"/>
      <c r="S43" s="3184"/>
      <c r="T43" s="3184"/>
      <c r="U43" s="3184"/>
      <c r="V43" s="3184"/>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204"/>
      <c r="B44" s="3204"/>
      <c r="C44" s="3204"/>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7"/>
      <c r="P44" s="3239" t="s">
        <v>3660</v>
      </c>
      <c r="Q44" s="3239"/>
      <c r="S44" s="3184"/>
      <c r="T44" s="3184"/>
      <c r="U44" s="3184"/>
      <c r="V44" s="3184"/>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7"/>
      <c r="P45" s="3240">
        <f>'Part IV-A-Uses of Funds'!$G$132</f>
        <v>20706223.689910028</v>
      </c>
      <c r="Q45" s="3241"/>
      <c r="S45" s="3184"/>
      <c r="T45" s="3184"/>
      <c r="U45" s="3184"/>
      <c r="V45" s="3184"/>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0</v>
      </c>
      <c r="G46" s="775"/>
      <c r="H46" s="1479"/>
      <c r="I46" s="1480">
        <f>SUM(I41:I45)</f>
        <v>0</v>
      </c>
      <c r="J46" s="1481"/>
      <c r="K46" s="1478">
        <f>SUM(K41:K45)</f>
        <v>0</v>
      </c>
      <c r="L46" s="1481"/>
      <c r="M46" s="1479"/>
      <c r="N46" s="1480">
        <f>SUM(N41:N45)</f>
        <v>0</v>
      </c>
      <c r="O46" s="1537"/>
      <c r="P46" s="3242"/>
      <c r="Q46" s="3243"/>
      <c r="S46" s="3184"/>
      <c r="T46" s="3184"/>
      <c r="U46" s="3184"/>
      <c r="V46" s="3184"/>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184"/>
      <c r="T47" s="3184"/>
      <c r="U47" s="3184"/>
      <c r="V47" s="3184"/>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204" t="s">
        <v>3375</v>
      </c>
      <c r="B48" s="3204"/>
      <c r="C48" s="3204"/>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244" t="s">
        <v>4140</v>
      </c>
      <c r="Q48" s="3244"/>
      <c r="S48" s="3184"/>
      <c r="T48" s="3184"/>
      <c r="U48" s="3184"/>
      <c r="V48" s="3184"/>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204"/>
      <c r="B49" s="3204"/>
      <c r="C49" s="3204"/>
      <c r="D49" s="1032" t="s">
        <v>2456</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245"/>
      <c r="Q49" s="3246"/>
      <c r="S49" s="3184"/>
      <c r="T49" s="3184"/>
      <c r="U49" s="3184"/>
      <c r="V49" s="3184"/>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204"/>
      <c r="B50" s="3204"/>
      <c r="C50" s="3204"/>
      <c r="D50" s="1032" t="s">
        <v>2457</v>
      </c>
      <c r="E50" s="1033">
        <v>2</v>
      </c>
      <c r="F50" s="1034">
        <f>'Part VI-Revenues &amp; Expenses'!$L$106</f>
        <v>20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20 units = </v>
      </c>
      <c r="I50" s="1036">
        <f>F50*G50</f>
        <v>4101860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247"/>
      <c r="Q50" s="3248"/>
      <c r="R50" s="494"/>
      <c r="S50" s="3184"/>
      <c r="T50" s="3184"/>
      <c r="U50" s="3184"/>
      <c r="V50" s="3184"/>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76</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76 units = </v>
      </c>
      <c r="I51" s="1036">
        <f>F51*G51</f>
        <v>19105640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232" t="s">
        <v>3658</v>
      </c>
      <c r="Q52" s="3232"/>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96</v>
      </c>
      <c r="G53" s="775"/>
      <c r="H53" s="1479"/>
      <c r="I53" s="1480">
        <f>SUM(I48:I52)</f>
        <v>23207500</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232" t="s">
        <v>3659</v>
      </c>
      <c r="Q56" s="3232"/>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233" t="s">
        <v>2788</v>
      </c>
      <c r="Q59" s="3233"/>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0</v>
      </c>
      <c r="G60" s="775"/>
      <c r="H60" s="1479"/>
      <c r="I60" s="1480">
        <f>SUM(I55:I59)</f>
        <v>0</v>
      </c>
      <c r="J60" s="1481"/>
      <c r="K60" s="1478">
        <f>SUM(K55:K59)</f>
        <v>0</v>
      </c>
      <c r="L60" s="1481"/>
      <c r="M60" s="1479"/>
      <c r="N60" s="1480">
        <f>SUM(N55:N59)</f>
        <v>0</v>
      </c>
      <c r="O60" s="695"/>
      <c r="P60" s="3233"/>
      <c r="Q60" s="3233"/>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233"/>
      <c r="Q61" s="3233"/>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234"/>
      <c r="Q62" s="3234"/>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235">
        <f>IF(P49&gt;1,P49, IF(OR('Part IX A-Scoring Criteria'!$O$67='Part IX A-Scoring Criteria'!$M$67,AND('Part IV-A-Uses of Funds'!$T$165="Yes",'Part IX A-Scoring Criteria'!$O$414&gt;0)),H69+M69,H69))</f>
        <v>23207500</v>
      </c>
      <c r="Q63" s="3236"/>
      <c r="R63" s="3260"/>
      <c r="S63" s="3261"/>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237"/>
      <c r="Q64" s="3238"/>
      <c r="R64" s="3260"/>
      <c r="S64" s="3261"/>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274" t="s">
        <v>4304</v>
      </c>
      <c r="Q65" s="3274"/>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274"/>
      <c r="Q66" s="3274"/>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0</v>
      </c>
      <c r="G67" s="775"/>
      <c r="H67" s="1479"/>
      <c r="I67" s="1482">
        <f>SUM(I62:I66)</f>
        <v>0</v>
      </c>
      <c r="J67" s="1481"/>
      <c r="K67" s="1478">
        <f>SUM(K62:K66)</f>
        <v>0</v>
      </c>
      <c r="L67" s="1481"/>
      <c r="M67" s="1479"/>
      <c r="N67" s="1482">
        <f>SUM(N62:N66)</f>
        <v>0</v>
      </c>
      <c r="O67" s="695"/>
      <c r="P67" s="3274"/>
      <c r="Q67" s="3274"/>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74"/>
      <c r="Q68" s="3274"/>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96</v>
      </c>
      <c r="G69" s="393"/>
      <c r="H69" s="3278">
        <f>I46+I53+I60+I67</f>
        <v>23207500</v>
      </c>
      <c r="I69" s="3278"/>
      <c r="J69" s="3278"/>
      <c r="K69" s="766">
        <f>K46+K53+K60+K67</f>
        <v>0</v>
      </c>
      <c r="L69" s="767"/>
      <c r="M69" s="3278">
        <f>N46+N53+N60+N67</f>
        <v>0</v>
      </c>
      <c r="N69" s="3278"/>
      <c r="O69" s="3278"/>
      <c r="P69" s="3274"/>
      <c r="Q69" s="3274"/>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3785</v>
      </c>
      <c r="D70" s="103"/>
      <c r="E70" s="103"/>
      <c r="F70" s="103"/>
      <c r="G70" s="103"/>
      <c r="H70" s="41"/>
      <c r="I70" s="1544"/>
      <c r="J70" s="1544"/>
      <c r="K70" s="148" t="s">
        <v>1880</v>
      </c>
      <c r="L70" s="1536"/>
      <c r="M70" s="1536"/>
      <c r="N70" s="1536"/>
      <c r="O70" s="1536"/>
      <c r="P70" s="1536"/>
      <c r="Q70" s="1092"/>
    </row>
    <row r="71" spans="1:295" ht="10.5" customHeight="1">
      <c r="A71" s="3838" t="s">
        <v>4771</v>
      </c>
      <c r="B71" s="3839"/>
      <c r="C71" s="3839"/>
      <c r="D71" s="3839"/>
      <c r="E71" s="3839"/>
      <c r="F71" s="3839"/>
      <c r="G71" s="3839"/>
      <c r="H71" s="3839"/>
      <c r="I71" s="3839"/>
      <c r="J71" s="3840"/>
      <c r="K71" s="3252"/>
      <c r="L71" s="3253"/>
      <c r="M71" s="3253"/>
      <c r="N71" s="3253"/>
      <c r="O71" s="3253"/>
      <c r="P71" s="3253"/>
      <c r="Q71" s="3254"/>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275" t="str">
        <f>'Part I-Project Information'!$H$78</f>
        <v>Family</v>
      </c>
      <c r="K73" s="3276"/>
      <c r="L73" s="3277"/>
      <c r="O73" s="143" t="s">
        <v>1881</v>
      </c>
      <c r="P73" s="3209"/>
      <c r="Q73" s="3210"/>
    </row>
    <row r="74" spans="1:295" ht="10.5" customHeight="1">
      <c r="B74" s="103" t="s">
        <v>3785</v>
      </c>
      <c r="D74" s="103"/>
      <c r="E74" s="103"/>
      <c r="F74" s="103"/>
      <c r="G74" s="103"/>
      <c r="H74" s="41"/>
      <c r="I74" s="1544"/>
      <c r="J74" s="1544"/>
      <c r="K74" s="148" t="s">
        <v>1880</v>
      </c>
      <c r="L74" s="1536"/>
      <c r="M74" s="1536"/>
      <c r="N74" s="1536"/>
      <c r="O74" s="1536"/>
      <c r="P74" s="1536"/>
      <c r="Q74" s="1092"/>
    </row>
    <row r="75" spans="1:295" ht="10.5" customHeight="1">
      <c r="A75" s="3838" t="s">
        <v>4772</v>
      </c>
      <c r="B75" s="3839"/>
      <c r="C75" s="3839"/>
      <c r="D75" s="3839"/>
      <c r="E75" s="3839"/>
      <c r="F75" s="3839"/>
      <c r="G75" s="3839"/>
      <c r="H75" s="3839"/>
      <c r="I75" s="3839"/>
      <c r="J75" s="3840"/>
      <c r="K75" s="3252"/>
      <c r="L75" s="3253"/>
      <c r="M75" s="3253"/>
      <c r="N75" s="3253"/>
      <c r="O75" s="3253"/>
      <c r="P75" s="3253"/>
      <c r="Q75" s="3254"/>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2669</v>
      </c>
      <c r="C77" s="123"/>
      <c r="D77" s="1537"/>
      <c r="E77" s="1537"/>
      <c r="F77" s="1537"/>
      <c r="G77" s="1537"/>
      <c r="H77" s="1537"/>
      <c r="I77" s="1537"/>
      <c r="J77" s="1537"/>
      <c r="K77" s="1537"/>
      <c r="L77" s="1537"/>
      <c r="M77" s="1537"/>
      <c r="O77" s="143" t="s">
        <v>1881</v>
      </c>
      <c r="P77" s="3209"/>
      <c r="Q77" s="3210"/>
    </row>
    <row r="78" spans="1:295" ht="1.5" customHeight="1"/>
    <row r="79" spans="1:295" ht="10.5" customHeight="1">
      <c r="A79" s="153" t="s">
        <v>1999</v>
      </c>
      <c r="B79" s="474" t="s">
        <v>3773</v>
      </c>
      <c r="D79" s="1159"/>
      <c r="E79" s="1159"/>
      <c r="F79" s="1159"/>
      <c r="G79" s="1159"/>
      <c r="H79" s="1159"/>
      <c r="I79" s="1159"/>
      <c r="K79" s="1159"/>
      <c r="L79" s="1159"/>
      <c r="M79" s="1160" t="s">
        <v>3726</v>
      </c>
      <c r="O79" s="154"/>
      <c r="P79" s="104" t="s">
        <v>4773</v>
      </c>
    </row>
    <row r="80" spans="1:295" ht="10.5" customHeight="1">
      <c r="A80" s="48" t="s">
        <v>2001</v>
      </c>
      <c r="B80" s="1093" t="s">
        <v>3772</v>
      </c>
      <c r="D80" s="1093"/>
      <c r="E80" s="1093"/>
      <c r="F80" s="1093"/>
      <c r="G80" s="1093"/>
      <c r="H80" s="1093"/>
      <c r="I80" s="1093"/>
      <c r="J80" s="1093"/>
      <c r="K80" s="1093"/>
      <c r="L80" s="1093"/>
      <c r="M80" s="1093"/>
      <c r="O80" s="1093"/>
      <c r="P80" s="1093"/>
      <c r="Q80" s="1093"/>
    </row>
    <row r="81" spans="1:31" ht="10.9" customHeight="1">
      <c r="A81" s="155"/>
      <c r="B81" s="68" t="s">
        <v>1750</v>
      </c>
      <c r="C81" s="1093" t="s">
        <v>3508</v>
      </c>
      <c r="E81" s="1539"/>
      <c r="F81" s="1539"/>
      <c r="G81" s="1539"/>
      <c r="H81" s="34"/>
      <c r="I81" s="37" t="s">
        <v>2723</v>
      </c>
      <c r="J81" s="3262" t="s">
        <v>4774</v>
      </c>
      <c r="K81" s="3263"/>
      <c r="L81" s="3263"/>
      <c r="M81" s="3263"/>
      <c r="N81" s="3263"/>
      <c r="O81" s="3263"/>
      <c r="P81" s="3263"/>
      <c r="Q81" s="3264"/>
    </row>
    <row r="82" spans="1:31" ht="23.25" customHeight="1">
      <c r="A82" s="155"/>
      <c r="B82" s="68" t="s">
        <v>1751</v>
      </c>
      <c r="C82" s="1093" t="s">
        <v>3606</v>
      </c>
      <c r="E82" s="1539"/>
      <c r="F82" s="1539"/>
      <c r="G82" s="1539"/>
      <c r="H82" s="34"/>
      <c r="I82" s="37" t="s">
        <v>2723</v>
      </c>
      <c r="J82" s="3265" t="s">
        <v>4775</v>
      </c>
      <c r="K82" s="3266"/>
      <c r="L82" s="3266"/>
      <c r="M82" s="3266"/>
      <c r="N82" s="3266"/>
      <c r="O82" s="3266"/>
      <c r="P82" s="3266"/>
      <c r="Q82" s="3267"/>
    </row>
    <row r="83" spans="1:31" ht="10.9" customHeight="1">
      <c r="A83" s="155"/>
      <c r="B83" s="68" t="s">
        <v>1752</v>
      </c>
      <c r="C83" s="1093" t="s">
        <v>3607</v>
      </c>
      <c r="E83" s="1539"/>
      <c r="F83" s="1539"/>
      <c r="G83" s="1539"/>
      <c r="H83" s="34"/>
      <c r="I83" s="37" t="s">
        <v>2723</v>
      </c>
      <c r="J83" s="3265"/>
      <c r="K83" s="3266"/>
      <c r="L83" s="3266"/>
      <c r="M83" s="3266"/>
      <c r="N83" s="3266"/>
      <c r="O83" s="3266"/>
      <c r="P83" s="3266"/>
      <c r="Q83" s="3267"/>
    </row>
    <row r="84" spans="1:31" ht="10.9" customHeight="1">
      <c r="A84" s="155"/>
      <c r="B84" s="561" t="s">
        <v>2381</v>
      </c>
      <c r="C84" s="1093" t="s">
        <v>3940</v>
      </c>
      <c r="E84" s="1539"/>
      <c r="I84" s="37" t="s">
        <v>2723</v>
      </c>
      <c r="J84" s="3268"/>
      <c r="K84" s="3269"/>
      <c r="L84" s="3269"/>
      <c r="M84" s="3269"/>
      <c r="N84" s="3269"/>
      <c r="O84" s="3269"/>
      <c r="P84" s="3269"/>
      <c r="Q84" s="3270"/>
    </row>
    <row r="85" spans="1:31" ht="10.9" customHeight="1">
      <c r="A85" s="48" t="s">
        <v>757</v>
      </c>
      <c r="B85" s="41" t="s">
        <v>3592</v>
      </c>
      <c r="D85" s="1093"/>
      <c r="E85" s="1539"/>
      <c r="J85" s="37"/>
      <c r="K85" s="37"/>
      <c r="L85" s="37"/>
      <c r="M85" s="37"/>
      <c r="N85" s="37"/>
      <c r="O85" s="37"/>
      <c r="P85" s="37"/>
      <c r="Q85" s="37"/>
    </row>
    <row r="86" spans="1:31" ht="10.9" customHeight="1">
      <c r="A86" s="155"/>
      <c r="B86" s="56" t="s">
        <v>3931</v>
      </c>
      <c r="D86" s="145"/>
      <c r="E86" s="145"/>
      <c r="F86" s="145"/>
      <c r="G86" s="145"/>
      <c r="H86" s="145"/>
      <c r="I86" s="43"/>
      <c r="J86" s="43"/>
      <c r="K86" s="561" t="s">
        <v>757</v>
      </c>
      <c r="L86" s="3271"/>
      <c r="M86" s="3272"/>
      <c r="N86" s="3272"/>
      <c r="O86" s="3272"/>
      <c r="P86" s="3273"/>
      <c r="Q86" s="655"/>
    </row>
    <row r="87" spans="1:31" ht="10.5" customHeight="1">
      <c r="B87" s="103" t="s">
        <v>3785</v>
      </c>
      <c r="D87" s="103"/>
      <c r="E87" s="103"/>
      <c r="F87" s="103"/>
      <c r="G87" s="103"/>
      <c r="H87" s="41"/>
      <c r="I87" s="1544"/>
      <c r="J87" s="1544"/>
      <c r="K87" s="148" t="s">
        <v>1880</v>
      </c>
      <c r="L87" s="1536"/>
      <c r="M87" s="1536"/>
      <c r="N87" s="1536"/>
      <c r="O87" s="1536"/>
      <c r="P87" s="1536"/>
      <c r="Q87" s="1092"/>
    </row>
    <row r="88" spans="1:31" ht="26.25" customHeight="1">
      <c r="A88" s="3838" t="s">
        <v>4776</v>
      </c>
      <c r="B88" s="3839"/>
      <c r="C88" s="3839"/>
      <c r="D88" s="3839"/>
      <c r="E88" s="3839"/>
      <c r="F88" s="3839"/>
      <c r="G88" s="3839"/>
      <c r="H88" s="3839"/>
      <c r="I88" s="3839"/>
      <c r="J88" s="3840"/>
      <c r="K88" s="3252"/>
      <c r="L88" s="3253"/>
      <c r="M88" s="3253"/>
      <c r="N88" s="3253"/>
      <c r="O88" s="3253"/>
      <c r="P88" s="3253"/>
      <c r="Q88" s="3254"/>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 customHeight="1">
      <c r="A90" s="1542" t="s">
        <v>1807</v>
      </c>
      <c r="B90" s="1542" t="s">
        <v>2670</v>
      </c>
      <c r="C90" s="1542"/>
      <c r="D90" s="1537"/>
      <c r="E90" s="1537"/>
      <c r="F90" s="1537"/>
      <c r="G90" s="1537"/>
      <c r="H90" s="1537"/>
      <c r="I90" s="1537"/>
      <c r="J90" s="1537"/>
      <c r="K90" s="1537"/>
      <c r="O90" s="143" t="s">
        <v>1881</v>
      </c>
      <c r="P90" s="3209"/>
      <c r="Q90" s="3210"/>
    </row>
    <row r="91" spans="1:31" ht="3" customHeight="1"/>
    <row r="92" spans="1:31" ht="10.5" customHeight="1">
      <c r="A92" s="48" t="s">
        <v>1999</v>
      </c>
      <c r="B92" s="156" t="s">
        <v>2476</v>
      </c>
      <c r="D92" s="145"/>
      <c r="E92" s="145"/>
      <c r="F92" s="145"/>
      <c r="G92" s="145"/>
      <c r="H92" s="145"/>
      <c r="I92" s="43"/>
      <c r="J92" s="43"/>
      <c r="K92" s="43"/>
      <c r="L92" s="561" t="s">
        <v>1999</v>
      </c>
      <c r="M92" s="3255" t="s">
        <v>4777</v>
      </c>
      <c r="N92" s="3256"/>
      <c r="O92" s="3256"/>
      <c r="P92" s="3294"/>
      <c r="Q92" s="656"/>
    </row>
    <row r="93" spans="1:31" ht="10.5" customHeight="1">
      <c r="A93" s="48" t="s">
        <v>2001</v>
      </c>
      <c r="B93" s="53" t="s">
        <v>2052</v>
      </c>
      <c r="D93" s="145"/>
      <c r="E93" s="145"/>
      <c r="F93" s="145"/>
      <c r="L93" s="561" t="s">
        <v>2001</v>
      </c>
      <c r="M93" s="3257" t="s">
        <v>4778</v>
      </c>
      <c r="N93" s="3258"/>
      <c r="O93" s="3258"/>
      <c r="P93" s="3843"/>
      <c r="Q93" s="657"/>
    </row>
    <row r="94" spans="1:31" ht="10.5" customHeight="1">
      <c r="A94" s="48" t="s">
        <v>757</v>
      </c>
      <c r="B94" s="53" t="s">
        <v>2898</v>
      </c>
      <c r="D94" s="145"/>
      <c r="E94" s="145"/>
      <c r="F94" s="145"/>
      <c r="L94" s="561" t="s">
        <v>757</v>
      </c>
      <c r="M94" s="3841">
        <v>0.96499999999999997</v>
      </c>
      <c r="N94" s="3259"/>
      <c r="O94" s="3259"/>
      <c r="P94" s="3842"/>
      <c r="Q94" s="657"/>
    </row>
    <row r="95" spans="1:31" ht="10.5" customHeight="1">
      <c r="A95" s="48" t="s">
        <v>2131</v>
      </c>
      <c r="B95" s="53" t="s">
        <v>3933</v>
      </c>
      <c r="D95" s="145"/>
      <c r="E95" s="145"/>
      <c r="F95" s="145"/>
      <c r="L95" s="561" t="s">
        <v>3934</v>
      </c>
      <c r="M95" s="1694">
        <v>0.16</v>
      </c>
      <c r="N95" s="1487"/>
      <c r="O95" s="1488" t="s">
        <v>4183</v>
      </c>
      <c r="P95" s="1489" t="s">
        <v>979</v>
      </c>
      <c r="Q95" s="658"/>
    </row>
    <row r="96" spans="1:31" ht="10.5" customHeight="1">
      <c r="A96" s="153" t="s">
        <v>1748</v>
      </c>
      <c r="B96" s="151" t="s">
        <v>3932</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c r="E98" s="3284" t="s">
        <v>4779</v>
      </c>
      <c r="F98" s="3284"/>
      <c r="G98" s="3284"/>
      <c r="H98" s="68" t="s">
        <v>1752</v>
      </c>
      <c r="I98" s="596"/>
      <c r="J98" s="3284" t="s">
        <v>4782</v>
      </c>
      <c r="K98" s="3284"/>
      <c r="L98" s="3284"/>
      <c r="M98" s="67" t="s">
        <v>1561</v>
      </c>
      <c r="N98" s="596" t="s">
        <v>4785</v>
      </c>
      <c r="O98" s="3284" t="s">
        <v>4786</v>
      </c>
      <c r="P98" s="3284"/>
      <c r="Q98" s="3284"/>
    </row>
    <row r="99" spans="1:31" ht="10.5" customHeight="1">
      <c r="C99" s="68" t="s">
        <v>1751</v>
      </c>
      <c r="D99" s="597" t="s">
        <v>4780</v>
      </c>
      <c r="E99" s="3285" t="s">
        <v>4781</v>
      </c>
      <c r="F99" s="3285"/>
      <c r="G99" s="3285"/>
      <c r="H99" s="561" t="s">
        <v>2381</v>
      </c>
      <c r="I99" s="597" t="s">
        <v>4783</v>
      </c>
      <c r="J99" s="3285" t="s">
        <v>4784</v>
      </c>
      <c r="K99" s="3285"/>
      <c r="L99" s="3285"/>
      <c r="M99" s="67" t="s">
        <v>1562</v>
      </c>
      <c r="N99" s="597" t="s">
        <v>4787</v>
      </c>
      <c r="O99" s="3285" t="s">
        <v>4788</v>
      </c>
      <c r="P99" s="3285"/>
      <c r="Q99" s="3285"/>
    </row>
    <row r="100" spans="1:31" ht="10.5" customHeight="1">
      <c r="A100" s="48" t="s">
        <v>1749</v>
      </c>
      <c r="B100" s="53" t="s">
        <v>0</v>
      </c>
      <c r="D100" s="145"/>
      <c r="E100" s="145"/>
      <c r="F100" s="145"/>
      <c r="G100" s="145"/>
      <c r="H100" s="145"/>
      <c r="I100" s="43"/>
      <c r="J100" s="43"/>
      <c r="K100" s="145"/>
      <c r="L100" s="1539"/>
      <c r="M100" s="1539"/>
      <c r="O100" s="561" t="s">
        <v>1749</v>
      </c>
      <c r="P100" s="119" t="s">
        <v>3011</v>
      </c>
      <c r="Q100" s="661"/>
    </row>
    <row r="101" spans="1:31" s="28" customFormat="1" ht="11.45" customHeight="1">
      <c r="A101" s="194" t="s">
        <v>1683</v>
      </c>
      <c r="E101" s="127"/>
      <c r="M101" s="469"/>
      <c r="O101" s="457"/>
      <c r="Q101" s="1552" t="s">
        <v>2527</v>
      </c>
      <c r="R101" s="1088"/>
      <c r="S101" s="1550"/>
      <c r="T101" s="1418"/>
      <c r="U101" s="1418"/>
      <c r="V101" s="1418"/>
      <c r="W101" s="1418"/>
    </row>
    <row r="102" spans="1:31" s="475" customFormat="1" ht="21.75" customHeight="1">
      <c r="A102" s="153" t="s">
        <v>1962</v>
      </c>
      <c r="B102" s="3286" t="s">
        <v>3641</v>
      </c>
      <c r="C102" s="3286"/>
      <c r="D102" s="3286"/>
      <c r="E102" s="3286"/>
      <c r="F102" s="3286"/>
      <c r="G102" s="3286"/>
      <c r="H102" s="3286"/>
      <c r="I102" s="3286"/>
      <c r="J102" s="3286"/>
      <c r="K102" s="3286"/>
      <c r="L102" s="3286"/>
      <c r="M102" s="3286"/>
      <c r="N102" s="3286"/>
      <c r="O102" s="3286"/>
      <c r="P102" s="174" t="s">
        <v>1962</v>
      </c>
      <c r="Q102" s="1547"/>
      <c r="R102" s="1089"/>
    </row>
    <row r="103" spans="1:31" s="475" customFormat="1" ht="21.75" customHeight="1">
      <c r="A103" s="153" t="s">
        <v>3392</v>
      </c>
      <c r="B103" s="3286" t="s">
        <v>2748</v>
      </c>
      <c r="C103" s="3286"/>
      <c r="D103" s="3286"/>
      <c r="E103" s="3286"/>
      <c r="F103" s="3286"/>
      <c r="G103" s="3286"/>
      <c r="H103" s="3286"/>
      <c r="I103" s="3286"/>
      <c r="J103" s="3286"/>
      <c r="K103" s="3286"/>
      <c r="L103" s="3286"/>
      <c r="M103" s="3286"/>
      <c r="N103" s="3286"/>
      <c r="O103" s="3286"/>
      <c r="P103" s="174" t="s">
        <v>3392</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3393</v>
      </c>
      <c r="B105" s="151" t="s">
        <v>3642</v>
      </c>
      <c r="L105" s="529"/>
      <c r="N105" s="457"/>
      <c r="P105" s="67" t="s">
        <v>3393</v>
      </c>
      <c r="Q105" s="1549"/>
      <c r="R105" s="1550"/>
    </row>
    <row r="106" spans="1:31" ht="9.75" customHeight="1">
      <c r="B106" s="152" t="s">
        <v>3785</v>
      </c>
      <c r="D106" s="152"/>
      <c r="E106" s="152"/>
      <c r="F106" s="152"/>
      <c r="G106" s="152"/>
      <c r="H106" s="41"/>
      <c r="I106" s="1544"/>
      <c r="J106" s="1544"/>
      <c r="K106" s="1544"/>
      <c r="L106" s="1536"/>
      <c r="M106" s="1536"/>
      <c r="N106" s="1536"/>
      <c r="O106" s="1536"/>
      <c r="P106" s="1536"/>
      <c r="Q106" s="1092"/>
    </row>
    <row r="107" spans="1:31" ht="44.25" customHeight="1">
      <c r="A107" s="3838" t="s">
        <v>4789</v>
      </c>
      <c r="B107" s="3839"/>
      <c r="C107" s="3839"/>
      <c r="D107" s="3839"/>
      <c r="E107" s="3839"/>
      <c r="F107" s="3839"/>
      <c r="G107" s="3839"/>
      <c r="H107" s="3839"/>
      <c r="I107" s="3839"/>
      <c r="J107" s="3839"/>
      <c r="K107" s="3839"/>
      <c r="L107" s="3839"/>
      <c r="M107" s="3839"/>
      <c r="N107" s="3839"/>
      <c r="O107" s="3839"/>
      <c r="P107" s="3839"/>
      <c r="Q107" s="3840"/>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25" customHeight="1">
      <c r="A109" s="3252"/>
      <c r="B109" s="3253"/>
      <c r="C109" s="3253"/>
      <c r="D109" s="3253"/>
      <c r="E109" s="3253"/>
      <c r="F109" s="3253"/>
      <c r="G109" s="3253"/>
      <c r="H109" s="3253"/>
      <c r="I109" s="3253"/>
      <c r="J109" s="3253"/>
      <c r="K109" s="3253"/>
      <c r="L109" s="3253"/>
      <c r="M109" s="3253"/>
      <c r="N109" s="3253"/>
      <c r="O109" s="3253"/>
      <c r="P109" s="3253"/>
      <c r="Q109" s="3254"/>
    </row>
    <row r="110" spans="1:31" ht="13.9" customHeight="1">
      <c r="A110" s="1542" t="s">
        <v>535</v>
      </c>
      <c r="B110" s="1542" t="s">
        <v>2671</v>
      </c>
      <c r="C110" s="1542"/>
      <c r="D110" s="1537"/>
      <c r="E110" s="1537"/>
      <c r="F110" s="1537"/>
      <c r="G110" s="1537"/>
      <c r="H110" s="1537"/>
      <c r="I110" s="1537"/>
      <c r="J110" s="1537"/>
      <c r="K110" s="1537"/>
      <c r="L110" s="1537"/>
      <c r="M110" s="1537"/>
      <c r="O110" s="143" t="s">
        <v>1881</v>
      </c>
      <c r="P110" s="3209"/>
      <c r="Q110" s="3210"/>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3011</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271" t="s">
        <v>4790</v>
      </c>
      <c r="N114" s="3272"/>
      <c r="O114" s="3272"/>
      <c r="P114" s="3283"/>
      <c r="Q114" s="657"/>
    </row>
    <row r="115" spans="1:32" ht="10.5" customHeight="1">
      <c r="A115" s="1544"/>
      <c r="B115" s="161" t="s">
        <v>1750</v>
      </c>
      <c r="C115" s="1093" t="s">
        <v>3494</v>
      </c>
      <c r="D115" s="1274"/>
      <c r="E115" s="1274"/>
      <c r="F115" s="1274"/>
      <c r="G115" s="1274"/>
      <c r="H115" s="1274"/>
      <c r="I115" s="1274"/>
      <c r="J115" s="1274"/>
      <c r="K115" s="1274"/>
      <c r="L115" s="1274"/>
      <c r="M115" s="1274"/>
      <c r="O115" s="161" t="s">
        <v>1750</v>
      </c>
      <c r="P115" s="251" t="s">
        <v>3011</v>
      </c>
      <c r="Q115" s="657"/>
    </row>
    <row r="116" spans="1:32" ht="10.5" customHeight="1">
      <c r="A116" s="1544"/>
      <c r="B116" s="68" t="s">
        <v>1751</v>
      </c>
      <c r="C116" s="1093" t="s">
        <v>3495</v>
      </c>
      <c r="D116" s="1274"/>
      <c r="E116" s="1274"/>
      <c r="F116" s="1274"/>
      <c r="G116" s="1274"/>
      <c r="H116" s="1274"/>
      <c r="I116" s="1274"/>
      <c r="J116" s="1274"/>
      <c r="K116" s="1274"/>
      <c r="L116" s="1274"/>
      <c r="M116" s="1274"/>
      <c r="O116" s="68" t="s">
        <v>1751</v>
      </c>
      <c r="P116" s="445" t="s">
        <v>3011</v>
      </c>
      <c r="Q116" s="657"/>
    </row>
    <row r="117" spans="1:32" ht="10.5" customHeight="1">
      <c r="A117" s="1544"/>
      <c r="B117" s="161" t="s">
        <v>1752</v>
      </c>
      <c r="C117" s="1093" t="s">
        <v>2899</v>
      </c>
      <c r="D117" s="1093"/>
      <c r="E117" s="1093"/>
      <c r="F117" s="1093"/>
      <c r="G117" s="1093"/>
      <c r="H117" s="1093"/>
      <c r="I117" s="1093"/>
      <c r="J117" s="1093"/>
      <c r="K117" s="1093"/>
      <c r="L117" s="1093"/>
      <c r="M117" s="1622"/>
      <c r="O117" s="161" t="s">
        <v>1752</v>
      </c>
      <c r="P117" s="445" t="s">
        <v>3011</v>
      </c>
      <c r="Q117" s="657"/>
    </row>
    <row r="118" spans="1:32" s="144" customFormat="1" ht="24.75" customHeight="1">
      <c r="A118" s="526"/>
      <c r="B118" s="174" t="s">
        <v>2381</v>
      </c>
      <c r="C118" s="3287" t="s">
        <v>2706</v>
      </c>
      <c r="D118" s="3287"/>
      <c r="E118" s="3287"/>
      <c r="F118" s="3287"/>
      <c r="G118" s="3287"/>
      <c r="H118" s="3287"/>
      <c r="I118" s="3287"/>
      <c r="J118" s="3287"/>
      <c r="K118" s="3287"/>
      <c r="L118" s="3287"/>
      <c r="M118" s="3287"/>
      <c r="N118" s="3287"/>
      <c r="O118" s="174" t="s">
        <v>2381</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3785</v>
      </c>
      <c r="D124" s="152"/>
      <c r="E124" s="152"/>
      <c r="F124" s="152"/>
      <c r="G124" s="152"/>
      <c r="H124" s="41"/>
      <c r="I124" s="1544"/>
      <c r="J124" s="1544"/>
      <c r="K124" s="1544"/>
      <c r="L124" s="1536"/>
      <c r="M124" s="1536"/>
      <c r="N124" s="1536"/>
      <c r="O124" s="1536"/>
      <c r="P124" s="1536"/>
      <c r="Q124" s="1092"/>
    </row>
    <row r="125" spans="1:32" ht="22.5" customHeight="1">
      <c r="A125" s="3838" t="s">
        <v>4791</v>
      </c>
      <c r="B125" s="3839"/>
      <c r="C125" s="3839"/>
      <c r="D125" s="3839"/>
      <c r="E125" s="3839"/>
      <c r="F125" s="3839"/>
      <c r="G125" s="3839"/>
      <c r="H125" s="3839"/>
      <c r="I125" s="3839"/>
      <c r="J125" s="3839"/>
      <c r="K125" s="3839"/>
      <c r="L125" s="3839"/>
      <c r="M125" s="3839"/>
      <c r="N125" s="3839"/>
      <c r="O125" s="3839"/>
      <c r="P125" s="3839"/>
      <c r="Q125" s="3840"/>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5" customHeight="1">
      <c r="A127" s="3252"/>
      <c r="B127" s="3253"/>
      <c r="C127" s="3253"/>
      <c r="D127" s="3253"/>
      <c r="E127" s="3253"/>
      <c r="F127" s="3253"/>
      <c r="G127" s="3253"/>
      <c r="H127" s="3253"/>
      <c r="I127" s="3253"/>
      <c r="J127" s="3253"/>
      <c r="K127" s="3253"/>
      <c r="L127" s="3253"/>
      <c r="M127" s="3253"/>
      <c r="N127" s="3253"/>
      <c r="O127" s="3253"/>
      <c r="P127" s="3253"/>
      <c r="Q127" s="3254"/>
    </row>
    <row r="128" spans="1:32" ht="13.9" customHeight="1">
      <c r="A128" s="1542" t="s">
        <v>780</v>
      </c>
      <c r="B128" s="1542" t="s">
        <v>2672</v>
      </c>
      <c r="C128" s="41"/>
      <c r="D128" s="1537"/>
      <c r="E128" s="1537"/>
      <c r="F128" s="1537"/>
      <c r="G128" s="1537"/>
      <c r="H128" s="1537"/>
      <c r="I128" s="1537"/>
      <c r="J128" s="1537"/>
      <c r="K128" s="1537"/>
      <c r="L128" s="1537"/>
      <c r="M128" s="1537"/>
      <c r="O128" s="143" t="s">
        <v>1881</v>
      </c>
      <c r="P128" s="3209"/>
      <c r="Q128" s="3210"/>
    </row>
    <row r="129" spans="1:17" ht="6.6" customHeight="1"/>
    <row r="130" spans="1:17" ht="12" customHeight="1">
      <c r="A130" s="48" t="s">
        <v>1999</v>
      </c>
      <c r="B130" s="53" t="s">
        <v>3665</v>
      </c>
      <c r="D130" s="145"/>
      <c r="E130" s="145"/>
      <c r="F130" s="145"/>
      <c r="G130" s="145"/>
      <c r="H130" s="145"/>
      <c r="I130" s="43"/>
      <c r="J130" s="43"/>
      <c r="K130" s="561" t="s">
        <v>1999</v>
      </c>
      <c r="L130" s="3289" t="s">
        <v>4792</v>
      </c>
      <c r="M130" s="3289"/>
      <c r="N130" s="3289"/>
      <c r="O130" s="3289"/>
      <c r="P130" s="3289"/>
      <c r="Q130" s="655"/>
    </row>
    <row r="131" spans="1:17" ht="12" customHeight="1">
      <c r="A131" s="48" t="s">
        <v>2001</v>
      </c>
      <c r="B131" s="53" t="s">
        <v>1550</v>
      </c>
      <c r="D131" s="145"/>
      <c r="E131" s="145"/>
      <c r="F131" s="145"/>
      <c r="G131" s="145"/>
      <c r="H131" s="145"/>
      <c r="I131" s="43"/>
      <c r="J131" s="43"/>
      <c r="K131" s="145"/>
      <c r="L131" s="1539"/>
      <c r="O131" s="561" t="s">
        <v>2001</v>
      </c>
      <c r="P131" s="1259" t="s">
        <v>3014</v>
      </c>
      <c r="Q131" s="1164"/>
    </row>
    <row r="132" spans="1:17" ht="12" customHeight="1">
      <c r="A132" s="48" t="s">
        <v>757</v>
      </c>
      <c r="B132" s="53" t="s">
        <v>152</v>
      </c>
      <c r="D132" s="145"/>
      <c r="E132" s="145"/>
      <c r="F132" s="145"/>
      <c r="G132" s="145"/>
      <c r="H132" s="145"/>
      <c r="I132" s="43"/>
      <c r="J132" s="43"/>
      <c r="K132" s="1539"/>
      <c r="L132" s="1539"/>
      <c r="O132" s="561" t="s">
        <v>757</v>
      </c>
      <c r="P132" s="252" t="s">
        <v>3014</v>
      </c>
      <c r="Q132" s="1107"/>
    </row>
    <row r="133" spans="1:17" ht="12" customHeight="1">
      <c r="A133" s="48"/>
      <c r="B133" s="67" t="s">
        <v>1750</v>
      </c>
      <c r="C133" s="53" t="s">
        <v>2705</v>
      </c>
      <c r="E133" s="145"/>
      <c r="F133" s="145"/>
      <c r="G133" s="145"/>
      <c r="H133" s="145"/>
      <c r="I133" s="43"/>
      <c r="J133" s="43"/>
      <c r="K133" s="68" t="s">
        <v>1750</v>
      </c>
      <c r="L133" s="3289"/>
      <c r="M133" s="3289"/>
      <c r="N133" s="3289"/>
      <c r="O133" s="3289"/>
      <c r="P133" s="3289"/>
      <c r="Q133" s="655"/>
    </row>
    <row r="134" spans="1:17" ht="12" customHeight="1">
      <c r="A134" s="150"/>
      <c r="B134" s="68" t="s">
        <v>1751</v>
      </c>
      <c r="C134" s="37" t="s">
        <v>3496</v>
      </c>
      <c r="E134" s="43"/>
      <c r="F134" s="43"/>
      <c r="G134" s="43"/>
      <c r="H134" s="53"/>
      <c r="I134" s="43"/>
      <c r="J134" s="43"/>
      <c r="K134" s="145"/>
      <c r="L134" s="1539"/>
      <c r="M134" s="1539"/>
      <c r="O134" s="561" t="s">
        <v>1751</v>
      </c>
      <c r="P134" s="119"/>
      <c r="Q134" s="661"/>
    </row>
    <row r="135" spans="1:17" ht="12" customHeight="1">
      <c r="A135" s="150"/>
      <c r="B135" s="561" t="s">
        <v>1752</v>
      </c>
      <c r="C135" s="53" t="s">
        <v>4170</v>
      </c>
      <c r="E135" s="43"/>
      <c r="F135" s="43"/>
      <c r="G135" s="43"/>
      <c r="H135" s="53"/>
      <c r="I135" s="43"/>
      <c r="J135" s="43"/>
      <c r="K135" s="145"/>
      <c r="L135" s="1539"/>
      <c r="M135" s="1539"/>
      <c r="N135" s="1539"/>
      <c r="O135" s="1539"/>
    </row>
    <row r="136" spans="1:17" ht="11.45" customHeight="1">
      <c r="A136" s="1536"/>
      <c r="B136" s="68"/>
      <c r="C136" s="3288"/>
      <c r="D136" s="3288"/>
      <c r="E136" s="3288"/>
      <c r="F136" s="3288"/>
      <c r="G136" s="3288"/>
      <c r="H136" s="3288"/>
      <c r="I136" s="3288"/>
      <c r="J136" s="3288"/>
      <c r="K136" s="3288"/>
      <c r="L136" s="3288"/>
      <c r="M136" s="3288"/>
      <c r="N136" s="3288"/>
      <c r="O136" s="3288"/>
      <c r="P136" s="3288"/>
      <c r="Q136" s="3288"/>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t="s">
        <v>3014</v>
      </c>
      <c r="Q138" s="656"/>
    </row>
    <row r="139" spans="1:17" ht="12" customHeight="1">
      <c r="A139" s="48"/>
      <c r="B139" s="68" t="s">
        <v>1751</v>
      </c>
      <c r="C139" s="53" t="s">
        <v>1273</v>
      </c>
      <c r="E139" s="145"/>
      <c r="F139" s="145"/>
      <c r="G139" s="145"/>
      <c r="H139" s="43"/>
      <c r="I139" s="43"/>
      <c r="J139" s="43"/>
      <c r="K139" s="145"/>
      <c r="L139" s="1539"/>
      <c r="M139" s="1539"/>
      <c r="O139" s="68" t="s">
        <v>1751</v>
      </c>
      <c r="P139" s="445" t="s">
        <v>3011</v>
      </c>
      <c r="Q139" s="657"/>
    </row>
    <row r="140" spans="1:17" ht="12" customHeight="1">
      <c r="A140" s="48"/>
      <c r="B140" s="68"/>
      <c r="C140" s="53" t="s">
        <v>2649</v>
      </c>
      <c r="E140" s="561" t="s">
        <v>2451</v>
      </c>
      <c r="F140" s="53" t="s">
        <v>2650</v>
      </c>
      <c r="G140" s="43"/>
      <c r="H140" s="53"/>
      <c r="I140" s="43"/>
      <c r="J140" s="43"/>
      <c r="K140" s="145"/>
      <c r="L140" s="1539"/>
      <c r="M140" s="1539"/>
      <c r="O140" s="561" t="s">
        <v>2451</v>
      </c>
      <c r="P140" s="676">
        <v>0.3</v>
      </c>
      <c r="Q140" s="1039"/>
    </row>
    <row r="141" spans="1:17" ht="12" customHeight="1">
      <c r="A141" s="48"/>
      <c r="B141" s="68"/>
      <c r="E141" s="561" t="s">
        <v>2452</v>
      </c>
      <c r="F141" s="53" t="s">
        <v>2651</v>
      </c>
      <c r="G141" s="43"/>
      <c r="H141" s="53"/>
      <c r="I141" s="43"/>
      <c r="J141" s="43"/>
      <c r="K141" s="145"/>
      <c r="L141" s="1539"/>
      <c r="M141" s="1539"/>
      <c r="O141" s="561" t="s">
        <v>2452</v>
      </c>
      <c r="P141" s="445" t="s">
        <v>3014</v>
      </c>
      <c r="Q141" s="657"/>
    </row>
    <row r="142" spans="1:17" ht="12" customHeight="1">
      <c r="A142" s="48"/>
      <c r="B142" s="68"/>
      <c r="E142" s="561" t="s">
        <v>2453</v>
      </c>
      <c r="F142" s="53" t="s">
        <v>2652</v>
      </c>
      <c r="G142" s="43"/>
      <c r="H142" s="53"/>
      <c r="I142" s="43"/>
      <c r="J142" s="43"/>
      <c r="K142" s="145"/>
      <c r="L142" s="1539"/>
      <c r="M142" s="1539"/>
      <c r="O142" s="561" t="s">
        <v>2453</v>
      </c>
      <c r="P142" s="445" t="s">
        <v>3011</v>
      </c>
      <c r="Q142" s="657"/>
    </row>
    <row r="143" spans="1:17" ht="12" customHeight="1">
      <c r="A143" s="48"/>
      <c r="B143" s="68" t="s">
        <v>1752</v>
      </c>
      <c r="C143" s="53" t="s">
        <v>1274</v>
      </c>
      <c r="E143" s="145"/>
      <c r="F143" s="145"/>
      <c r="G143" s="145"/>
      <c r="H143" s="53"/>
      <c r="I143" s="43"/>
      <c r="J143" s="43"/>
      <c r="K143" s="145"/>
      <c r="L143" s="1539"/>
      <c r="M143" s="1539"/>
      <c r="O143" s="68" t="s">
        <v>1752</v>
      </c>
      <c r="P143" s="445" t="s">
        <v>3011</v>
      </c>
      <c r="Q143" s="657"/>
    </row>
    <row r="144" spans="1:17" ht="12" customHeight="1">
      <c r="A144" s="48"/>
      <c r="B144" s="68"/>
      <c r="C144" s="53" t="s">
        <v>2649</v>
      </c>
      <c r="E144" s="561" t="s">
        <v>2451</v>
      </c>
      <c r="F144" s="53" t="s">
        <v>2653</v>
      </c>
      <c r="G144" s="43"/>
      <c r="H144" s="53"/>
      <c r="I144" s="43"/>
      <c r="J144" s="43"/>
      <c r="K144" s="145"/>
      <c r="L144" s="1539"/>
      <c r="O144" s="561" t="s">
        <v>2451</v>
      </c>
      <c r="P144" s="676">
        <v>0.3</v>
      </c>
      <c r="Q144" s="1039"/>
    </row>
    <row r="145" spans="1:18" ht="12" customHeight="1">
      <c r="A145" s="48"/>
      <c r="B145" s="68"/>
      <c r="E145" s="561" t="s">
        <v>2452</v>
      </c>
      <c r="F145" s="53" t="s">
        <v>2654</v>
      </c>
      <c r="G145" s="43"/>
      <c r="H145" s="53"/>
      <c r="I145" s="43"/>
      <c r="J145" s="43"/>
      <c r="O145" s="561" t="s">
        <v>2452</v>
      </c>
      <c r="P145" s="445" t="s">
        <v>3014</v>
      </c>
      <c r="Q145" s="657"/>
    </row>
    <row r="146" spans="1:18" ht="12" customHeight="1">
      <c r="A146" s="48"/>
      <c r="B146" s="68"/>
      <c r="E146" s="561" t="s">
        <v>2453</v>
      </c>
      <c r="F146" s="53" t="s">
        <v>2652</v>
      </c>
      <c r="G146" s="43"/>
      <c r="H146" s="53"/>
      <c r="I146" s="43"/>
      <c r="J146" s="43"/>
      <c r="O146" s="561" t="s">
        <v>2453</v>
      </c>
      <c r="P146" s="445" t="s">
        <v>3011</v>
      </c>
      <c r="Q146" s="657"/>
    </row>
    <row r="147" spans="1:18" ht="12" customHeight="1">
      <c r="A147" s="37"/>
      <c r="B147" s="68" t="s">
        <v>2381</v>
      </c>
      <c r="C147" s="53" t="s">
        <v>2655</v>
      </c>
      <c r="E147" s="145"/>
      <c r="F147" s="145"/>
      <c r="G147" s="145"/>
      <c r="H147" s="145"/>
      <c r="I147" s="43"/>
      <c r="J147" s="43"/>
      <c r="O147" s="68" t="s">
        <v>2381</v>
      </c>
      <c r="P147" s="252" t="s">
        <v>3011</v>
      </c>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2511</v>
      </c>
      <c r="E149" s="145"/>
      <c r="F149" s="251" t="s">
        <v>3014</v>
      </c>
      <c r="G149" s="656"/>
      <c r="H149" s="68" t="s">
        <v>1561</v>
      </c>
      <c r="I149" s="56" t="s">
        <v>2657</v>
      </c>
      <c r="L149" s="251" t="s">
        <v>3014</v>
      </c>
      <c r="M149" s="656"/>
      <c r="N149" s="561" t="s">
        <v>517</v>
      </c>
      <c r="O149" s="53" t="s">
        <v>1564</v>
      </c>
      <c r="P149" s="251" t="s">
        <v>3014</v>
      </c>
      <c r="Q149" s="656"/>
    </row>
    <row r="150" spans="1:18" ht="12" customHeight="1">
      <c r="A150" s="37"/>
      <c r="B150" s="68" t="s">
        <v>1751</v>
      </c>
      <c r="C150" s="53" t="s">
        <v>2821</v>
      </c>
      <c r="E150" s="145"/>
      <c r="F150" s="445" t="s">
        <v>3014</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3014</v>
      </c>
      <c r="G151" s="657"/>
      <c r="H151" s="561" t="s">
        <v>99</v>
      </c>
      <c r="I151" s="56" t="s">
        <v>3881</v>
      </c>
      <c r="L151" s="445" t="s">
        <v>3014</v>
      </c>
      <c r="M151" s="657"/>
      <c r="N151" s="561" t="s">
        <v>2823</v>
      </c>
      <c r="O151" s="53" t="s">
        <v>1565</v>
      </c>
      <c r="P151" s="252" t="s">
        <v>3014</v>
      </c>
      <c r="Q151" s="658"/>
    </row>
    <row r="152" spans="1:18" ht="12" customHeight="1">
      <c r="A152" s="37"/>
      <c r="B152" s="68" t="s">
        <v>2381</v>
      </c>
      <c r="C152" s="53" t="s">
        <v>2824</v>
      </c>
      <c r="E152" s="145"/>
      <c r="F152" s="252" t="s">
        <v>3014</v>
      </c>
      <c r="G152" s="658"/>
      <c r="H152" s="561" t="s">
        <v>516</v>
      </c>
      <c r="I152" s="53" t="s">
        <v>2820</v>
      </c>
      <c r="L152" s="252" t="s">
        <v>3014</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12" customHeight="1">
      <c r="A154" s="37"/>
      <c r="C154" s="3288" t="s">
        <v>2842</v>
      </c>
      <c r="D154" s="3288"/>
      <c r="E154" s="3288"/>
      <c r="F154" s="3288"/>
      <c r="G154" s="3288"/>
      <c r="H154" s="3288"/>
      <c r="I154" s="3288"/>
      <c r="J154" s="3288"/>
      <c r="K154" s="3288"/>
      <c r="L154" s="3288"/>
      <c r="M154" s="3288"/>
      <c r="N154" s="3288"/>
      <c r="O154" s="3288"/>
      <c r="P154" s="3288"/>
      <c r="Q154" s="3288"/>
    </row>
    <row r="155" spans="1:18" ht="12" customHeight="1">
      <c r="A155" s="48" t="s">
        <v>1749</v>
      </c>
      <c r="B155" s="53" t="s">
        <v>3595</v>
      </c>
      <c r="D155" s="145"/>
      <c r="E155" s="145"/>
      <c r="F155" s="145"/>
      <c r="G155" s="145"/>
      <c r="H155" s="145"/>
      <c r="I155" s="43"/>
      <c r="J155" s="43"/>
      <c r="K155" s="145"/>
      <c r="L155" s="145"/>
      <c r="M155" s="1539"/>
    </row>
    <row r="156" spans="1:18" ht="12" customHeight="1">
      <c r="A156" s="43"/>
      <c r="B156" s="68" t="s">
        <v>1750</v>
      </c>
      <c r="C156" s="53" t="s">
        <v>2825</v>
      </c>
      <c r="E156" s="145"/>
      <c r="F156" s="145"/>
      <c r="G156" s="145"/>
      <c r="H156" s="145"/>
      <c r="O156" s="68" t="s">
        <v>1750</v>
      </c>
      <c r="P156" s="251"/>
      <c r="Q156" s="656"/>
    </row>
    <row r="157" spans="1:18" ht="12" customHeight="1">
      <c r="A157" s="1544"/>
      <c r="B157" s="68" t="s">
        <v>1751</v>
      </c>
      <c r="C157" s="53" t="s">
        <v>495</v>
      </c>
      <c r="E157" s="53"/>
      <c r="F157" s="53"/>
      <c r="G157" s="53"/>
      <c r="H157" s="53"/>
      <c r="I157" s="43"/>
      <c r="J157" s="43"/>
      <c r="K157" s="53"/>
      <c r="L157" s="53"/>
      <c r="M157" s="53"/>
      <c r="O157" s="68" t="s">
        <v>1751</v>
      </c>
      <c r="P157" s="445"/>
      <c r="Q157" s="657"/>
    </row>
    <row r="158" spans="1:18" ht="12" customHeight="1">
      <c r="A158" s="1544"/>
      <c r="B158" s="68" t="s">
        <v>1752</v>
      </c>
      <c r="C158" s="53" t="s">
        <v>687</v>
      </c>
      <c r="E158" s="53"/>
      <c r="F158" s="53"/>
      <c r="G158" s="53"/>
      <c r="H158" s="53"/>
      <c r="I158" s="43"/>
      <c r="J158" s="43"/>
      <c r="K158" s="53"/>
      <c r="L158" s="53"/>
      <c r="M158" s="53"/>
      <c r="O158" s="68" t="s">
        <v>1752</v>
      </c>
      <c r="P158" s="445"/>
      <c r="Q158" s="657"/>
    </row>
    <row r="159" spans="1:18" ht="12" customHeight="1">
      <c r="A159" s="48" t="s">
        <v>1962</v>
      </c>
      <c r="B159" s="53" t="s">
        <v>1766</v>
      </c>
      <c r="D159" s="145"/>
      <c r="E159" s="145"/>
      <c r="F159" s="145"/>
      <c r="G159" s="145"/>
      <c r="H159" s="145"/>
      <c r="I159" s="43"/>
      <c r="J159" s="43"/>
      <c r="K159" s="145"/>
      <c r="L159" s="145"/>
      <c r="M159" s="1539"/>
      <c r="O159" s="561" t="s">
        <v>1962</v>
      </c>
      <c r="P159" s="252"/>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45" customHeight="1">
      <c r="A161" s="153" t="s">
        <v>3392</v>
      </c>
      <c r="B161" s="3287" t="s">
        <v>149</v>
      </c>
      <c r="C161" s="3287"/>
      <c r="D161" s="3287"/>
      <c r="E161" s="3287"/>
      <c r="F161" s="3287"/>
      <c r="G161" s="3287"/>
      <c r="H161" s="3287"/>
      <c r="I161" s="3287"/>
      <c r="J161" s="3287"/>
      <c r="K161" s="3287"/>
      <c r="L161" s="3287"/>
      <c r="M161" s="174" t="s">
        <v>3392</v>
      </c>
      <c r="N161" s="3290" t="s">
        <v>1784</v>
      </c>
      <c r="O161" s="3291"/>
      <c r="P161" s="3292" t="s">
        <v>1784</v>
      </c>
      <c r="Q161" s="3293"/>
      <c r="AE161" s="5"/>
      <c r="AF161" s="5"/>
    </row>
    <row r="162" spans="1:32" s="1" customFormat="1" ht="12" customHeight="1">
      <c r="A162" s="48" t="s">
        <v>622</v>
      </c>
      <c r="B162" s="125" t="s">
        <v>1</v>
      </c>
      <c r="D162" s="1543"/>
      <c r="E162" s="1543"/>
      <c r="G162" s="561" t="s">
        <v>622</v>
      </c>
      <c r="H162" s="3280"/>
      <c r="I162" s="3281"/>
      <c r="J162" s="3281"/>
      <c r="K162" s="3281"/>
      <c r="L162" s="3281"/>
      <c r="M162" s="3281"/>
      <c r="N162" s="3281"/>
      <c r="O162" s="3281"/>
      <c r="P162" s="3282"/>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c r="Q163" s="654"/>
      <c r="AE163" s="5"/>
      <c r="AF163" s="5"/>
    </row>
    <row r="164" spans="1:32" ht="11.25" customHeight="1">
      <c r="B164" s="152" t="s">
        <v>3785</v>
      </c>
      <c r="D164" s="152"/>
      <c r="E164" s="152"/>
      <c r="F164" s="152"/>
      <c r="G164" s="152"/>
      <c r="H164" s="41"/>
      <c r="I164" s="1544"/>
      <c r="J164" s="1544"/>
      <c r="K164" s="1544"/>
      <c r="L164" s="1536"/>
      <c r="M164" s="1536"/>
      <c r="N164" s="1536"/>
      <c r="O164" s="1536"/>
      <c r="P164" s="1536"/>
      <c r="Q164" s="1092"/>
    </row>
    <row r="165" spans="1:32" ht="131.25" customHeight="1">
      <c r="A165" s="3838" t="s">
        <v>4793</v>
      </c>
      <c r="B165" s="3839"/>
      <c r="C165" s="3839"/>
      <c r="D165" s="3839"/>
      <c r="E165" s="3839"/>
      <c r="F165" s="3839"/>
      <c r="G165" s="3839"/>
      <c r="H165" s="3839"/>
      <c r="I165" s="3839"/>
      <c r="J165" s="3839"/>
      <c r="K165" s="3839"/>
      <c r="L165" s="3839"/>
      <c r="M165" s="3839"/>
      <c r="N165" s="3839"/>
      <c r="O165" s="3839"/>
      <c r="P165" s="3839"/>
      <c r="Q165" s="3840"/>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45" customHeight="1">
      <c r="A168" s="3252"/>
      <c r="B168" s="3253"/>
      <c r="C168" s="3253"/>
      <c r="D168" s="3253"/>
      <c r="E168" s="3253"/>
      <c r="F168" s="3253"/>
      <c r="G168" s="3253"/>
      <c r="H168" s="3253"/>
      <c r="I168" s="3253"/>
      <c r="J168" s="3253"/>
      <c r="K168" s="3253"/>
      <c r="L168" s="3253"/>
      <c r="M168" s="3253"/>
      <c r="N168" s="3253"/>
      <c r="O168" s="3253"/>
      <c r="P168" s="3253"/>
      <c r="Q168" s="3254"/>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 customHeight="1">
      <c r="A170" s="1542" t="s">
        <v>294</v>
      </c>
      <c r="B170" s="1542" t="s">
        <v>2673</v>
      </c>
      <c r="C170" s="1542"/>
      <c r="D170" s="1537"/>
      <c r="E170" s="1537"/>
      <c r="F170" s="1537"/>
      <c r="G170" s="1537"/>
      <c r="H170" s="1537"/>
      <c r="I170" s="1537"/>
      <c r="J170" s="1537"/>
      <c r="K170" s="1537"/>
      <c r="O170" s="143" t="s">
        <v>1881</v>
      </c>
      <c r="P170" s="3209"/>
      <c r="Q170" s="3210"/>
    </row>
    <row r="171" spans="1:32" ht="12" customHeight="1">
      <c r="A171" s="48" t="s">
        <v>1999</v>
      </c>
      <c r="B171" s="53" t="s">
        <v>3941</v>
      </c>
      <c r="D171" s="53"/>
      <c r="E171" s="53"/>
      <c r="F171" s="53"/>
      <c r="G171" s="53"/>
      <c r="I171" s="53" t="s">
        <v>2725</v>
      </c>
      <c r="K171" s="3361">
        <v>43819</v>
      </c>
      <c r="L171" s="3362"/>
      <c r="N171" s="53"/>
      <c r="O171" s="561" t="s">
        <v>1999</v>
      </c>
      <c r="P171" s="104" t="s">
        <v>3011</v>
      </c>
      <c r="Q171" s="654"/>
    </row>
    <row r="172" spans="1:32" ht="12" customHeight="1">
      <c r="A172" s="48" t="s">
        <v>2001</v>
      </c>
      <c r="B172" s="151" t="s">
        <v>151</v>
      </c>
      <c r="D172" s="151"/>
      <c r="E172" s="151"/>
      <c r="F172" s="151"/>
      <c r="G172" s="151"/>
      <c r="H172" s="151"/>
      <c r="M172" s="561" t="s">
        <v>2001</v>
      </c>
      <c r="N172" s="3363" t="s">
        <v>4794</v>
      </c>
      <c r="O172" s="3364"/>
      <c r="P172" s="3365" t="s">
        <v>1784</v>
      </c>
      <c r="Q172" s="3366"/>
    </row>
    <row r="173" spans="1:32" ht="12" customHeight="1">
      <c r="A173" s="48" t="s">
        <v>757</v>
      </c>
      <c r="B173" s="151" t="s">
        <v>688</v>
      </c>
      <c r="D173" s="151"/>
      <c r="E173" s="151"/>
      <c r="F173" s="151"/>
      <c r="G173" s="151"/>
      <c r="H173" s="151"/>
      <c r="J173" s="561" t="s">
        <v>757</v>
      </c>
      <c r="K173" s="3271" t="s">
        <v>4795</v>
      </c>
      <c r="L173" s="3272"/>
      <c r="M173" s="3272"/>
      <c r="N173" s="3272"/>
      <c r="O173" s="3272"/>
      <c r="P173" s="3273"/>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3785</v>
      </c>
      <c r="D175" s="152"/>
      <c r="E175" s="152"/>
      <c r="F175" s="152"/>
      <c r="G175" s="152"/>
      <c r="H175" s="41"/>
      <c r="I175" s="1544"/>
      <c r="J175" s="1544"/>
      <c r="K175" s="1544"/>
      <c r="L175" s="1536"/>
      <c r="M175" s="1536"/>
      <c r="N175" s="1536"/>
      <c r="O175" s="1536"/>
      <c r="P175" s="1536"/>
      <c r="Q175" s="1092"/>
    </row>
    <row r="176" spans="1:32" ht="36.75" customHeight="1">
      <c r="A176" s="3838" t="s">
        <v>4796</v>
      </c>
      <c r="B176" s="3839"/>
      <c r="C176" s="3839"/>
      <c r="D176" s="3839"/>
      <c r="E176" s="3839"/>
      <c r="F176" s="3839"/>
      <c r="G176" s="3839"/>
      <c r="H176" s="3839"/>
      <c r="I176" s="3839"/>
      <c r="J176" s="3839"/>
      <c r="K176" s="3839"/>
      <c r="L176" s="3839"/>
      <c r="M176" s="3839"/>
      <c r="N176" s="3839"/>
      <c r="O176" s="3839"/>
      <c r="P176" s="3839"/>
      <c r="Q176" s="3840"/>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45" customHeight="1">
      <c r="A178" s="3252"/>
      <c r="B178" s="3253"/>
      <c r="C178" s="3253"/>
      <c r="D178" s="3253"/>
      <c r="E178" s="3253"/>
      <c r="F178" s="3253"/>
      <c r="G178" s="3253"/>
      <c r="H178" s="3253"/>
      <c r="I178" s="3253"/>
      <c r="J178" s="3253"/>
      <c r="K178" s="3253"/>
      <c r="L178" s="3253"/>
      <c r="M178" s="3253"/>
      <c r="N178" s="3253"/>
      <c r="O178" s="3253"/>
      <c r="P178" s="3253"/>
      <c r="Q178" s="3254"/>
    </row>
    <row r="179" spans="1:31" ht="3" customHeight="1">
      <c r="A179" s="1536"/>
      <c r="B179" s="1544"/>
      <c r="C179" s="1537"/>
      <c r="D179" s="1537"/>
      <c r="E179" s="1537"/>
      <c r="F179" s="1537"/>
      <c r="G179" s="1537"/>
      <c r="H179" s="1537"/>
      <c r="I179" s="1537"/>
      <c r="J179" s="1537"/>
      <c r="K179" s="1537"/>
      <c r="L179" s="1537"/>
      <c r="M179" s="1537"/>
      <c r="Q179" s="1536"/>
    </row>
    <row r="180" spans="1:31" ht="13.9" customHeight="1">
      <c r="A180" s="1542" t="s">
        <v>428</v>
      </c>
      <c r="B180" s="1542" t="s">
        <v>2674</v>
      </c>
      <c r="C180" s="1542"/>
      <c r="D180" s="1537"/>
      <c r="E180" s="1537"/>
      <c r="F180" s="1537"/>
      <c r="G180" s="1537"/>
      <c r="H180" s="1537"/>
      <c r="I180" s="1537"/>
      <c r="J180" s="1537"/>
      <c r="K180" s="1537"/>
      <c r="L180" s="1537"/>
      <c r="M180" s="1537"/>
      <c r="O180" s="143" t="s">
        <v>1881</v>
      </c>
      <c r="P180" s="3209"/>
      <c r="Q180" s="3210"/>
    </row>
    <row r="181" spans="1:31" ht="21.75" customHeight="1">
      <c r="A181" s="153" t="s">
        <v>1999</v>
      </c>
      <c r="B181" s="3287" t="s">
        <v>3774</v>
      </c>
      <c r="C181" s="3287"/>
      <c r="D181" s="3287"/>
      <c r="E181" s="3287"/>
      <c r="F181" s="3287"/>
      <c r="G181" s="3287"/>
      <c r="H181" s="3287"/>
      <c r="I181" s="3287"/>
      <c r="J181" s="3287"/>
      <c r="K181" s="3287"/>
      <c r="L181" s="3287"/>
      <c r="M181" s="3287"/>
      <c r="N181" s="3287"/>
      <c r="O181" s="174" t="s">
        <v>1999</v>
      </c>
      <c r="P181" s="1590" t="s">
        <v>3011</v>
      </c>
      <c r="Q181" s="1589"/>
    </row>
    <row r="182" spans="1:31" ht="22.15" customHeight="1">
      <c r="A182" s="153" t="s">
        <v>2001</v>
      </c>
      <c r="B182" s="3287" t="s">
        <v>3666</v>
      </c>
      <c r="C182" s="3287"/>
      <c r="D182" s="3287"/>
      <c r="E182" s="3287"/>
      <c r="F182" s="3287"/>
      <c r="G182" s="3287"/>
      <c r="H182" s="3287"/>
      <c r="I182" s="3287"/>
      <c r="J182" s="3287"/>
      <c r="K182" s="3287"/>
      <c r="L182" s="3287"/>
      <c r="M182" s="3287"/>
      <c r="N182" s="3287"/>
      <c r="O182" s="174" t="s">
        <v>2001</v>
      </c>
      <c r="P182" s="675" t="s">
        <v>4798</v>
      </c>
      <c r="Q182" s="659"/>
    </row>
    <row r="183" spans="1:31" ht="22.15" customHeight="1">
      <c r="A183" s="153" t="s">
        <v>757</v>
      </c>
      <c r="B183" s="3287" t="s">
        <v>3775</v>
      </c>
      <c r="C183" s="3287"/>
      <c r="D183" s="3287"/>
      <c r="E183" s="3287"/>
      <c r="F183" s="3287"/>
      <c r="G183" s="3287"/>
      <c r="H183" s="3287"/>
      <c r="I183" s="3287"/>
      <c r="J183" s="3287"/>
      <c r="K183" s="3287"/>
      <c r="L183" s="3287"/>
      <c r="M183" s="3287"/>
      <c r="N183" s="3287"/>
      <c r="O183" s="174" t="s">
        <v>757</v>
      </c>
      <c r="P183" s="675" t="s">
        <v>4798</v>
      </c>
      <c r="Q183" s="659"/>
    </row>
    <row r="184" spans="1:31" ht="21.75" customHeight="1">
      <c r="A184" s="153" t="s">
        <v>2131</v>
      </c>
      <c r="B184" s="3287" t="s">
        <v>2659</v>
      </c>
      <c r="C184" s="3287"/>
      <c r="D184" s="3287"/>
      <c r="E184" s="3287"/>
      <c r="F184" s="3287"/>
      <c r="G184" s="3287"/>
      <c r="H184" s="3287"/>
      <c r="I184" s="3287"/>
      <c r="J184" s="3287"/>
      <c r="K184" s="3287"/>
      <c r="L184" s="3287"/>
      <c r="M184" s="3287"/>
      <c r="N184" s="3287"/>
      <c r="O184" s="174" t="s">
        <v>2131</v>
      </c>
      <c r="P184" s="1594" t="s">
        <v>4798</v>
      </c>
      <c r="Q184" s="1591"/>
    </row>
    <row r="185" spans="1:31" ht="12" customHeight="1">
      <c r="B185" s="152" t="s">
        <v>3785</v>
      </c>
      <c r="D185" s="152"/>
      <c r="E185" s="152"/>
      <c r="F185" s="152"/>
      <c r="G185" s="152"/>
      <c r="H185" s="41"/>
      <c r="I185" s="1544"/>
      <c r="J185" s="1544"/>
      <c r="K185" s="1544"/>
      <c r="L185" s="1536"/>
      <c r="M185" s="1536"/>
      <c r="N185" s="1536"/>
      <c r="O185" s="1536"/>
      <c r="P185" s="1536"/>
      <c r="Q185" s="1092"/>
    </row>
    <row r="186" spans="1:31" ht="11.45" customHeight="1">
      <c r="A186" s="3838" t="s">
        <v>4797</v>
      </c>
      <c r="B186" s="3839"/>
      <c r="C186" s="3839"/>
      <c r="D186" s="3839"/>
      <c r="E186" s="3839"/>
      <c r="F186" s="3839"/>
      <c r="G186" s="3839"/>
      <c r="H186" s="3839"/>
      <c r="I186" s="3839"/>
      <c r="J186" s="3839"/>
      <c r="K186" s="3839"/>
      <c r="L186" s="3839"/>
      <c r="M186" s="3839"/>
      <c r="N186" s="3839"/>
      <c r="O186" s="3839"/>
      <c r="P186" s="3839"/>
      <c r="Q186" s="3840"/>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45" customHeight="1">
      <c r="A188" s="3252"/>
      <c r="B188" s="3253"/>
      <c r="C188" s="3253"/>
      <c r="D188" s="3253"/>
      <c r="E188" s="3253"/>
      <c r="F188" s="3253"/>
      <c r="G188" s="3253"/>
      <c r="H188" s="3253"/>
      <c r="I188" s="3253"/>
      <c r="J188" s="3253"/>
      <c r="K188" s="3253"/>
      <c r="L188" s="3253"/>
      <c r="M188" s="3253"/>
      <c r="N188" s="3253"/>
      <c r="O188" s="3253"/>
      <c r="P188" s="3253"/>
      <c r="Q188" s="3254"/>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 customHeight="1">
      <c r="A190" s="1534" t="s">
        <v>364</v>
      </c>
      <c r="B190" s="3164" t="s">
        <v>2675</v>
      </c>
      <c r="C190" s="3164"/>
      <c r="D190" s="3164"/>
      <c r="O190" s="143" t="s">
        <v>1881</v>
      </c>
      <c r="P190" s="3209"/>
      <c r="Q190" s="3210"/>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287" t="s">
        <v>2649</v>
      </c>
      <c r="C194" s="3287"/>
      <c r="D194" s="561" t="s">
        <v>1750</v>
      </c>
      <c r="E194" s="1093" t="s">
        <v>2662</v>
      </c>
      <c r="G194" s="1068"/>
      <c r="H194" s="1068"/>
      <c r="I194" s="1068"/>
      <c r="J194" s="1068"/>
      <c r="K194" s="1068"/>
      <c r="L194" s="1068"/>
      <c r="M194" s="1068"/>
      <c r="O194" s="536" t="s">
        <v>1750</v>
      </c>
      <c r="P194" s="445" t="s">
        <v>3011</v>
      </c>
      <c r="Q194" s="657"/>
    </row>
    <row r="195" spans="1:32" ht="12" customHeight="1">
      <c r="A195" s="153"/>
      <c r="B195" s="3287"/>
      <c r="C195" s="3287"/>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287" t="s">
        <v>3776</v>
      </c>
      <c r="F196" s="3287"/>
      <c r="G196" s="3287"/>
      <c r="H196" s="3287"/>
      <c r="I196" s="3287"/>
      <c r="J196" s="3287"/>
      <c r="K196" s="3287"/>
      <c r="L196" s="3287"/>
      <c r="M196" s="3287"/>
      <c r="N196" s="3287"/>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287" t="s">
        <v>2665</v>
      </c>
      <c r="F198" s="3287"/>
      <c r="G198" s="3287"/>
      <c r="H198" s="3287"/>
      <c r="I198" s="3287"/>
      <c r="J198" s="3287"/>
      <c r="K198" s="3287"/>
      <c r="L198" s="3287"/>
      <c r="M198" s="3287"/>
      <c r="N198" s="3287"/>
      <c r="O198" s="174" t="s">
        <v>1561</v>
      </c>
      <c r="P198" s="675" t="s">
        <v>4798</v>
      </c>
      <c r="Q198" s="659"/>
      <c r="AE198" s="564"/>
      <c r="AF198" s="564"/>
    </row>
    <row r="199" spans="1:32" s="144" customFormat="1" ht="21.75" customHeight="1">
      <c r="A199" s="153"/>
      <c r="C199" s="1068"/>
      <c r="D199" s="174" t="s">
        <v>1562</v>
      </c>
      <c r="E199" s="3287" t="s">
        <v>3935</v>
      </c>
      <c r="F199" s="3287"/>
      <c r="G199" s="3287"/>
      <c r="H199" s="3287"/>
      <c r="I199" s="3287"/>
      <c r="J199" s="3287"/>
      <c r="K199" s="3287"/>
      <c r="L199" s="3287"/>
      <c r="M199" s="3287"/>
      <c r="N199" s="3287"/>
      <c r="O199" s="174" t="s">
        <v>1562</v>
      </c>
      <c r="P199" s="675" t="s">
        <v>4798</v>
      </c>
      <c r="Q199" s="659"/>
      <c r="AE199" s="564"/>
      <c r="AF199" s="564"/>
    </row>
    <row r="200" spans="1:32" ht="21.75" customHeight="1">
      <c r="A200" s="153" t="s">
        <v>2131</v>
      </c>
      <c r="B200" s="3287" t="s">
        <v>2666</v>
      </c>
      <c r="C200" s="3287"/>
      <c r="D200" s="3287"/>
      <c r="E200" s="3287"/>
      <c r="F200" s="3287"/>
      <c r="G200" s="3287"/>
      <c r="H200" s="3287"/>
      <c r="I200" s="3287"/>
      <c r="J200" s="3287"/>
      <c r="K200" s="3287"/>
      <c r="L200" s="3287"/>
      <c r="M200" s="3287"/>
      <c r="N200" s="3287"/>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3785</v>
      </c>
      <c r="D202" s="152"/>
      <c r="E202" s="152"/>
      <c r="F202" s="152"/>
      <c r="G202" s="152"/>
      <c r="H202" s="41"/>
      <c r="I202" s="1544"/>
      <c r="J202" s="1544"/>
      <c r="K202" s="1544"/>
      <c r="L202" s="1536"/>
      <c r="M202" s="1536"/>
      <c r="N202" s="1536"/>
      <c r="O202" s="1536"/>
      <c r="P202" s="1536"/>
      <c r="Q202" s="1092"/>
    </row>
    <row r="203" spans="1:32" ht="42.75" customHeight="1">
      <c r="A203" s="3838" t="s">
        <v>4799</v>
      </c>
      <c r="B203" s="3839"/>
      <c r="C203" s="3839"/>
      <c r="D203" s="3839"/>
      <c r="E203" s="3839"/>
      <c r="F203" s="3839"/>
      <c r="G203" s="3839"/>
      <c r="H203" s="3839"/>
      <c r="I203" s="3839"/>
      <c r="J203" s="3839"/>
      <c r="K203" s="3839"/>
      <c r="L203" s="3839"/>
      <c r="M203" s="3839"/>
      <c r="N203" s="3839"/>
      <c r="O203" s="3839"/>
      <c r="P203" s="3839"/>
      <c r="Q203" s="3840"/>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45" customHeight="1">
      <c r="A205" s="3252"/>
      <c r="B205" s="3253"/>
      <c r="C205" s="3253"/>
      <c r="D205" s="3253"/>
      <c r="E205" s="3253"/>
      <c r="F205" s="3253"/>
      <c r="G205" s="3253"/>
      <c r="H205" s="3253"/>
      <c r="I205" s="3253"/>
      <c r="J205" s="3253"/>
      <c r="K205" s="3253"/>
      <c r="L205" s="3253"/>
      <c r="M205" s="3253"/>
      <c r="N205" s="3253"/>
      <c r="O205" s="3253"/>
      <c r="P205" s="3253"/>
      <c r="Q205" s="3254"/>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 customHeight="1">
      <c r="A207" s="1542" t="s">
        <v>365</v>
      </c>
      <c r="B207" s="1542" t="s">
        <v>2676</v>
      </c>
      <c r="C207" s="1542"/>
      <c r="D207" s="1537"/>
      <c r="E207" s="158"/>
      <c r="F207" s="158"/>
      <c r="G207" s="1537"/>
      <c r="J207" s="1094"/>
      <c r="K207" s="590"/>
      <c r="L207" s="590"/>
      <c r="M207" s="590"/>
      <c r="N207" s="590"/>
      <c r="O207" s="143" t="s">
        <v>1881</v>
      </c>
      <c r="P207" s="3209"/>
      <c r="Q207" s="3210"/>
    </row>
    <row r="208" spans="1:32" ht="11.25" customHeight="1">
      <c r="A208" s="150"/>
      <c r="B208" s="151" t="s">
        <v>98</v>
      </c>
      <c r="D208" s="151"/>
      <c r="E208" s="151"/>
      <c r="F208" s="151"/>
      <c r="G208" s="151"/>
      <c r="H208" s="68" t="s">
        <v>1750</v>
      </c>
      <c r="I208" s="53" t="s">
        <v>153</v>
      </c>
      <c r="J208" s="3255" t="s">
        <v>4800</v>
      </c>
      <c r="K208" s="3256"/>
      <c r="L208" s="3256"/>
      <c r="M208" s="3256"/>
      <c r="N208" s="3294"/>
      <c r="O208" s="68" t="s">
        <v>1750</v>
      </c>
      <c r="P208" s="251" t="s">
        <v>3014</v>
      </c>
      <c r="Q208" s="656"/>
    </row>
    <row r="209" spans="1:31" ht="11.25" customHeight="1">
      <c r="A209" s="150"/>
      <c r="B209" s="152" t="s">
        <v>3785</v>
      </c>
      <c r="C209" s="113"/>
      <c r="D209" s="113"/>
      <c r="E209" s="113"/>
      <c r="F209" s="113"/>
      <c r="H209" s="68" t="s">
        <v>1751</v>
      </c>
      <c r="I209" s="53" t="s">
        <v>1608</v>
      </c>
      <c r="J209" s="3297" t="s">
        <v>4801</v>
      </c>
      <c r="K209" s="3298"/>
      <c r="L209" s="3298"/>
      <c r="M209" s="3298"/>
      <c r="N209" s="3299"/>
      <c r="O209" s="68" t="s">
        <v>1751</v>
      </c>
      <c r="P209" s="252" t="s">
        <v>3011</v>
      </c>
      <c r="Q209" s="658"/>
    </row>
    <row r="210" spans="1:31" ht="11.45" customHeight="1">
      <c r="A210" s="3838" t="s">
        <v>4802</v>
      </c>
      <c r="B210" s="3839"/>
      <c r="C210" s="3839"/>
      <c r="D210" s="3839"/>
      <c r="E210" s="3839"/>
      <c r="F210" s="3839"/>
      <c r="G210" s="3839"/>
      <c r="H210" s="3839"/>
      <c r="I210" s="3839"/>
      <c r="J210" s="3839"/>
      <c r="K210" s="3839"/>
      <c r="L210" s="3839"/>
      <c r="M210" s="3839"/>
      <c r="N210" s="3839"/>
      <c r="O210" s="3839"/>
      <c r="P210" s="3839"/>
      <c r="Q210" s="3840"/>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45" customHeight="1">
      <c r="A212" s="3252"/>
      <c r="B212" s="3253"/>
      <c r="C212" s="3253"/>
      <c r="D212" s="3253"/>
      <c r="E212" s="3253"/>
      <c r="F212" s="3253"/>
      <c r="G212" s="3253"/>
      <c r="H212" s="3253"/>
      <c r="I212" s="3253"/>
      <c r="J212" s="3253"/>
      <c r="K212" s="3253"/>
      <c r="L212" s="3253"/>
      <c r="M212" s="3253"/>
      <c r="N212" s="3253"/>
      <c r="O212" s="3253"/>
      <c r="P212" s="3253"/>
      <c r="Q212" s="3254"/>
    </row>
    <row r="213" spans="1:31" ht="4.1500000000000004" customHeight="1">
      <c r="B213" s="1544"/>
      <c r="C213" s="1537"/>
      <c r="D213" s="1537"/>
      <c r="E213" s="1537"/>
      <c r="F213" s="1537"/>
      <c r="G213" s="1537"/>
      <c r="H213" s="1537"/>
      <c r="I213" s="1537"/>
      <c r="J213" s="1537"/>
      <c r="K213" s="1537"/>
      <c r="L213" s="1537"/>
      <c r="M213" s="1537"/>
      <c r="Q213" s="1092"/>
    </row>
    <row r="214" spans="1:31" ht="13.9" customHeight="1">
      <c r="A214" s="1542" t="s">
        <v>366</v>
      </c>
      <c r="B214" s="4" t="s">
        <v>2677</v>
      </c>
      <c r="C214" s="4"/>
      <c r="D214" s="94"/>
      <c r="E214" s="94"/>
      <c r="F214" s="94"/>
      <c r="G214" s="1537"/>
      <c r="H214" s="1537"/>
      <c r="I214" s="1537"/>
      <c r="J214" s="1537"/>
      <c r="K214" s="1537"/>
      <c r="L214" s="1537"/>
      <c r="M214" s="1537"/>
      <c r="O214" s="143" t="s">
        <v>1881</v>
      </c>
      <c r="P214" s="3209"/>
      <c r="Q214" s="3210"/>
    </row>
    <row r="215" spans="1:31" ht="4.1500000000000004" customHeight="1"/>
    <row r="216" spans="1:31" ht="11.45"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5" customHeight="1">
      <c r="A218" s="153" t="s">
        <v>2001</v>
      </c>
      <c r="B218" s="3287" t="s">
        <v>1863</v>
      </c>
      <c r="C218" s="3287"/>
      <c r="D218" s="3287"/>
      <c r="E218" s="3287"/>
      <c r="F218" s="3287"/>
      <c r="G218" s="3287"/>
      <c r="H218" s="68" t="s">
        <v>1750</v>
      </c>
      <c r="I218" s="53" t="s">
        <v>641</v>
      </c>
      <c r="J218" s="3255" t="s">
        <v>4801</v>
      </c>
      <c r="K218" s="3256"/>
      <c r="L218" s="3256"/>
      <c r="M218" s="3256"/>
      <c r="N218" s="3294"/>
      <c r="O218" s="68" t="s">
        <v>1458</v>
      </c>
      <c r="P218" s="445" t="s">
        <v>3011</v>
      </c>
      <c r="Q218" s="657"/>
    </row>
    <row r="219" spans="1:31" ht="11.45" customHeight="1">
      <c r="A219" s="162"/>
      <c r="B219" s="3287"/>
      <c r="C219" s="3287"/>
      <c r="D219" s="3287"/>
      <c r="E219" s="3287"/>
      <c r="F219" s="3287"/>
      <c r="G219" s="3287"/>
      <c r="H219" s="68" t="s">
        <v>1751</v>
      </c>
      <c r="I219" s="53" t="s">
        <v>117</v>
      </c>
      <c r="J219" s="3297" t="s">
        <v>4801</v>
      </c>
      <c r="K219" s="3298"/>
      <c r="L219" s="3298"/>
      <c r="M219" s="3298"/>
      <c r="N219" s="3299"/>
      <c r="O219" s="68" t="s">
        <v>1751</v>
      </c>
      <c r="P219" s="445" t="s">
        <v>3011</v>
      </c>
      <c r="Q219" s="657"/>
    </row>
    <row r="220" spans="1:31" ht="12" customHeight="1">
      <c r="A220" s="48" t="s">
        <v>757</v>
      </c>
      <c r="B220" s="53" t="s">
        <v>3942</v>
      </c>
      <c r="D220" s="53"/>
      <c r="E220" s="53"/>
      <c r="F220" s="53"/>
      <c r="G220" s="53"/>
      <c r="H220" s="53"/>
      <c r="I220" s="53"/>
      <c r="J220" s="53"/>
      <c r="K220" s="43"/>
      <c r="L220" s="53"/>
      <c r="M220" s="53"/>
      <c r="O220" s="561" t="s">
        <v>757</v>
      </c>
      <c r="P220" s="445" t="s">
        <v>3011</v>
      </c>
      <c r="Q220" s="657"/>
    </row>
    <row r="221" spans="1:31" ht="12" customHeight="1">
      <c r="A221" s="48" t="s">
        <v>2131</v>
      </c>
      <c r="B221" s="53" t="s">
        <v>3943</v>
      </c>
      <c r="D221" s="53"/>
      <c r="E221" s="53"/>
      <c r="F221" s="53"/>
      <c r="G221" s="53"/>
      <c r="H221" s="53"/>
      <c r="I221" s="53"/>
      <c r="J221" s="53"/>
      <c r="K221" s="43"/>
      <c r="L221" s="53"/>
      <c r="M221" s="53"/>
      <c r="O221" s="561" t="s">
        <v>2131</v>
      </c>
      <c r="P221" s="252"/>
      <c r="Q221" s="658"/>
    </row>
    <row r="222" spans="1:31" ht="11.25" customHeight="1">
      <c r="B222" s="152" t="s">
        <v>3785</v>
      </c>
      <c r="D222" s="152"/>
      <c r="E222" s="152"/>
      <c r="F222" s="152"/>
      <c r="G222" s="152"/>
      <c r="H222" s="41"/>
      <c r="I222" s="1544"/>
      <c r="J222" s="1544"/>
      <c r="K222" s="1544"/>
      <c r="L222" s="1536"/>
      <c r="M222" s="1536"/>
      <c r="N222" s="1536"/>
      <c r="O222" s="1536"/>
      <c r="P222" s="1536"/>
      <c r="Q222" s="1092"/>
    </row>
    <row r="223" spans="1:31" ht="51.75" customHeight="1">
      <c r="A223" s="3838" t="s">
        <v>4803</v>
      </c>
      <c r="B223" s="3839"/>
      <c r="C223" s="3839"/>
      <c r="D223" s="3839"/>
      <c r="E223" s="3839"/>
      <c r="F223" s="3839"/>
      <c r="G223" s="3839"/>
      <c r="H223" s="3839"/>
      <c r="I223" s="3839"/>
      <c r="J223" s="3839"/>
      <c r="K223" s="3839"/>
      <c r="L223" s="3839"/>
      <c r="M223" s="3839"/>
      <c r="N223" s="3839"/>
      <c r="O223" s="3839"/>
      <c r="P223" s="3839"/>
      <c r="Q223" s="3840"/>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45" customHeight="1">
      <c r="A225" s="3252"/>
      <c r="B225" s="3253"/>
      <c r="C225" s="3253"/>
      <c r="D225" s="3253"/>
      <c r="E225" s="3253"/>
      <c r="F225" s="3253"/>
      <c r="G225" s="3253"/>
      <c r="H225" s="3253"/>
      <c r="I225" s="3253"/>
      <c r="J225" s="3253"/>
      <c r="K225" s="3253"/>
      <c r="L225" s="3253"/>
      <c r="M225" s="3253"/>
      <c r="N225" s="3253"/>
      <c r="O225" s="3253"/>
      <c r="P225" s="3253"/>
      <c r="Q225" s="3254"/>
    </row>
    <row r="226" spans="1:32" ht="3" customHeight="1">
      <c r="A226" s="1536"/>
      <c r="B226" s="1544"/>
      <c r="C226" s="1537"/>
      <c r="D226" s="1537"/>
      <c r="E226" s="1537"/>
      <c r="F226" s="1537"/>
      <c r="G226" s="1537"/>
      <c r="H226" s="1537"/>
      <c r="I226" s="1537"/>
      <c r="J226" s="1537"/>
      <c r="K226" s="1537"/>
      <c r="L226" s="1537"/>
      <c r="M226" s="1537"/>
      <c r="Q226" s="1536"/>
    </row>
    <row r="227" spans="1:32" ht="13.9" customHeight="1">
      <c r="A227" s="1542" t="s">
        <v>1739</v>
      </c>
      <c r="B227" s="1542" t="s">
        <v>2678</v>
      </c>
      <c r="C227" s="123"/>
      <c r="D227" s="1537"/>
      <c r="E227" s="1537"/>
      <c r="F227" s="1537"/>
      <c r="G227" s="1537"/>
      <c r="H227" s="1537"/>
      <c r="I227" s="1537"/>
      <c r="J227" s="1537"/>
      <c r="K227" s="1537"/>
      <c r="L227" s="1537"/>
      <c r="M227" s="1537"/>
      <c r="O227" s="143" t="s">
        <v>1881</v>
      </c>
      <c r="P227" s="3209"/>
      <c r="Q227" s="3210"/>
    </row>
    <row r="228" spans="1:32" s="28" customFormat="1" ht="11.45" customHeight="1">
      <c r="B228" s="156" t="s">
        <v>1203</v>
      </c>
      <c r="N228" s="131"/>
      <c r="P228" s="104" t="s">
        <v>3014</v>
      </c>
      <c r="Q228" s="654"/>
      <c r="AE228" s="127"/>
      <c r="AF228" s="127"/>
    </row>
    <row r="229" spans="1:32" ht="12" customHeight="1">
      <c r="A229" s="48" t="s">
        <v>1999</v>
      </c>
      <c r="B229" s="37" t="s">
        <v>3734</v>
      </c>
      <c r="D229" s="43"/>
      <c r="E229" s="43"/>
      <c r="F229" s="43"/>
      <c r="G229" s="43"/>
      <c r="H229" s="43"/>
      <c r="I229" s="43"/>
      <c r="J229" s="43"/>
      <c r="K229" s="43"/>
      <c r="L229" s="43"/>
      <c r="M229" s="43"/>
      <c r="O229" s="561" t="s">
        <v>1999</v>
      </c>
      <c r="P229" s="104" t="s">
        <v>4773</v>
      </c>
      <c r="Q229" s="656"/>
    </row>
    <row r="230" spans="1:32" ht="11.45" customHeight="1">
      <c r="A230" s="48"/>
      <c r="B230" s="68" t="s">
        <v>1750</v>
      </c>
      <c r="C230" s="53" t="s">
        <v>1946</v>
      </c>
      <c r="E230" s="53"/>
      <c r="F230" s="53"/>
      <c r="G230" s="53"/>
      <c r="H230" s="53"/>
      <c r="I230" s="43"/>
      <c r="J230" s="68" t="s">
        <v>1498</v>
      </c>
      <c r="K230" s="3255" t="s">
        <v>537</v>
      </c>
      <c r="L230" s="3294"/>
      <c r="Q230" s="657"/>
    </row>
    <row r="231" spans="1:32" ht="11.45" customHeight="1">
      <c r="A231" s="48"/>
      <c r="B231" s="68" t="s">
        <v>1751</v>
      </c>
      <c r="C231" s="1093" t="s">
        <v>2741</v>
      </c>
      <c r="E231" s="1093"/>
      <c r="F231" s="1093"/>
      <c r="G231" s="1093"/>
      <c r="H231" s="1093"/>
      <c r="I231" s="43"/>
      <c r="J231" s="68" t="s">
        <v>1499</v>
      </c>
      <c r="K231" s="3295" t="s">
        <v>4804</v>
      </c>
      <c r="L231" s="3296"/>
      <c r="M231" s="3304" t="s">
        <v>2742</v>
      </c>
      <c r="N231" s="3305"/>
      <c r="O231" s="3305"/>
      <c r="P231" s="3306"/>
      <c r="Q231" s="657"/>
    </row>
    <row r="232" spans="1:32" ht="11.45" customHeight="1">
      <c r="A232" s="48"/>
      <c r="B232" s="68" t="s">
        <v>1752</v>
      </c>
      <c r="C232" s="1093" t="s">
        <v>563</v>
      </c>
      <c r="E232" s="1093"/>
      <c r="F232" s="1093"/>
      <c r="G232" s="1093"/>
      <c r="H232" s="1093"/>
      <c r="I232" s="43"/>
      <c r="J232" s="68" t="s">
        <v>1500</v>
      </c>
      <c r="K232" s="3297" t="s">
        <v>4805</v>
      </c>
      <c r="L232" s="3298"/>
      <c r="M232" s="3299"/>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4773</v>
      </c>
      <c r="Q233" s="654"/>
    </row>
    <row r="234" spans="1:32" ht="10.9" customHeight="1">
      <c r="A234" s="48"/>
      <c r="B234" s="53" t="s">
        <v>3608</v>
      </c>
      <c r="D234" s="53"/>
      <c r="E234" s="53"/>
      <c r="F234" s="53"/>
      <c r="G234" s="53"/>
      <c r="H234" s="53"/>
      <c r="I234" s="53"/>
      <c r="J234" s="53"/>
      <c r="K234" s="43"/>
      <c r="L234" s="43"/>
      <c r="M234" s="43"/>
      <c r="N234" s="43"/>
      <c r="O234" s="43"/>
      <c r="P234" s="3300" t="s">
        <v>2</v>
      </c>
      <c r="Q234" s="3300"/>
    </row>
    <row r="235" spans="1:32" ht="10.9"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45" customHeight="1">
      <c r="A236" s="52"/>
      <c r="B236" s="68" t="s">
        <v>1750</v>
      </c>
      <c r="C236" s="3301" t="s">
        <v>4806</v>
      </c>
      <c r="D236" s="3302"/>
      <c r="E236" s="3302"/>
      <c r="F236" s="3302"/>
      <c r="G236" s="3303"/>
      <c r="H236" s="663"/>
      <c r="I236" s="664"/>
      <c r="J236" s="68" t="s">
        <v>1752</v>
      </c>
      <c r="K236" s="3301" t="s">
        <v>4237</v>
      </c>
      <c r="L236" s="3302"/>
      <c r="M236" s="3302"/>
      <c r="N236" s="3302"/>
      <c r="O236" s="3303"/>
      <c r="P236" s="656"/>
      <c r="Q236" s="664"/>
      <c r="AE236" s="55"/>
      <c r="AF236" s="55"/>
    </row>
    <row r="237" spans="1:32" s="44" customFormat="1" ht="11.45" customHeight="1">
      <c r="A237" s="52"/>
      <c r="B237" s="68" t="s">
        <v>1751</v>
      </c>
      <c r="C237" s="3313" t="s">
        <v>1667</v>
      </c>
      <c r="D237" s="3314"/>
      <c r="E237" s="3314"/>
      <c r="F237" s="3314"/>
      <c r="G237" s="3315"/>
      <c r="H237" s="665"/>
      <c r="I237" s="666"/>
      <c r="J237" s="68" t="s">
        <v>2381</v>
      </c>
      <c r="K237" s="3313"/>
      <c r="L237" s="3314"/>
      <c r="M237" s="3314"/>
      <c r="N237" s="3314"/>
      <c r="O237" s="3315"/>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4773</v>
      </c>
      <c r="Q238" s="656"/>
    </row>
    <row r="239" spans="1:32" ht="11.45" customHeight="1">
      <c r="A239" s="48"/>
      <c r="B239" s="68" t="s">
        <v>1750</v>
      </c>
      <c r="C239" s="53" t="s">
        <v>3488</v>
      </c>
      <c r="E239" s="53"/>
      <c r="F239" s="53"/>
      <c r="L239" s="34"/>
      <c r="M239" s="34"/>
      <c r="O239" s="68" t="s">
        <v>1750</v>
      </c>
      <c r="P239" s="445" t="s">
        <v>3011</v>
      </c>
      <c r="Q239" s="657"/>
    </row>
    <row r="240" spans="1:32" ht="11.45" customHeight="1">
      <c r="B240" s="68" t="s">
        <v>1751</v>
      </c>
      <c r="C240" s="1093" t="s">
        <v>2826</v>
      </c>
      <c r="E240" s="1093"/>
      <c r="F240" s="1093"/>
      <c r="L240" s="34"/>
      <c r="M240" s="34"/>
      <c r="O240" s="68" t="s">
        <v>1751</v>
      </c>
      <c r="P240" s="445" t="s">
        <v>3011</v>
      </c>
      <c r="Q240" s="657"/>
    </row>
    <row r="241" spans="1:31" ht="11.45" customHeight="1">
      <c r="B241" s="68" t="s">
        <v>1752</v>
      </c>
      <c r="C241" s="1093" t="s">
        <v>2827</v>
      </c>
      <c r="E241" s="1093"/>
      <c r="F241" s="1093"/>
      <c r="G241" s="1093"/>
      <c r="H241" s="1093"/>
      <c r="I241" s="43"/>
      <c r="J241" s="34"/>
      <c r="K241" s="43"/>
      <c r="L241" s="34"/>
      <c r="M241" s="34"/>
      <c r="O241" s="68" t="s">
        <v>1752</v>
      </c>
      <c r="P241" s="445" t="s">
        <v>3011</v>
      </c>
      <c r="Q241" s="657"/>
    </row>
    <row r="242" spans="1:31" ht="11.45"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45"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45" customHeight="1">
      <c r="A244" s="48"/>
      <c r="B244" s="561" t="s">
        <v>1562</v>
      </c>
      <c r="C244" s="53" t="s">
        <v>783</v>
      </c>
      <c r="E244" s="53"/>
      <c r="F244" s="53"/>
      <c r="G244" s="53"/>
      <c r="H244" s="53"/>
      <c r="I244" s="43"/>
      <c r="J244" s="34"/>
      <c r="K244" s="43"/>
      <c r="L244" s="34"/>
      <c r="M244" s="34"/>
      <c r="O244" s="561" t="s">
        <v>2817</v>
      </c>
      <c r="P244" s="445" t="s">
        <v>3011</v>
      </c>
      <c r="Q244" s="657"/>
    </row>
    <row r="245" spans="1:31" ht="11.45" customHeight="1">
      <c r="A245" s="48"/>
      <c r="B245" s="68"/>
      <c r="C245" s="53" t="s">
        <v>1501</v>
      </c>
      <c r="E245" s="53"/>
      <c r="F245" s="53"/>
      <c r="G245" s="53"/>
      <c r="H245" s="53"/>
      <c r="I245" s="43"/>
      <c r="J245" s="34"/>
      <c r="K245" s="43"/>
      <c r="L245" s="34"/>
      <c r="M245" s="34"/>
      <c r="O245" s="561" t="s">
        <v>2818</v>
      </c>
      <c r="P245" s="252" t="s">
        <v>3014</v>
      </c>
      <c r="Q245" s="658"/>
    </row>
    <row r="246" spans="1:31" ht="12" customHeight="1">
      <c r="A246" s="48" t="s">
        <v>2131</v>
      </c>
      <c r="B246" s="53" t="s">
        <v>3691</v>
      </c>
      <c r="C246" s="53"/>
      <c r="E246" s="53"/>
      <c r="F246" s="53"/>
      <c r="G246" s="53"/>
      <c r="H246" s="53"/>
      <c r="I246" s="53"/>
      <c r="J246" s="53"/>
      <c r="K246" s="43"/>
      <c r="L246" s="53"/>
      <c r="M246" s="53"/>
      <c r="O246" s="561" t="s">
        <v>2131</v>
      </c>
      <c r="P246" s="251" t="s">
        <v>979</v>
      </c>
      <c r="Q246" s="656"/>
    </row>
    <row r="247" spans="1:31" ht="11.45" customHeight="1">
      <c r="B247" s="68" t="s">
        <v>1750</v>
      </c>
      <c r="C247" s="40" t="s">
        <v>1267</v>
      </c>
      <c r="E247" s="43"/>
      <c r="F247" s="43"/>
      <c r="G247" s="40"/>
      <c r="H247" s="1093"/>
      <c r="I247" s="43"/>
      <c r="J247" s="1093"/>
      <c r="K247" s="43"/>
      <c r="L247" s="1093"/>
      <c r="M247" s="1093"/>
      <c r="O247" s="68" t="s">
        <v>1750</v>
      </c>
      <c r="P247" s="445"/>
      <c r="Q247" s="657"/>
    </row>
    <row r="248" spans="1:31" ht="11.45" customHeight="1">
      <c r="B248" s="68" t="s">
        <v>1751</v>
      </c>
      <c r="C248" s="37" t="s">
        <v>3944</v>
      </c>
      <c r="E248" s="43"/>
      <c r="F248" s="43"/>
      <c r="G248" s="1093"/>
      <c r="H248" s="1093"/>
      <c r="I248" s="43"/>
      <c r="J248" s="1093"/>
      <c r="K248" s="43"/>
      <c r="L248" s="1093"/>
      <c r="M248" s="1093"/>
      <c r="O248" s="68" t="s">
        <v>1751</v>
      </c>
      <c r="P248" s="252"/>
      <c r="Q248" s="658"/>
    </row>
    <row r="249" spans="1:31" ht="11.25" customHeight="1">
      <c r="B249" s="152" t="s">
        <v>3785</v>
      </c>
      <c r="D249" s="152"/>
      <c r="E249" s="152"/>
      <c r="F249" s="152"/>
      <c r="G249" s="152"/>
      <c r="H249" s="41"/>
      <c r="I249" s="1544"/>
      <c r="J249" s="1544"/>
      <c r="K249" s="1544"/>
      <c r="L249" s="1536"/>
      <c r="M249" s="1536"/>
      <c r="N249" s="1536"/>
      <c r="O249" s="1536"/>
      <c r="P249" s="1536"/>
      <c r="Q249" s="1092"/>
    </row>
    <row r="250" spans="1:31" ht="25.5" customHeight="1">
      <c r="A250" s="3838" t="s">
        <v>4807</v>
      </c>
      <c r="B250" s="3839"/>
      <c r="C250" s="3839"/>
      <c r="D250" s="3839"/>
      <c r="E250" s="3839"/>
      <c r="F250" s="3839"/>
      <c r="G250" s="3839"/>
      <c r="H250" s="3839"/>
      <c r="I250" s="3839"/>
      <c r="J250" s="3839"/>
      <c r="K250" s="3839"/>
      <c r="L250" s="3839"/>
      <c r="M250" s="3839"/>
      <c r="N250" s="3839"/>
      <c r="O250" s="3839"/>
      <c r="P250" s="3839"/>
      <c r="Q250" s="3840"/>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252"/>
      <c r="B252" s="3253"/>
      <c r="C252" s="3253"/>
      <c r="D252" s="3253"/>
      <c r="E252" s="3253"/>
      <c r="F252" s="3253"/>
      <c r="G252" s="3253"/>
      <c r="H252" s="3253"/>
      <c r="I252" s="3253"/>
      <c r="J252" s="3253"/>
      <c r="K252" s="3253"/>
      <c r="L252" s="3253"/>
      <c r="M252" s="3253"/>
      <c r="N252" s="3253"/>
      <c r="O252" s="3253"/>
      <c r="P252" s="3253"/>
      <c r="Q252" s="3254"/>
    </row>
    <row r="253" spans="1:31" ht="3" customHeight="1">
      <c r="A253" s="1536"/>
      <c r="B253" s="1544"/>
      <c r="C253" s="1537"/>
      <c r="D253" s="1537"/>
      <c r="E253" s="1537"/>
      <c r="F253" s="1537"/>
      <c r="G253" s="1537"/>
      <c r="H253" s="1537"/>
      <c r="I253" s="1537"/>
      <c r="J253" s="1537"/>
      <c r="K253" s="1537"/>
      <c r="L253" s="1537"/>
      <c r="M253" s="1537"/>
      <c r="Q253" s="1536"/>
    </row>
    <row r="254" spans="1:31" ht="13.9" customHeight="1">
      <c r="A254" s="1542" t="s">
        <v>2800</v>
      </c>
      <c r="B254" s="4" t="s">
        <v>2679</v>
      </c>
      <c r="C254" s="4"/>
      <c r="D254" s="94"/>
      <c r="E254" s="94"/>
      <c r="F254" s="94"/>
      <c r="G254" s="94"/>
      <c r="H254" s="1537"/>
      <c r="I254" s="1537"/>
      <c r="J254" s="1537"/>
      <c r="K254" s="1537"/>
      <c r="L254" s="3316"/>
      <c r="M254" s="3317"/>
      <c r="O254" s="143" t="s">
        <v>1881</v>
      </c>
      <c r="P254" s="3209"/>
      <c r="Q254" s="3210"/>
    </row>
    <row r="255" spans="1:31" ht="4.9000000000000004" customHeight="1">
      <c r="L255" s="3316"/>
      <c r="M255" s="3317"/>
      <c r="N255" s="56"/>
    </row>
    <row r="256" spans="1:31" ht="11.45" customHeight="1">
      <c r="A256" s="48" t="s">
        <v>1999</v>
      </c>
      <c r="B256" s="53" t="s">
        <v>1280</v>
      </c>
      <c r="D256" s="43"/>
      <c r="E256" s="53"/>
      <c r="F256" s="53"/>
      <c r="J256" s="561" t="s">
        <v>1999</v>
      </c>
      <c r="K256" s="3271" t="s">
        <v>1784</v>
      </c>
      <c r="L256" s="3272"/>
      <c r="M256" s="3272"/>
      <c r="N256" s="3272"/>
      <c r="O256" s="3273"/>
      <c r="P256" s="3307" t="s">
        <v>1784</v>
      </c>
      <c r="Q256" s="3308"/>
    </row>
    <row r="257" spans="1:32" ht="11.45" customHeight="1">
      <c r="A257" s="48" t="s">
        <v>2001</v>
      </c>
      <c r="B257" s="53" t="s">
        <v>2830</v>
      </c>
      <c r="D257" s="53"/>
      <c r="E257" s="53"/>
      <c r="F257" s="53"/>
      <c r="J257" s="561" t="s">
        <v>2001</v>
      </c>
      <c r="K257" s="3318"/>
      <c r="L257" s="3319"/>
      <c r="M257" s="3319"/>
      <c r="N257" s="3319"/>
      <c r="O257" s="3320"/>
      <c r="P257" s="3309"/>
      <c r="Q257" s="3310"/>
    </row>
    <row r="258" spans="1:32" s="159" customFormat="1" ht="11.45" customHeight="1">
      <c r="A258" s="48"/>
      <c r="B258" s="53" t="s">
        <v>1960</v>
      </c>
      <c r="D258" s="53"/>
      <c r="E258" s="53"/>
      <c r="F258" s="53"/>
      <c r="K258" s="3297"/>
      <c r="L258" s="3298"/>
      <c r="M258" s="3298"/>
      <c r="N258" s="3298"/>
      <c r="O258" s="3299"/>
      <c r="P258" s="3311"/>
      <c r="Q258" s="3312"/>
      <c r="AE258" s="565"/>
      <c r="AF258" s="565"/>
    </row>
    <row r="259" spans="1:32" s="159" customFormat="1" ht="11.45" customHeight="1">
      <c r="A259" s="48"/>
      <c r="B259" s="53" t="s">
        <v>2560</v>
      </c>
      <c r="D259" s="53"/>
      <c r="E259" s="53"/>
      <c r="F259" s="53"/>
      <c r="G259" s="53"/>
      <c r="H259" s="53"/>
      <c r="I259" s="102"/>
      <c r="J259" s="102"/>
      <c r="M259" s="37"/>
      <c r="N259" s="1265"/>
      <c r="O259" s="561"/>
      <c r="P259" s="1259"/>
      <c r="Q259" s="1164"/>
      <c r="AE259" s="565"/>
      <c r="AF259" s="565"/>
    </row>
    <row r="260" spans="1:32" s="159" customFormat="1" ht="11.45" customHeight="1">
      <c r="A260" s="48" t="s">
        <v>757</v>
      </c>
      <c r="B260" s="53" t="s">
        <v>3792</v>
      </c>
      <c r="D260" s="53"/>
      <c r="E260" s="53"/>
      <c r="F260" s="53"/>
      <c r="M260" s="37"/>
      <c r="N260" s="1265"/>
      <c r="O260" s="561" t="s">
        <v>757</v>
      </c>
      <c r="P260" s="251"/>
      <c r="Q260" s="656"/>
      <c r="AE260" s="565"/>
      <c r="AF260" s="565"/>
    </row>
    <row r="261" spans="1:32" s="159" customFormat="1" ht="11.45" customHeight="1">
      <c r="A261" s="48"/>
      <c r="B261" s="53" t="s">
        <v>3791</v>
      </c>
      <c r="D261" s="53"/>
      <c r="E261" s="53"/>
      <c r="F261" s="53"/>
      <c r="K261" s="3271"/>
      <c r="L261" s="3272"/>
      <c r="M261" s="3272"/>
      <c r="N261" s="3272"/>
      <c r="O261" s="3273"/>
      <c r="P261" s="3321"/>
      <c r="Q261" s="3322"/>
      <c r="AE261" s="565"/>
      <c r="AF261" s="565"/>
    </row>
    <row r="262" spans="1:32" s="159" customFormat="1" ht="11.45" customHeight="1">
      <c r="A262" s="48" t="s">
        <v>2131</v>
      </c>
      <c r="B262" s="53" t="s">
        <v>3945</v>
      </c>
      <c r="D262" s="53"/>
      <c r="E262" s="53"/>
      <c r="F262" s="53"/>
      <c r="G262" s="53"/>
      <c r="H262" s="53"/>
      <c r="I262" s="102"/>
      <c r="J262" s="102"/>
      <c r="K262" s="102"/>
      <c r="M262" s="37"/>
      <c r="N262" s="1265"/>
      <c r="O262" s="561" t="s">
        <v>2131</v>
      </c>
      <c r="P262" s="251"/>
      <c r="Q262" s="656"/>
      <c r="AE262" s="565"/>
      <c r="AF262" s="565"/>
    </row>
    <row r="263" spans="1:32" s="159" customFormat="1" ht="11.45" customHeight="1">
      <c r="A263" s="48"/>
      <c r="B263" s="3287" t="s">
        <v>3793</v>
      </c>
      <c r="C263" s="3287"/>
      <c r="D263" s="3287"/>
      <c r="E263" s="3287"/>
      <c r="F263" s="3287"/>
      <c r="G263" s="3287"/>
      <c r="H263" s="523" t="s">
        <v>4171</v>
      </c>
      <c r="K263" s="102"/>
      <c r="M263" s="37"/>
      <c r="N263" s="1265"/>
      <c r="O263" s="68" t="s">
        <v>1750</v>
      </c>
      <c r="P263" s="445"/>
      <c r="Q263" s="657"/>
      <c r="AE263" s="565"/>
      <c r="AF263" s="565"/>
    </row>
    <row r="264" spans="1:32" s="159" customFormat="1" ht="11.45" customHeight="1">
      <c r="A264" s="48"/>
      <c r="B264" s="3287"/>
      <c r="C264" s="3287"/>
      <c r="D264" s="3287"/>
      <c r="E264" s="3287"/>
      <c r="F264" s="3287"/>
      <c r="G264" s="3287"/>
      <c r="H264" s="56" t="s">
        <v>4172</v>
      </c>
      <c r="K264" s="102"/>
      <c r="M264" s="37"/>
      <c r="N264" s="1265"/>
      <c r="O264" s="68" t="s">
        <v>1751</v>
      </c>
      <c r="P264" s="445"/>
      <c r="Q264" s="657"/>
      <c r="AE264" s="565"/>
      <c r="AF264" s="565"/>
    </row>
    <row r="265" spans="1:32" s="159" customFormat="1" ht="11.45" customHeight="1">
      <c r="A265" s="48"/>
      <c r="B265" s="53"/>
      <c r="D265" s="53"/>
      <c r="E265" s="53"/>
      <c r="F265" s="53"/>
      <c r="G265" s="53"/>
      <c r="H265" s="56" t="s">
        <v>4173</v>
      </c>
      <c r="K265" s="102"/>
      <c r="M265" s="37"/>
      <c r="N265" s="1265"/>
      <c r="O265" s="68" t="s">
        <v>1752</v>
      </c>
      <c r="P265" s="445"/>
      <c r="Q265" s="657"/>
      <c r="AE265" s="565"/>
      <c r="AF265" s="565"/>
    </row>
    <row r="266" spans="1:32" s="159" customFormat="1" ht="11.45" customHeight="1">
      <c r="A266" s="48"/>
      <c r="B266" s="53"/>
      <c r="D266" s="53"/>
      <c r="E266" s="53"/>
      <c r="F266" s="53"/>
      <c r="G266" s="53"/>
      <c r="H266" s="56" t="s">
        <v>4174</v>
      </c>
      <c r="K266" s="102"/>
      <c r="M266" s="37"/>
      <c r="N266" s="1265"/>
      <c r="O266" s="561" t="s">
        <v>2381</v>
      </c>
      <c r="P266" s="252"/>
      <c r="Q266" s="658"/>
      <c r="AE266" s="565"/>
      <c r="AF266" s="565"/>
    </row>
    <row r="267" spans="1:32" s="159" customFormat="1" ht="22.15" customHeight="1">
      <c r="A267" s="153" t="s">
        <v>1748</v>
      </c>
      <c r="B267" s="3287" t="s">
        <v>3946</v>
      </c>
      <c r="C267" s="3287"/>
      <c r="D267" s="3287"/>
      <c r="E267" s="3287"/>
      <c r="F267" s="3287"/>
      <c r="G267" s="3287"/>
      <c r="H267" s="3287"/>
      <c r="I267" s="3287"/>
      <c r="J267" s="3287"/>
      <c r="K267" s="3287"/>
      <c r="L267" s="3287"/>
      <c r="M267" s="3287"/>
      <c r="N267" s="3287"/>
      <c r="O267" s="174" t="s">
        <v>1748</v>
      </c>
      <c r="P267" s="1695"/>
      <c r="Q267" s="1696"/>
      <c r="T267" s="565"/>
      <c r="AE267" s="565"/>
      <c r="AF267" s="565"/>
    </row>
    <row r="268" spans="1:32" ht="11.25" customHeight="1">
      <c r="B268" s="152" t="s">
        <v>3785</v>
      </c>
      <c r="D268" s="152"/>
      <c r="E268" s="152"/>
      <c r="F268" s="152"/>
      <c r="G268" s="152"/>
      <c r="H268" s="41"/>
      <c r="I268" s="1544"/>
      <c r="J268" s="1544"/>
      <c r="K268" s="1544"/>
      <c r="L268" s="1536"/>
      <c r="M268" s="1536"/>
      <c r="N268" s="1536"/>
      <c r="O268" s="1536"/>
      <c r="P268" s="1536"/>
      <c r="Q268" s="1092"/>
    </row>
    <row r="269" spans="1:32" ht="13.15" customHeight="1">
      <c r="A269" s="3838" t="s">
        <v>4808</v>
      </c>
      <c r="B269" s="3839"/>
      <c r="C269" s="3839"/>
      <c r="D269" s="3839"/>
      <c r="E269" s="3839"/>
      <c r="F269" s="3839"/>
      <c r="G269" s="3839"/>
      <c r="H269" s="3839"/>
      <c r="I269" s="3839"/>
      <c r="J269" s="3839"/>
      <c r="K269" s="3839"/>
      <c r="L269" s="3839"/>
      <c r="M269" s="3839"/>
      <c r="N269" s="3839"/>
      <c r="O269" s="3839"/>
      <c r="P269" s="3839"/>
      <c r="Q269" s="3840"/>
      <c r="R269" s="538" t="s">
        <v>1266</v>
      </c>
      <c r="S269" s="539"/>
      <c r="U269" s="147"/>
      <c r="V269" s="147"/>
      <c r="W269" s="147"/>
      <c r="X269" s="147"/>
      <c r="Y269" s="147"/>
      <c r="Z269" s="147"/>
      <c r="AA269" s="147"/>
      <c r="AB269" s="147"/>
      <c r="AC269" s="147"/>
      <c r="AD269" s="147"/>
      <c r="AE269" s="563"/>
    </row>
    <row r="270" spans="1:32" ht="10.9" customHeight="1">
      <c r="B270" s="148" t="s">
        <v>1880</v>
      </c>
      <c r="C270" s="149"/>
      <c r="D270" s="1537"/>
      <c r="E270" s="1537"/>
      <c r="F270" s="1537"/>
      <c r="G270" s="1537"/>
      <c r="H270" s="1537"/>
      <c r="I270" s="1537"/>
      <c r="J270" s="1537"/>
      <c r="K270" s="1537"/>
      <c r="L270" s="1537"/>
      <c r="M270" s="1537"/>
      <c r="N270" s="1537"/>
      <c r="O270" s="1537"/>
      <c r="P270" s="1537"/>
      <c r="Q270" s="1537"/>
    </row>
    <row r="271" spans="1:32" ht="13.15" customHeight="1">
      <c r="A271" s="3252"/>
      <c r="B271" s="3253"/>
      <c r="C271" s="3253"/>
      <c r="D271" s="3253"/>
      <c r="E271" s="3253"/>
      <c r="F271" s="3253"/>
      <c r="G271" s="3253"/>
      <c r="H271" s="3253"/>
      <c r="I271" s="3253"/>
      <c r="J271" s="3253"/>
      <c r="K271" s="3253"/>
      <c r="L271" s="3253"/>
      <c r="M271" s="3253"/>
      <c r="N271" s="3253"/>
      <c r="O271" s="3253"/>
      <c r="P271" s="3253"/>
      <c r="Q271" s="3254"/>
    </row>
    <row r="272" spans="1:32" ht="3" customHeight="1">
      <c r="A272" s="1536"/>
      <c r="B272" s="1544"/>
      <c r="C272" s="1537"/>
      <c r="D272" s="1537"/>
      <c r="E272" s="1537"/>
      <c r="F272" s="1537"/>
      <c r="G272" s="1537"/>
      <c r="H272" s="1537"/>
      <c r="I272" s="1537"/>
      <c r="J272" s="1537"/>
      <c r="K272" s="1537"/>
      <c r="L272" s="1537"/>
      <c r="M272" s="1537"/>
      <c r="Q272" s="1536"/>
    </row>
    <row r="273" spans="1:32" ht="13.9" customHeight="1">
      <c r="A273" s="1542" t="s">
        <v>2267</v>
      </c>
      <c r="B273" s="4" t="s">
        <v>2680</v>
      </c>
      <c r="C273" s="4"/>
      <c r="D273" s="94"/>
      <c r="E273" s="94"/>
      <c r="F273" s="94"/>
      <c r="G273" s="94"/>
      <c r="H273" s="1537"/>
      <c r="I273" s="1537"/>
      <c r="J273" s="1537"/>
      <c r="K273" s="1537"/>
      <c r="L273" s="1537"/>
      <c r="M273" s="1537"/>
      <c r="O273" s="143" t="s">
        <v>1881</v>
      </c>
      <c r="P273" s="3209"/>
      <c r="Q273" s="3210"/>
    </row>
    <row r="274" spans="1:32" ht="3" customHeight="1"/>
    <row r="275" spans="1:32" s="502" customFormat="1" ht="21.75" customHeight="1">
      <c r="A275" s="153" t="s">
        <v>1999</v>
      </c>
      <c r="B275" s="3287" t="s">
        <v>3947</v>
      </c>
      <c r="C275" s="3287"/>
      <c r="D275" s="3287"/>
      <c r="E275" s="3287"/>
      <c r="F275" s="3287"/>
      <c r="G275" s="3287"/>
      <c r="H275" s="3287"/>
      <c r="I275" s="3287"/>
      <c r="J275" s="3287"/>
      <c r="K275" s="3287"/>
      <c r="L275" s="3287"/>
      <c r="M275" s="3287"/>
      <c r="N275" s="3287"/>
      <c r="O275" s="174" t="s">
        <v>1999</v>
      </c>
      <c r="P275" s="1548" t="s">
        <v>3011</v>
      </c>
      <c r="Q275" s="1547"/>
      <c r="AE275" s="566"/>
      <c r="AF275" s="566"/>
    </row>
    <row r="276" spans="1:32" s="159" customFormat="1" ht="11.45" customHeight="1">
      <c r="A276" s="48"/>
      <c r="B276" s="53" t="s">
        <v>3788</v>
      </c>
      <c r="D276" s="53"/>
      <c r="E276" s="53"/>
      <c r="F276" s="53"/>
      <c r="G276" s="53"/>
      <c r="H276" s="53"/>
      <c r="I276" s="53"/>
      <c r="J276" s="53"/>
      <c r="K276" s="53"/>
      <c r="L276" s="53"/>
      <c r="M276" s="53"/>
      <c r="O276" s="561"/>
      <c r="P276" s="252" t="s">
        <v>3011</v>
      </c>
      <c r="Q276" s="658"/>
      <c r="AE276" s="565"/>
      <c r="AF276" s="565"/>
    </row>
    <row r="277" spans="1:32" s="159" customFormat="1" ht="11.45" customHeight="1">
      <c r="A277" s="48" t="s">
        <v>2001</v>
      </c>
      <c r="B277" s="53" t="s">
        <v>3789</v>
      </c>
      <c r="D277" s="53"/>
      <c r="E277" s="53"/>
      <c r="F277" s="53"/>
      <c r="G277" s="53"/>
      <c r="H277" s="53"/>
      <c r="I277" s="53"/>
      <c r="J277" s="53"/>
      <c r="K277" s="53"/>
      <c r="L277" s="53"/>
      <c r="M277" s="53"/>
      <c r="O277" s="561" t="s">
        <v>2001</v>
      </c>
      <c r="P277" s="252" t="s">
        <v>3011</v>
      </c>
      <c r="Q277" s="658"/>
      <c r="AE277" s="565"/>
      <c r="AF277" s="565"/>
    </row>
    <row r="278" spans="1:32" s="159" customFormat="1" ht="11.45" customHeight="1">
      <c r="A278" s="48" t="s">
        <v>757</v>
      </c>
      <c r="B278" s="53" t="s">
        <v>4175</v>
      </c>
      <c r="D278" s="53"/>
      <c r="E278" s="53"/>
      <c r="F278" s="53"/>
      <c r="G278" s="53"/>
      <c r="H278" s="53"/>
      <c r="I278" s="53"/>
      <c r="J278" s="53"/>
      <c r="K278" s="53"/>
      <c r="L278" s="53"/>
      <c r="M278" s="53"/>
      <c r="O278" s="561" t="s">
        <v>757</v>
      </c>
      <c r="P278" s="251" t="s">
        <v>3011</v>
      </c>
      <c r="Q278" s="656"/>
      <c r="AE278" s="565"/>
      <c r="AF278" s="565"/>
    </row>
    <row r="279" spans="1:32" s="159" customFormat="1" ht="11.45" customHeight="1">
      <c r="A279" s="48"/>
      <c r="B279" s="53" t="s">
        <v>3790</v>
      </c>
      <c r="D279" s="53"/>
      <c r="E279" s="53"/>
      <c r="F279" s="53"/>
      <c r="G279" s="53"/>
      <c r="H279" s="53"/>
      <c r="I279" s="53"/>
      <c r="J279" s="53"/>
      <c r="K279" s="53"/>
      <c r="L279" s="53"/>
      <c r="M279" s="53"/>
      <c r="O279" s="561"/>
      <c r="P279" s="252" t="s">
        <v>3011</v>
      </c>
      <c r="Q279" s="658"/>
      <c r="AE279" s="565"/>
      <c r="AF279" s="565"/>
    </row>
    <row r="280" spans="1:32" s="159" customFormat="1" ht="11.45" customHeight="1">
      <c r="A280" s="48" t="s">
        <v>2131</v>
      </c>
      <c r="B280" s="53" t="s">
        <v>4176</v>
      </c>
      <c r="D280" s="53"/>
      <c r="E280" s="53"/>
      <c r="F280" s="53"/>
      <c r="G280" s="53"/>
      <c r="H280" s="53"/>
      <c r="I280" s="53"/>
      <c r="J280" s="53"/>
      <c r="K280" s="53"/>
      <c r="L280" s="53"/>
      <c r="M280" s="53"/>
      <c r="O280" s="561" t="s">
        <v>2131</v>
      </c>
      <c r="P280" s="252" t="s">
        <v>3011</v>
      </c>
      <c r="Q280" s="658"/>
      <c r="AE280" s="565"/>
      <c r="AF280" s="565"/>
    </row>
    <row r="281" spans="1:32" ht="11.25" customHeight="1">
      <c r="B281" s="152" t="s">
        <v>3785</v>
      </c>
      <c r="D281" s="152"/>
      <c r="E281" s="152"/>
      <c r="F281" s="152"/>
      <c r="G281" s="152"/>
      <c r="H281" s="41"/>
      <c r="I281" s="1544"/>
      <c r="J281" s="1544"/>
      <c r="K281" s="1544"/>
      <c r="L281" s="1536"/>
      <c r="M281" s="1536"/>
      <c r="N281" s="1536"/>
      <c r="O281" s="1536"/>
      <c r="P281" s="1536"/>
      <c r="Q281" s="1092"/>
    </row>
    <row r="282" spans="1:32" ht="13.15" customHeight="1">
      <c r="A282" s="3838" t="s">
        <v>4809</v>
      </c>
      <c r="B282" s="3839"/>
      <c r="C282" s="3839"/>
      <c r="D282" s="3839"/>
      <c r="E282" s="3839"/>
      <c r="F282" s="3839"/>
      <c r="G282" s="3839"/>
      <c r="H282" s="3839"/>
      <c r="I282" s="3839"/>
      <c r="J282" s="3839"/>
      <c r="K282" s="3839"/>
      <c r="L282" s="3839"/>
      <c r="M282" s="3839"/>
      <c r="N282" s="3839"/>
      <c r="O282" s="3839"/>
      <c r="P282" s="3839"/>
      <c r="Q282" s="3840"/>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15" customHeight="1">
      <c r="A284" s="3252"/>
      <c r="B284" s="3253"/>
      <c r="C284" s="3253"/>
      <c r="D284" s="3253"/>
      <c r="E284" s="3253"/>
      <c r="F284" s="3253"/>
      <c r="G284" s="3253"/>
      <c r="H284" s="3253"/>
      <c r="I284" s="3253"/>
      <c r="J284" s="3253"/>
      <c r="K284" s="3253"/>
      <c r="L284" s="3253"/>
      <c r="M284" s="3253"/>
      <c r="N284" s="3253"/>
      <c r="O284" s="3253"/>
      <c r="P284" s="3253"/>
      <c r="Q284" s="3254"/>
    </row>
    <row r="285" spans="1:32" ht="13.9" customHeight="1">
      <c r="A285" s="1542" t="s">
        <v>4157</v>
      </c>
      <c r="B285" s="1542" t="s">
        <v>2681</v>
      </c>
      <c r="C285" s="1542"/>
      <c r="D285" s="1537"/>
      <c r="E285" s="1537"/>
      <c r="F285" s="1537"/>
      <c r="G285" s="1537"/>
      <c r="H285" s="1537"/>
      <c r="I285" s="1537"/>
      <c r="J285" s="1537"/>
      <c r="K285" s="1537"/>
      <c r="L285" s="1537"/>
      <c r="M285" s="1537"/>
      <c r="O285" s="143" t="s">
        <v>1881</v>
      </c>
      <c r="P285" s="3209"/>
      <c r="Q285" s="3210"/>
    </row>
    <row r="286" spans="1:32" ht="3" customHeight="1"/>
    <row r="287" spans="1:32" s="502" customFormat="1" ht="21.75" customHeight="1">
      <c r="A287" s="153" t="s">
        <v>1999</v>
      </c>
      <c r="B287" s="3287" t="s">
        <v>2831</v>
      </c>
      <c r="C287" s="3287"/>
      <c r="D287" s="3287"/>
      <c r="E287" s="3287"/>
      <c r="F287" s="3287"/>
      <c r="G287" s="3287"/>
      <c r="H287" s="3287"/>
      <c r="I287" s="3287"/>
      <c r="J287" s="3287"/>
      <c r="K287" s="3287"/>
      <c r="L287" s="3287"/>
      <c r="M287" s="3287"/>
      <c r="N287" s="3287"/>
      <c r="O287" s="174" t="s">
        <v>1999</v>
      </c>
      <c r="P287" s="1590" t="s">
        <v>4773</v>
      </c>
      <c r="Q287" s="1589"/>
      <c r="AE287" s="566"/>
      <c r="AF287" s="566"/>
    </row>
    <row r="288" spans="1:32" s="502" customFormat="1" ht="21.75" customHeight="1">
      <c r="A288" s="153" t="s">
        <v>2001</v>
      </c>
      <c r="B288" s="3287" t="s">
        <v>2832</v>
      </c>
      <c r="C288" s="3287"/>
      <c r="D288" s="3287"/>
      <c r="E288" s="3287"/>
      <c r="F288" s="3287"/>
      <c r="G288" s="3287"/>
      <c r="H288" s="3287"/>
      <c r="I288" s="3287"/>
      <c r="J288" s="3287"/>
      <c r="K288" s="3287"/>
      <c r="L288" s="3287"/>
      <c r="M288" s="3287"/>
      <c r="N288" s="3287"/>
      <c r="O288" s="174" t="s">
        <v>2001</v>
      </c>
      <c r="P288" s="1594" t="s">
        <v>4773</v>
      </c>
      <c r="Q288" s="1591"/>
      <c r="AE288" s="566"/>
      <c r="AF288" s="566"/>
    </row>
    <row r="289" spans="1:33" ht="11.25" customHeight="1">
      <c r="B289" s="152" t="s">
        <v>3785</v>
      </c>
      <c r="D289" s="152"/>
      <c r="E289" s="152"/>
      <c r="F289" s="152"/>
      <c r="G289" s="152"/>
      <c r="H289" s="41"/>
      <c r="I289" s="1544"/>
      <c r="J289" s="1544"/>
      <c r="K289" s="1544"/>
      <c r="L289" s="1536"/>
      <c r="M289" s="1536"/>
      <c r="N289" s="1536"/>
      <c r="O289" s="1536"/>
      <c r="P289" s="1536"/>
      <c r="Q289" s="1092"/>
    </row>
    <row r="290" spans="1:33" ht="13.15" customHeight="1">
      <c r="A290" s="3193" t="s">
        <v>4810</v>
      </c>
      <c r="B290" s="3194"/>
      <c r="C290" s="3194"/>
      <c r="D290" s="3194"/>
      <c r="E290" s="3194"/>
      <c r="F290" s="3194"/>
      <c r="G290" s="3194"/>
      <c r="H290" s="3194"/>
      <c r="I290" s="3194"/>
      <c r="J290" s="3194"/>
      <c r="K290" s="3194"/>
      <c r="L290" s="3194"/>
      <c r="M290" s="3194"/>
      <c r="N290" s="3194"/>
      <c r="O290" s="3194"/>
      <c r="P290" s="3194"/>
      <c r="Q290" s="3195"/>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15" customHeight="1">
      <c r="A292" s="3252"/>
      <c r="B292" s="3253"/>
      <c r="C292" s="3253"/>
      <c r="D292" s="3253"/>
      <c r="E292" s="3253"/>
      <c r="F292" s="3253"/>
      <c r="G292" s="3253"/>
      <c r="H292" s="3253"/>
      <c r="I292" s="3253"/>
      <c r="J292" s="3253"/>
      <c r="K292" s="3253"/>
      <c r="L292" s="3253"/>
      <c r="M292" s="3253"/>
      <c r="N292" s="3253"/>
      <c r="O292" s="3253"/>
      <c r="P292" s="3253"/>
      <c r="Q292" s="3254"/>
    </row>
    <row r="293" spans="1:33" ht="13.9" customHeight="1">
      <c r="A293" s="1542" t="s">
        <v>4158</v>
      </c>
      <c r="B293" s="1542" t="s">
        <v>2682</v>
      </c>
      <c r="C293" s="160"/>
      <c r="D293" s="1540"/>
      <c r="E293" s="1537"/>
      <c r="F293" s="1537"/>
      <c r="G293" s="1537"/>
      <c r="H293" s="1537"/>
      <c r="I293" s="1537"/>
      <c r="J293" s="1537"/>
      <c r="K293" s="1537"/>
      <c r="L293" s="1537"/>
      <c r="M293" s="1537"/>
      <c r="O293" s="143" t="s">
        <v>1881</v>
      </c>
      <c r="P293" s="3209"/>
      <c r="Q293" s="3210"/>
    </row>
    <row r="294" spans="1:33" ht="12.75" customHeight="1">
      <c r="A294" s="15" t="s">
        <v>1999</v>
      </c>
      <c r="B294" s="1542" t="s">
        <v>4177</v>
      </c>
    </row>
    <row r="295" spans="1:33" s="159" customFormat="1" ht="44.25" customHeight="1">
      <c r="A295" s="153"/>
      <c r="B295" s="161" t="s">
        <v>1750</v>
      </c>
      <c r="C295" s="3287" t="s">
        <v>3949</v>
      </c>
      <c r="D295" s="3287"/>
      <c r="E295" s="3287"/>
      <c r="F295" s="3287"/>
      <c r="G295" s="3287"/>
      <c r="H295" s="3287"/>
      <c r="I295" s="3287"/>
      <c r="J295" s="3287"/>
      <c r="K295" s="3287"/>
      <c r="L295" s="3287"/>
      <c r="M295" s="3287"/>
      <c r="N295" s="3287"/>
      <c r="O295" s="174" t="s">
        <v>2744</v>
      </c>
      <c r="P295" s="1590" t="s">
        <v>3011</v>
      </c>
      <c r="Q295" s="1589"/>
      <c r="AE295" s="565"/>
      <c r="AF295" s="565"/>
    </row>
    <row r="296" spans="1:33" s="502" customFormat="1" ht="12" customHeight="1">
      <c r="A296" s="153"/>
      <c r="B296" s="161" t="s">
        <v>1751</v>
      </c>
      <c r="C296" s="3287" t="s">
        <v>3950</v>
      </c>
      <c r="D296" s="3287"/>
      <c r="E296" s="3287"/>
      <c r="F296" s="3287"/>
      <c r="G296" s="3287"/>
      <c r="H296" s="3287"/>
      <c r="I296" s="3287"/>
      <c r="J296" s="3287"/>
      <c r="K296" s="3287"/>
      <c r="L296" s="3287"/>
      <c r="M296" s="3287"/>
      <c r="N296" s="3287"/>
      <c r="O296" s="161" t="s">
        <v>1751</v>
      </c>
      <c r="P296" s="675" t="s">
        <v>3011</v>
      </c>
      <c r="Q296" s="659"/>
      <c r="AE296" s="566"/>
      <c r="AF296" s="566"/>
    </row>
    <row r="297" spans="1:33" s="502" customFormat="1" ht="21.75" customHeight="1">
      <c r="A297" s="153"/>
      <c r="B297" s="174" t="s">
        <v>1752</v>
      </c>
      <c r="C297" s="3287" t="s">
        <v>3948</v>
      </c>
      <c r="D297" s="3287"/>
      <c r="E297" s="3287"/>
      <c r="F297" s="3287"/>
      <c r="G297" s="3287"/>
      <c r="H297" s="3287"/>
      <c r="I297" s="3287"/>
      <c r="J297" s="3287"/>
      <c r="K297" s="3287"/>
      <c r="L297" s="3287"/>
      <c r="M297" s="3287"/>
      <c r="N297" s="3287"/>
      <c r="O297" s="174" t="s">
        <v>1752</v>
      </c>
      <c r="P297" s="1619"/>
      <c r="Q297" s="1620"/>
      <c r="AE297" s="566"/>
      <c r="AF297" s="566"/>
    </row>
    <row r="298" spans="1:33" s="102" customFormat="1" ht="12.75" customHeight="1">
      <c r="A298" s="15" t="s">
        <v>2001</v>
      </c>
      <c r="B298" s="1542" t="s">
        <v>3914</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287" t="s">
        <v>3782</v>
      </c>
      <c r="D299" s="3287"/>
      <c r="E299" s="3287"/>
      <c r="F299" s="3287"/>
      <c r="G299" s="3287"/>
      <c r="H299" s="3287"/>
      <c r="I299" s="151"/>
      <c r="J299" s="3367" t="s">
        <v>3828</v>
      </c>
      <c r="K299" s="3368"/>
      <c r="L299" s="3368"/>
      <c r="M299" s="3369" t="s">
        <v>3795</v>
      </c>
      <c r="N299" s="3369"/>
      <c r="AE299" s="567"/>
      <c r="AF299" s="567"/>
    </row>
    <row r="300" spans="1:33" s="346" customFormat="1" ht="10.5" customHeight="1">
      <c r="A300" s="359"/>
      <c r="C300" s="3287"/>
      <c r="D300" s="3287"/>
      <c r="E300" s="3287"/>
      <c r="F300" s="3287"/>
      <c r="G300" s="3287"/>
      <c r="H300" s="3287"/>
      <c r="I300" s="1533"/>
      <c r="J300" s="3368"/>
      <c r="K300" s="3368"/>
      <c r="L300" s="3368"/>
      <c r="M300" s="37" t="s">
        <v>3796</v>
      </c>
      <c r="N300" s="1544" t="s">
        <v>3827</v>
      </c>
      <c r="P300" s="357"/>
    </row>
    <row r="301" spans="1:33" s="346" customFormat="1" ht="13.15" customHeight="1">
      <c r="A301" s="359"/>
      <c r="C301" s="3287"/>
      <c r="D301" s="3287"/>
      <c r="E301" s="3287"/>
      <c r="F301" s="3287"/>
      <c r="G301" s="3287"/>
      <c r="H301" s="3287"/>
      <c r="I301" s="53" t="s">
        <v>4178</v>
      </c>
      <c r="K301" s="1258">
        <v>5</v>
      </c>
      <c r="L301" s="1260" t="str">
        <f>IF(K301&lt;M301,"Check!!!","")</f>
        <v/>
      </c>
      <c r="M301" s="1261">
        <f>ROUNDUP('Part VI-Revenues &amp; Expenses'!$O$62*'Part VIII-Threshold Criteria'!N301,0)</f>
        <v>5</v>
      </c>
      <c r="N301" s="1266">
        <f>'DCA Underwriting Assumptions'!$Q$136</f>
        <v>0.05</v>
      </c>
      <c r="O301" s="561" t="s">
        <v>3667</v>
      </c>
      <c r="P301" s="576" t="s">
        <v>3011</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287" t="s">
        <v>3783</v>
      </c>
      <c r="D303" s="3287"/>
      <c r="E303" s="3287"/>
      <c r="F303" s="3287"/>
      <c r="G303" s="3287"/>
      <c r="H303" s="3287"/>
      <c r="I303" s="1075" t="s">
        <v>4179</v>
      </c>
      <c r="J303" s="346"/>
      <c r="K303" s="1258">
        <v>2</v>
      </c>
      <c r="L303" s="1260" t="str">
        <f>IF(K303&lt;M303,"Check!!!","")</f>
        <v/>
      </c>
      <c r="M303" s="1261">
        <f>ROUNDUP(K301*'Part VIII-Threshold Criteria'!N303,0)</f>
        <v>2</v>
      </c>
      <c r="N303" s="1266">
        <f>'DCA Underwriting Assumptions'!$Q$137</f>
        <v>0.4</v>
      </c>
      <c r="O303" s="561" t="s">
        <v>2133</v>
      </c>
      <c r="P303" s="576" t="s">
        <v>3011</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87"/>
      <c r="D304" s="3287"/>
      <c r="E304" s="3287"/>
      <c r="F304" s="3287"/>
      <c r="G304" s="3287"/>
      <c r="H304" s="3287"/>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287" t="s">
        <v>3784</v>
      </c>
      <c r="D305" s="3287"/>
      <c r="E305" s="3287"/>
      <c r="F305" s="3287"/>
      <c r="G305" s="3287"/>
      <c r="H305" s="3287"/>
      <c r="I305" s="53" t="s">
        <v>4180</v>
      </c>
      <c r="J305" s="346"/>
      <c r="K305" s="1258">
        <v>2</v>
      </c>
      <c r="L305" s="1260" t="str">
        <f>IF(K305&lt;M305,"Check!!!","")</f>
        <v/>
      </c>
      <c r="M305" s="1261">
        <f>ROUNDUP('Part VI-Revenues &amp; Expenses'!$O$62*'Part VIII-Threshold Criteria'!N305,0)</f>
        <v>2</v>
      </c>
      <c r="N305" s="1266">
        <f>'DCA Underwriting Assumptions'!$Q$138</f>
        <v>0.02</v>
      </c>
      <c r="O305" s="561" t="s">
        <v>1751</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87"/>
      <c r="D306" s="3287"/>
      <c r="E306" s="3287"/>
      <c r="F306" s="3287"/>
      <c r="G306" s="3287"/>
      <c r="H306" s="3287"/>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287"/>
      <c r="D307" s="3287"/>
      <c r="E307" s="3287"/>
      <c r="F307" s="3287"/>
      <c r="G307" s="3287"/>
      <c r="H307" s="3287"/>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3915</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360" t="s">
        <v>3669</v>
      </c>
      <c r="C309" s="3360"/>
      <c r="D309" s="3360"/>
      <c r="E309" s="3360"/>
      <c r="F309" s="3360"/>
      <c r="G309" s="3360"/>
      <c r="H309" s="3360"/>
      <c r="I309" s="3360"/>
      <c r="J309" s="3360"/>
      <c r="K309" s="3360"/>
      <c r="L309" s="3360"/>
      <c r="M309" s="3360"/>
      <c r="N309" s="3360"/>
      <c r="O309" s="174" t="s">
        <v>757</v>
      </c>
      <c r="P309" s="1592" t="s">
        <v>3011</v>
      </c>
      <c r="Q309" s="1593"/>
      <c r="AE309" s="567"/>
      <c r="AF309" s="567"/>
    </row>
    <row r="310" spans="1:33" s="102" customFormat="1" ht="11.25" customHeight="1">
      <c r="B310" s="474" t="s">
        <v>3670</v>
      </c>
      <c r="D310" s="474"/>
      <c r="E310" s="474"/>
      <c r="F310" s="474"/>
      <c r="G310" s="474"/>
      <c r="H310" s="474"/>
      <c r="I310" s="474" t="s">
        <v>3794</v>
      </c>
      <c r="J310" s="474"/>
      <c r="K310" s="474"/>
      <c r="L310" s="3372" t="s">
        <v>4811</v>
      </c>
      <c r="M310" s="3373"/>
      <c r="N310" s="3374"/>
      <c r="O310" s="474"/>
      <c r="P310" s="474"/>
      <c r="Q310" s="474"/>
      <c r="R310" s="474"/>
      <c r="AE310" s="567"/>
      <c r="AF310" s="567"/>
    </row>
    <row r="311" spans="1:33" s="502" customFormat="1" ht="44.25" customHeight="1">
      <c r="B311" s="161" t="s">
        <v>1750</v>
      </c>
      <c r="C311" s="3287" t="s">
        <v>3668</v>
      </c>
      <c r="D311" s="3287"/>
      <c r="E311" s="3287"/>
      <c r="F311" s="3287"/>
      <c r="G311" s="3287"/>
      <c r="H311" s="3287"/>
      <c r="I311" s="3287"/>
      <c r="J311" s="3287"/>
      <c r="K311" s="3287"/>
      <c r="L311" s="3287"/>
      <c r="M311" s="3287"/>
      <c r="N311" s="3287"/>
      <c r="O311" s="174" t="s">
        <v>3673</v>
      </c>
      <c r="P311" s="1548" t="s">
        <v>3011</v>
      </c>
      <c r="Q311" s="1547"/>
      <c r="AE311" s="566"/>
      <c r="AF311" s="566"/>
    </row>
    <row r="312" spans="1:33" s="502" customFormat="1" ht="11.25" customHeight="1">
      <c r="B312" s="161" t="s">
        <v>1751</v>
      </c>
      <c r="C312" s="3287" t="s">
        <v>3713</v>
      </c>
      <c r="D312" s="3287"/>
      <c r="E312" s="3287"/>
      <c r="F312" s="3287"/>
      <c r="G312" s="3287"/>
      <c r="H312" s="3287"/>
      <c r="I312" s="3287"/>
      <c r="J312" s="3287"/>
      <c r="K312" s="3287"/>
      <c r="L312" s="3287"/>
      <c r="M312" s="3287"/>
      <c r="N312" s="3287"/>
      <c r="O312" s="174" t="s">
        <v>3674</v>
      </c>
      <c r="P312" s="675" t="s">
        <v>3011</v>
      </c>
      <c r="Q312" s="659"/>
      <c r="AE312" s="566"/>
      <c r="AF312" s="566"/>
    </row>
    <row r="313" spans="1:33" s="502" customFormat="1" ht="34.5" customHeight="1">
      <c r="B313" s="174" t="s">
        <v>1752</v>
      </c>
      <c r="C313" s="3287" t="s">
        <v>3671</v>
      </c>
      <c r="D313" s="3287"/>
      <c r="E313" s="3287"/>
      <c r="F313" s="3287"/>
      <c r="G313" s="3287"/>
      <c r="H313" s="3287"/>
      <c r="I313" s="3287"/>
      <c r="J313" s="3287"/>
      <c r="K313" s="3287"/>
      <c r="L313" s="3287"/>
      <c r="M313" s="3287"/>
      <c r="N313" s="3287"/>
      <c r="O313" s="174" t="s">
        <v>3675</v>
      </c>
      <c r="P313" s="675" t="s">
        <v>3011</v>
      </c>
      <c r="Q313" s="659"/>
      <c r="AE313" s="566"/>
      <c r="AF313" s="566"/>
    </row>
    <row r="314" spans="1:33" s="502" customFormat="1" ht="32.25" customHeight="1">
      <c r="B314" s="174" t="s">
        <v>2381</v>
      </c>
      <c r="C314" s="3287" t="s">
        <v>3672</v>
      </c>
      <c r="D314" s="3287"/>
      <c r="E314" s="3287"/>
      <c r="F314" s="3287"/>
      <c r="G314" s="3287"/>
      <c r="H314" s="3287"/>
      <c r="I314" s="3287"/>
      <c r="J314" s="3287"/>
      <c r="K314" s="3287"/>
      <c r="L314" s="3287"/>
      <c r="M314" s="3287"/>
      <c r="N314" s="3287"/>
      <c r="O314" s="174" t="s">
        <v>3676</v>
      </c>
      <c r="P314" s="1551" t="s">
        <v>3011</v>
      </c>
      <c r="Q314" s="1549"/>
      <c r="AE314" s="566"/>
      <c r="AF314" s="566"/>
    </row>
    <row r="315" spans="1:33" ht="11.25" customHeight="1">
      <c r="B315" s="152" t="s">
        <v>3785</v>
      </c>
      <c r="D315" s="152"/>
      <c r="E315" s="152"/>
      <c r="F315" s="152"/>
      <c r="G315" s="152"/>
      <c r="H315" s="41"/>
      <c r="I315" s="1544"/>
      <c r="J315" s="1544"/>
      <c r="K315" s="1544"/>
      <c r="L315" s="1536"/>
      <c r="M315" s="1536"/>
      <c r="N315" s="1536"/>
      <c r="O315" s="1536"/>
      <c r="P315" s="1536"/>
      <c r="Q315" s="1092"/>
    </row>
    <row r="316" spans="1:33" ht="32.25" customHeight="1">
      <c r="A316" s="3838" t="s">
        <v>4812</v>
      </c>
      <c r="B316" s="3839"/>
      <c r="C316" s="3839"/>
      <c r="D316" s="3839"/>
      <c r="E316" s="3839"/>
      <c r="F316" s="3839"/>
      <c r="G316" s="3839"/>
      <c r="H316" s="3839"/>
      <c r="I316" s="3839"/>
      <c r="J316" s="3839"/>
      <c r="K316" s="3839"/>
      <c r="L316" s="3839"/>
      <c r="M316" s="3839"/>
      <c r="N316" s="3839"/>
      <c r="O316" s="3839"/>
      <c r="P316" s="3839"/>
      <c r="Q316" s="3840"/>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331"/>
      <c r="B318" s="3332"/>
      <c r="C318" s="3332"/>
      <c r="D318" s="3332"/>
      <c r="E318" s="3332"/>
      <c r="F318" s="3332"/>
      <c r="G318" s="3332"/>
      <c r="H318" s="3332"/>
      <c r="I318" s="3332"/>
      <c r="J318" s="3332"/>
      <c r="K318" s="3332"/>
      <c r="L318" s="3332"/>
      <c r="M318" s="3332"/>
      <c r="N318" s="3332"/>
      <c r="O318" s="3332"/>
      <c r="P318" s="3332"/>
      <c r="Q318" s="3333"/>
    </row>
    <row r="319" spans="1:33" ht="13.9" customHeight="1">
      <c r="A319" s="1542" t="s">
        <v>4156</v>
      </c>
      <c r="B319" s="10" t="s">
        <v>2683</v>
      </c>
      <c r="C319" s="10"/>
      <c r="D319" s="10"/>
      <c r="E319" s="10"/>
      <c r="F319" s="10"/>
      <c r="G319" s="10"/>
      <c r="H319" s="1537"/>
      <c r="I319" s="1537"/>
      <c r="J319" s="1537"/>
      <c r="K319" s="1537"/>
      <c r="L319" s="1537"/>
      <c r="M319" s="1537"/>
      <c r="O319" s="143" t="s">
        <v>1881</v>
      </c>
      <c r="P319" s="3334"/>
      <c r="Q319" s="3335"/>
    </row>
    <row r="320" spans="1:33" ht="11.45" customHeight="1">
      <c r="B320" s="156" t="s">
        <v>2268</v>
      </c>
      <c r="P320" s="251" t="s">
        <v>3014</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45" customHeight="1">
      <c r="A322" s="153" t="s">
        <v>1999</v>
      </c>
      <c r="B322" s="213" t="s">
        <v>463</v>
      </c>
      <c r="D322" s="1093"/>
      <c r="E322" s="1093"/>
      <c r="F322" s="1093"/>
      <c r="G322" s="1093"/>
      <c r="H322" s="1093"/>
      <c r="I322" s="1093"/>
      <c r="J322" s="1093"/>
      <c r="K322" s="1093"/>
      <c r="L322" s="1093"/>
      <c r="M322" s="1093"/>
      <c r="N322" s="174"/>
    </row>
    <row r="323" spans="1:256 1523:1523" ht="22.5" customHeight="1">
      <c r="B323" s="3287" t="s">
        <v>2900</v>
      </c>
      <c r="C323" s="3287"/>
      <c r="D323" s="3287"/>
      <c r="E323" s="3287"/>
      <c r="F323" s="3287"/>
      <c r="G323" s="3287"/>
      <c r="H323" s="3287"/>
      <c r="I323" s="3287"/>
      <c r="J323" s="3287"/>
      <c r="K323" s="3287"/>
      <c r="L323" s="3287"/>
      <c r="M323" s="3287"/>
      <c r="N323" s="3287"/>
      <c r="O323" s="174" t="s">
        <v>1999</v>
      </c>
      <c r="P323" s="173"/>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326" t="s">
        <v>3952</v>
      </c>
      <c r="H325" s="3327"/>
      <c r="I325" s="3327"/>
      <c r="J325" s="3327"/>
      <c r="K325" s="3327"/>
      <c r="L325" s="3327"/>
      <c r="M325" s="3327"/>
      <c r="N325" s="3328"/>
      <c r="O325" s="250" t="s">
        <v>1750</v>
      </c>
      <c r="P325" s="1548" t="s">
        <v>3011</v>
      </c>
      <c r="Q325" s="1547"/>
      <c r="BFO325" s="159" t="s">
        <v>2745</v>
      </c>
    </row>
    <row r="326" spans="1:256 1523:1523" ht="23.25" customHeight="1">
      <c r="B326" s="246" t="s">
        <v>1751</v>
      </c>
      <c r="C326" s="3287" t="s">
        <v>1142</v>
      </c>
      <c r="D326" s="3287"/>
      <c r="E326" s="3287"/>
      <c r="F326" s="3370"/>
      <c r="G326" s="3313" t="s">
        <v>3797</v>
      </c>
      <c r="H326" s="3329"/>
      <c r="I326" s="3329"/>
      <c r="J326" s="3329"/>
      <c r="K326" s="3329"/>
      <c r="L326" s="3329"/>
      <c r="M326" s="3329"/>
      <c r="N326" s="3330"/>
      <c r="O326" s="250" t="s">
        <v>1751</v>
      </c>
      <c r="P326" s="1551" t="s">
        <v>3011</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757</v>
      </c>
      <c r="B328" s="3371" t="s">
        <v>2689</v>
      </c>
      <c r="C328" s="3371"/>
      <c r="D328" s="3371"/>
      <c r="E328" s="3371"/>
      <c r="F328" s="3371"/>
      <c r="G328" s="3371"/>
      <c r="H328" s="3371"/>
      <c r="I328" s="3371"/>
      <c r="J328" s="3371"/>
      <c r="K328" s="3371"/>
      <c r="L328" s="3371"/>
      <c r="M328" s="3371"/>
      <c r="N328" s="3371"/>
      <c r="O328" s="536" t="s">
        <v>757</v>
      </c>
      <c r="P328" s="1536"/>
      <c r="Q328" s="1092"/>
      <c r="AE328" s="564"/>
      <c r="AF328" s="564"/>
    </row>
    <row r="329" spans="1:256 1523:1523" s="144" customFormat="1" ht="11.25" customHeight="1">
      <c r="A329" s="155"/>
      <c r="B329" s="246" t="s">
        <v>1750</v>
      </c>
      <c r="C329" s="3301"/>
      <c r="D329" s="3302"/>
      <c r="E329" s="3302"/>
      <c r="F329" s="3302"/>
      <c r="G329" s="3302"/>
      <c r="H329" s="3302"/>
      <c r="I329" s="3302"/>
      <c r="J329" s="3302"/>
      <c r="K329" s="3302"/>
      <c r="L329" s="3302"/>
      <c r="M329" s="3302"/>
      <c r="N329" s="3303"/>
      <c r="O329" s="250" t="s">
        <v>1750</v>
      </c>
      <c r="P329" s="1548"/>
      <c r="Q329" s="1547"/>
      <c r="AE329" s="564"/>
      <c r="AF329" s="564"/>
    </row>
    <row r="330" spans="1:256 1523:1523" s="144" customFormat="1" ht="11.25" customHeight="1">
      <c r="A330" s="155"/>
      <c r="B330" s="246" t="s">
        <v>1751</v>
      </c>
      <c r="C330" s="3313"/>
      <c r="D330" s="3314"/>
      <c r="E330" s="3314"/>
      <c r="F330" s="3314"/>
      <c r="G330" s="3314"/>
      <c r="H330" s="3314"/>
      <c r="I330" s="3314"/>
      <c r="J330" s="3314"/>
      <c r="K330" s="3314"/>
      <c r="L330" s="3314"/>
      <c r="M330" s="3314"/>
      <c r="N330" s="3315"/>
      <c r="O330" s="250" t="s">
        <v>1751</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3785</v>
      </c>
      <c r="D332" s="152"/>
      <c r="E332" s="152"/>
      <c r="F332" s="152"/>
      <c r="G332" s="152"/>
      <c r="H332" s="41"/>
      <c r="I332" s="1544"/>
      <c r="J332" s="1544"/>
      <c r="K332" s="1544"/>
      <c r="L332" s="1536"/>
      <c r="M332" s="1536"/>
      <c r="N332" s="1536"/>
      <c r="O332" s="1536"/>
      <c r="P332" s="1536"/>
      <c r="Q332" s="1092"/>
    </row>
    <row r="333" spans="1:256 1523:1523" ht="11.45" customHeight="1">
      <c r="A333" s="3838" t="s">
        <v>4813</v>
      </c>
      <c r="B333" s="3839"/>
      <c r="C333" s="3839"/>
      <c r="D333" s="3839"/>
      <c r="E333" s="3839"/>
      <c r="F333" s="3839"/>
      <c r="G333" s="3839"/>
      <c r="H333" s="3839"/>
      <c r="I333" s="3839"/>
      <c r="J333" s="3839"/>
      <c r="K333" s="3839"/>
      <c r="L333" s="3839"/>
      <c r="M333" s="3839"/>
      <c r="N333" s="3839"/>
      <c r="O333" s="3839"/>
      <c r="P333" s="3839"/>
      <c r="Q333" s="3840"/>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45" customHeight="1">
      <c r="A335" s="3252"/>
      <c r="B335" s="3253"/>
      <c r="C335" s="3253"/>
      <c r="D335" s="3253"/>
      <c r="E335" s="3253"/>
      <c r="F335" s="3253"/>
      <c r="G335" s="3253"/>
      <c r="H335" s="3253"/>
      <c r="I335" s="3253"/>
      <c r="J335" s="3253"/>
      <c r="K335" s="3253"/>
      <c r="L335" s="3253"/>
      <c r="M335" s="3253"/>
      <c r="N335" s="3253"/>
      <c r="O335" s="3253"/>
      <c r="P335" s="3253"/>
      <c r="Q335" s="3254"/>
    </row>
    <row r="336" spans="1:256 1523:1523" ht="13.9" customHeight="1">
      <c r="A336" s="1542" t="s">
        <v>4159</v>
      </c>
      <c r="B336" s="1542" t="s">
        <v>4198</v>
      </c>
      <c r="C336" s="1542"/>
      <c r="D336" s="1537"/>
      <c r="E336" s="1537"/>
      <c r="F336" s="1537"/>
      <c r="G336" s="1537"/>
      <c r="H336" s="1537"/>
      <c r="O336" s="143" t="s">
        <v>1881</v>
      </c>
      <c r="P336" s="3209"/>
      <c r="Q336" s="3210"/>
    </row>
    <row r="337" spans="1:31" ht="11.45" customHeight="1">
      <c r="A337" s="48" t="s">
        <v>1999</v>
      </c>
      <c r="B337" s="56" t="s">
        <v>3954</v>
      </c>
      <c r="O337" s="174" t="s">
        <v>1999</v>
      </c>
      <c r="P337" s="576" t="s">
        <v>3011</v>
      </c>
      <c r="Q337" s="655"/>
    </row>
    <row r="338" spans="1:31" ht="11.45" customHeight="1">
      <c r="A338" s="153" t="s">
        <v>2001</v>
      </c>
      <c r="B338" s="56" t="s">
        <v>4143</v>
      </c>
      <c r="O338" s="174" t="s">
        <v>2001</v>
      </c>
      <c r="P338" s="251" t="s">
        <v>3011</v>
      </c>
      <c r="Q338" s="656"/>
    </row>
    <row r="339" spans="1:31" ht="11.45" customHeight="1">
      <c r="A339" s="153" t="s">
        <v>757</v>
      </c>
      <c r="B339" s="156" t="s">
        <v>2366</v>
      </c>
      <c r="O339" s="174" t="s">
        <v>757</v>
      </c>
      <c r="P339" s="445" t="s">
        <v>3014</v>
      </c>
      <c r="Q339" s="657"/>
    </row>
    <row r="340" spans="1:31" ht="11.45" customHeight="1">
      <c r="A340" s="48" t="s">
        <v>2131</v>
      </c>
      <c r="B340" s="56" t="s">
        <v>3877</v>
      </c>
      <c r="O340" s="561" t="s">
        <v>2131</v>
      </c>
      <c r="P340" s="252" t="s">
        <v>3014</v>
      </c>
      <c r="Q340" s="658"/>
    </row>
    <row r="341" spans="1:31" ht="11.45" customHeight="1">
      <c r="A341" s="153" t="s">
        <v>1748</v>
      </c>
      <c r="B341" s="56" t="s">
        <v>2903</v>
      </c>
      <c r="N341" s="174" t="s">
        <v>1748</v>
      </c>
      <c r="O341" s="2553" t="s">
        <v>3875</v>
      </c>
      <c r="P341" s="2554"/>
      <c r="Q341" s="2555"/>
    </row>
    <row r="342" spans="1:31" ht="11.45" customHeight="1">
      <c r="A342" s="153" t="s">
        <v>1749</v>
      </c>
      <c r="B342" s="498" t="s">
        <v>2367</v>
      </c>
      <c r="N342" s="174" t="s">
        <v>1749</v>
      </c>
      <c r="O342" s="3323" t="s">
        <v>2904</v>
      </c>
      <c r="P342" s="3324"/>
      <c r="Q342" s="3325"/>
    </row>
    <row r="343" spans="1:31" ht="11.25" customHeight="1">
      <c r="B343" s="152" t="s">
        <v>3785</v>
      </c>
      <c r="D343" s="152"/>
      <c r="E343" s="152"/>
      <c r="F343" s="152"/>
      <c r="G343" s="152"/>
      <c r="H343" s="41"/>
      <c r="I343" s="1544"/>
      <c r="J343" s="1544"/>
      <c r="K343" s="1544"/>
      <c r="L343" s="1536"/>
      <c r="M343" s="1536"/>
      <c r="N343" s="1536"/>
      <c r="O343" s="1536"/>
      <c r="P343" s="1536"/>
      <c r="Q343" s="1092"/>
    </row>
    <row r="344" spans="1:31" ht="33" customHeight="1">
      <c r="A344" s="3838" t="s">
        <v>4814</v>
      </c>
      <c r="B344" s="3839"/>
      <c r="C344" s="3839"/>
      <c r="D344" s="3839"/>
      <c r="E344" s="3839"/>
      <c r="F344" s="3839"/>
      <c r="G344" s="3839"/>
      <c r="H344" s="3839"/>
      <c r="I344" s="3839"/>
      <c r="J344" s="3839"/>
      <c r="K344" s="3839"/>
      <c r="L344" s="3839"/>
      <c r="M344" s="3839"/>
      <c r="N344" s="3839"/>
      <c r="O344" s="3839"/>
      <c r="P344" s="3839"/>
      <c r="Q344" s="3840"/>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15" customHeight="1">
      <c r="A346" s="3252"/>
      <c r="B346" s="3253"/>
      <c r="C346" s="3253"/>
      <c r="D346" s="3253"/>
      <c r="E346" s="3253"/>
      <c r="F346" s="3253"/>
      <c r="G346" s="3253"/>
      <c r="H346" s="3253"/>
      <c r="I346" s="3253"/>
      <c r="J346" s="3253"/>
      <c r="K346" s="3253"/>
      <c r="L346" s="3253"/>
      <c r="M346" s="3253"/>
      <c r="N346" s="3253"/>
      <c r="O346" s="3253"/>
      <c r="P346" s="3253"/>
      <c r="Q346" s="3254"/>
    </row>
    <row r="347" spans="1:31" ht="13.9" customHeight="1">
      <c r="A347" s="1542" t="s">
        <v>4160</v>
      </c>
      <c r="B347" s="4" t="s">
        <v>2684</v>
      </c>
      <c r="C347" s="4"/>
      <c r="D347" s="94"/>
      <c r="E347" s="1537"/>
      <c r="F347" s="1537"/>
      <c r="G347" s="1537"/>
      <c r="H347" s="1537"/>
      <c r="I347" s="1537"/>
      <c r="J347" s="1537"/>
      <c r="K347" s="1537"/>
      <c r="L347" s="1537"/>
      <c r="M347" s="1537"/>
      <c r="O347" s="143" t="s">
        <v>1881</v>
      </c>
      <c r="P347" s="3209"/>
      <c r="Q347" s="3210"/>
    </row>
    <row r="348" spans="1:31" ht="12.75" customHeight="1">
      <c r="A348" s="153" t="s">
        <v>1999</v>
      </c>
      <c r="B348" s="151" t="s">
        <v>3685</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3886</v>
      </c>
      <c r="D349" s="151"/>
      <c r="E349" s="151"/>
      <c r="F349" s="151"/>
      <c r="G349" s="151"/>
      <c r="H349" s="151"/>
      <c r="I349" s="151"/>
      <c r="J349" s="151"/>
      <c r="K349" s="151"/>
      <c r="L349" s="151"/>
      <c r="M349" s="151"/>
      <c r="N349" s="151"/>
      <c r="O349" s="174" t="s">
        <v>2001</v>
      </c>
      <c r="P349" s="445" t="s">
        <v>3014</v>
      </c>
      <c r="Q349" s="657"/>
    </row>
    <row r="350" spans="1:31" ht="22.5" customHeight="1">
      <c r="A350" s="153" t="s">
        <v>757</v>
      </c>
      <c r="B350" s="3287" t="s">
        <v>4144</v>
      </c>
      <c r="C350" s="3287"/>
      <c r="D350" s="3287"/>
      <c r="E350" s="3287"/>
      <c r="F350" s="3287"/>
      <c r="G350" s="3287"/>
      <c r="H350" s="3287"/>
      <c r="I350" s="3287"/>
      <c r="J350" s="3287"/>
      <c r="K350" s="3287"/>
      <c r="L350" s="3287"/>
      <c r="M350" s="3287"/>
      <c r="N350" s="3287"/>
      <c r="O350" s="174" t="s">
        <v>757</v>
      </c>
      <c r="P350" s="252" t="s">
        <v>3011</v>
      </c>
      <c r="Q350" s="658"/>
    </row>
    <row r="351" spans="1:31" ht="11.25" customHeight="1">
      <c r="B351" s="152" t="s">
        <v>3785</v>
      </c>
      <c r="D351" s="152"/>
      <c r="E351" s="152"/>
      <c r="F351" s="152"/>
      <c r="G351" s="152"/>
      <c r="H351" s="41"/>
      <c r="I351" s="1544"/>
      <c r="J351" s="1544"/>
      <c r="K351" s="1544"/>
      <c r="L351" s="1536"/>
      <c r="M351" s="1536"/>
      <c r="N351" s="1536"/>
      <c r="O351" s="1536"/>
      <c r="P351" s="1536"/>
      <c r="Q351" s="1092"/>
    </row>
    <row r="352" spans="1:31" ht="25.5" customHeight="1">
      <c r="A352" s="3838" t="s">
        <v>4814</v>
      </c>
      <c r="B352" s="3839"/>
      <c r="C352" s="3839"/>
      <c r="D352" s="3839"/>
      <c r="E352" s="3839"/>
      <c r="F352" s="3839"/>
      <c r="G352" s="3839"/>
      <c r="H352" s="3839"/>
      <c r="I352" s="3839"/>
      <c r="J352" s="3839"/>
      <c r="K352" s="3839"/>
      <c r="L352" s="3839"/>
      <c r="M352" s="3839"/>
      <c r="N352" s="3839"/>
      <c r="O352" s="3839"/>
      <c r="P352" s="3839"/>
      <c r="Q352" s="3840"/>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45" customHeight="1">
      <c r="A354" s="3252"/>
      <c r="B354" s="3253"/>
      <c r="C354" s="3253"/>
      <c r="D354" s="3253"/>
      <c r="E354" s="3253"/>
      <c r="F354" s="3253"/>
      <c r="G354" s="3253"/>
      <c r="H354" s="3253"/>
      <c r="I354" s="3253"/>
      <c r="J354" s="3253"/>
      <c r="K354" s="3253"/>
      <c r="L354" s="3253"/>
      <c r="M354" s="3253"/>
      <c r="N354" s="3253"/>
      <c r="O354" s="3253"/>
      <c r="P354" s="3253"/>
      <c r="Q354" s="3254"/>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 customHeight="1">
      <c r="A356" s="1542" t="s">
        <v>4163</v>
      </c>
      <c r="B356" s="4" t="s">
        <v>4131</v>
      </c>
      <c r="C356" s="4"/>
      <c r="D356" s="4"/>
      <c r="E356" s="4"/>
      <c r="F356" s="4"/>
      <c r="G356" s="4"/>
      <c r="H356" s="1537"/>
      <c r="I356" s="1537"/>
      <c r="J356" s="1537"/>
      <c r="K356" s="1537"/>
      <c r="L356" s="1537"/>
      <c r="M356" s="1537"/>
      <c r="O356" s="143" t="s">
        <v>1881</v>
      </c>
      <c r="P356" s="3336"/>
      <c r="Q356" s="3210"/>
    </row>
    <row r="357" spans="1:32" ht="10.5" customHeight="1">
      <c r="A357" s="48" t="s">
        <v>1999</v>
      </c>
      <c r="B357" s="146" t="s">
        <v>4132</v>
      </c>
      <c r="D357" s="162"/>
      <c r="E357" s="162"/>
      <c r="F357" s="162"/>
      <c r="G357" s="162"/>
      <c r="H357" s="561" t="s">
        <v>1999</v>
      </c>
      <c r="I357" s="3271"/>
      <c r="J357" s="3272"/>
      <c r="K357" s="3272"/>
      <c r="L357" s="3272"/>
      <c r="M357" s="3272"/>
      <c r="N357" s="3272"/>
      <c r="O357" s="3272"/>
      <c r="P357" s="3273"/>
      <c r="Q357" s="654"/>
    </row>
    <row r="358" spans="1:32" ht="10.5" customHeight="1">
      <c r="A358" s="153" t="s">
        <v>2001</v>
      </c>
      <c r="B358" s="146" t="s">
        <v>4133</v>
      </c>
      <c r="D358" s="162"/>
      <c r="E358" s="162"/>
      <c r="F358" s="162"/>
      <c r="G358" s="162"/>
      <c r="H358" s="174" t="s">
        <v>2001</v>
      </c>
      <c r="I358" s="3271"/>
      <c r="J358" s="3272"/>
      <c r="K358" s="3272"/>
      <c r="L358" s="3272"/>
      <c r="M358" s="3272"/>
      <c r="N358" s="3272"/>
      <c r="O358" s="3272"/>
      <c r="P358" s="3273"/>
      <c r="Q358" s="654"/>
    </row>
    <row r="359" spans="1:32" ht="21.75" customHeight="1">
      <c r="A359" s="153" t="s">
        <v>757</v>
      </c>
      <c r="B359" s="3338" t="s">
        <v>4123</v>
      </c>
      <c r="C359" s="3338"/>
      <c r="D359" s="3338"/>
      <c r="E359" s="3338"/>
      <c r="F359" s="3338"/>
      <c r="G359" s="3338"/>
      <c r="H359" s="3338"/>
      <c r="I359" s="3338"/>
      <c r="J359" s="3338"/>
      <c r="K359" s="3338"/>
      <c r="L359" s="3338"/>
      <c r="M359" s="3338"/>
      <c r="N359" s="3338"/>
      <c r="O359" s="174" t="s">
        <v>757</v>
      </c>
      <c r="P359" s="1392"/>
      <c r="Q359" s="1589"/>
    </row>
    <row r="360" spans="1:32" ht="21.75" customHeight="1">
      <c r="A360" s="153" t="s">
        <v>2131</v>
      </c>
      <c r="B360" s="3287" t="s">
        <v>4124</v>
      </c>
      <c r="C360" s="3287"/>
      <c r="D360" s="3287"/>
      <c r="E360" s="3287"/>
      <c r="F360" s="3287"/>
      <c r="G360" s="3287"/>
      <c r="H360" s="3287"/>
      <c r="I360" s="3287"/>
      <c r="J360" s="3287"/>
      <c r="K360" s="3287"/>
      <c r="L360" s="3287"/>
      <c r="M360" s="3287"/>
      <c r="N360" s="3287"/>
      <c r="O360" s="561" t="s">
        <v>2131</v>
      </c>
      <c r="P360" s="675"/>
      <c r="Q360" s="659"/>
    </row>
    <row r="361" spans="1:32" ht="10.5" customHeight="1">
      <c r="A361" s="153" t="s">
        <v>1748</v>
      </c>
      <c r="B361" s="53" t="s">
        <v>4125</v>
      </c>
      <c r="D361" s="53"/>
      <c r="E361" s="53"/>
      <c r="F361" s="53"/>
      <c r="G361" s="53"/>
      <c r="H361" s="53"/>
      <c r="I361" s="53"/>
      <c r="J361" s="53"/>
      <c r="K361" s="53"/>
      <c r="L361" s="53"/>
      <c r="M361" s="53"/>
      <c r="O361" s="174" t="s">
        <v>1748</v>
      </c>
      <c r="P361" s="445"/>
      <c r="Q361" s="657"/>
    </row>
    <row r="362" spans="1:32" s="144" customFormat="1" ht="21.75" customHeight="1">
      <c r="A362" s="153" t="s">
        <v>1749</v>
      </c>
      <c r="B362" s="3287" t="s">
        <v>4126</v>
      </c>
      <c r="C362" s="3287"/>
      <c r="D362" s="3287"/>
      <c r="E362" s="3287"/>
      <c r="F362" s="3287"/>
      <c r="G362" s="3287"/>
      <c r="H362" s="3287"/>
      <c r="I362" s="3287"/>
      <c r="J362" s="3287"/>
      <c r="K362" s="3287"/>
      <c r="L362" s="3287"/>
      <c r="M362" s="3287"/>
      <c r="N362" s="3287"/>
      <c r="O362" s="174" t="s">
        <v>1749</v>
      </c>
      <c r="P362" s="1069"/>
      <c r="Q362" s="1070"/>
      <c r="AE362" s="564"/>
      <c r="AF362" s="564"/>
    </row>
    <row r="363" spans="1:32" s="144" customFormat="1" ht="10.5" customHeight="1">
      <c r="A363" s="153" t="s">
        <v>1962</v>
      </c>
      <c r="B363" s="151" t="s">
        <v>4127</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3866</v>
      </c>
      <c r="E364" s="1537"/>
      <c r="F364" s="1537"/>
      <c r="G364" s="1537"/>
      <c r="H364" s="1537"/>
      <c r="I364" s="1537"/>
      <c r="J364" s="1537"/>
      <c r="K364" s="1537"/>
      <c r="L364" s="1537"/>
      <c r="M364" s="1537"/>
      <c r="N364" s="1537"/>
      <c r="P364" s="1551"/>
      <c r="Q364" s="1549"/>
      <c r="AE364" s="564"/>
      <c r="AF364" s="564"/>
    </row>
    <row r="365" spans="1:32" ht="21.75" customHeight="1">
      <c r="A365" s="153" t="s">
        <v>3392</v>
      </c>
      <c r="B365" s="3287" t="s">
        <v>4128</v>
      </c>
      <c r="C365" s="3287"/>
      <c r="D365" s="3287"/>
      <c r="E365" s="3287"/>
      <c r="F365" s="3287"/>
      <c r="G365" s="3287"/>
      <c r="H365" s="3287"/>
      <c r="I365" s="3287"/>
      <c r="J365" s="3287"/>
      <c r="K365" s="3287"/>
      <c r="L365" s="3287"/>
      <c r="M365" s="3287"/>
      <c r="N365" s="3287"/>
      <c r="O365" s="174" t="s">
        <v>3392</v>
      </c>
      <c r="P365" s="1548"/>
      <c r="Q365" s="1547"/>
    </row>
    <row r="366" spans="1:32" ht="33" customHeight="1">
      <c r="A366" s="153" t="s">
        <v>622</v>
      </c>
      <c r="B366" s="3287" t="s">
        <v>4129</v>
      </c>
      <c r="C366" s="3287"/>
      <c r="D366" s="3287"/>
      <c r="E366" s="3287"/>
      <c r="F366" s="3287"/>
      <c r="G366" s="3287"/>
      <c r="H366" s="3287"/>
      <c r="I366" s="3287"/>
      <c r="J366" s="3287"/>
      <c r="K366" s="3287"/>
      <c r="L366" s="3287"/>
      <c r="M366" s="3287"/>
      <c r="N366" s="3287"/>
      <c r="O366" s="174" t="s">
        <v>622</v>
      </c>
      <c r="P366" s="1551"/>
      <c r="Q366" s="1549"/>
    </row>
    <row r="367" spans="1:32" ht="10.5" customHeight="1">
      <c r="B367" s="152" t="s">
        <v>3785</v>
      </c>
      <c r="D367" s="152"/>
      <c r="E367" s="152"/>
      <c r="F367" s="152"/>
      <c r="G367" s="152"/>
      <c r="H367" s="41"/>
      <c r="I367" s="1544"/>
      <c r="J367" s="1544"/>
      <c r="K367" s="1544"/>
      <c r="L367" s="1536"/>
      <c r="M367" s="1536"/>
      <c r="N367" s="1536"/>
      <c r="O367" s="1536"/>
      <c r="P367" s="1536"/>
      <c r="Q367" s="1092"/>
    </row>
    <row r="368" spans="1:32" ht="31.5" customHeight="1">
      <c r="A368" s="3838" t="s">
        <v>4815</v>
      </c>
      <c r="B368" s="3839"/>
      <c r="C368" s="3839"/>
      <c r="D368" s="3839"/>
      <c r="E368" s="3839"/>
      <c r="F368" s="3839"/>
      <c r="G368" s="3839"/>
      <c r="H368" s="3839"/>
      <c r="I368" s="3839"/>
      <c r="J368" s="3839"/>
      <c r="K368" s="3839"/>
      <c r="L368" s="3839"/>
      <c r="M368" s="3839"/>
      <c r="N368" s="3839"/>
      <c r="O368" s="3839"/>
      <c r="P368" s="3839"/>
      <c r="Q368" s="3840"/>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5" customHeight="1">
      <c r="A370" s="3252"/>
      <c r="B370" s="3253"/>
      <c r="C370" s="3253"/>
      <c r="D370" s="3253"/>
      <c r="E370" s="3253"/>
      <c r="F370" s="3253"/>
      <c r="G370" s="3253"/>
      <c r="H370" s="3253"/>
      <c r="I370" s="3253"/>
      <c r="J370" s="3253"/>
      <c r="K370" s="3253"/>
      <c r="L370" s="3253"/>
      <c r="M370" s="3253"/>
      <c r="N370" s="3253"/>
      <c r="O370" s="3253"/>
      <c r="P370" s="3253"/>
      <c r="Q370" s="3254"/>
    </row>
    <row r="371" spans="1:32" ht="3" customHeight="1">
      <c r="A371" s="1536"/>
      <c r="B371" s="1544"/>
      <c r="C371" s="1537"/>
      <c r="D371" s="1537"/>
      <c r="E371" s="1537"/>
      <c r="F371" s="1537"/>
      <c r="G371" s="1537"/>
      <c r="H371" s="1537"/>
      <c r="I371" s="1537"/>
      <c r="J371" s="1537"/>
      <c r="K371" s="1537"/>
      <c r="L371" s="1537"/>
      <c r="M371" s="1537"/>
      <c r="Q371" s="1092"/>
    </row>
    <row r="372" spans="1:32" ht="13.9" customHeight="1">
      <c r="A372" s="1542" t="s">
        <v>4164</v>
      </c>
      <c r="B372" s="4" t="s">
        <v>3955</v>
      </c>
      <c r="C372" s="4"/>
      <c r="D372" s="4"/>
      <c r="E372" s="4"/>
      <c r="F372" s="4"/>
      <c r="G372" s="4"/>
      <c r="H372" s="1537"/>
      <c r="I372" s="1537"/>
      <c r="J372" s="1537"/>
      <c r="O372" s="143" t="s">
        <v>1881</v>
      </c>
      <c r="P372" s="3209"/>
      <c r="Q372" s="3210"/>
    </row>
    <row r="373" spans="1:32" s="43" customFormat="1" ht="10.5" customHeight="1">
      <c r="A373" s="48" t="s">
        <v>1999</v>
      </c>
      <c r="B373" s="772" t="s">
        <v>3957</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39" t="s">
        <v>4181</v>
      </c>
      <c r="D374" s="3339"/>
      <c r="E374" s="3339"/>
      <c r="F374" s="3340"/>
      <c r="G374" s="3271"/>
      <c r="H374" s="3272"/>
      <c r="I374" s="3273"/>
      <c r="J374" s="1544" t="s">
        <v>3964</v>
      </c>
      <c r="K374" s="3271"/>
      <c r="L374" s="3272"/>
      <c r="M374" s="3273"/>
      <c r="N374" s="3188" t="s">
        <v>3956</v>
      </c>
      <c r="O374" s="3190"/>
      <c r="P374" s="3341"/>
      <c r="Q374" s="3342"/>
      <c r="AE374" s="51"/>
      <c r="AF374" s="51"/>
    </row>
    <row r="375" spans="1:32" s="43" customFormat="1" ht="10.5" customHeight="1">
      <c r="B375" s="37" t="s">
        <v>1751</v>
      </c>
      <c r="C375" s="53" t="s">
        <v>3958</v>
      </c>
      <c r="I375" s="561" t="s">
        <v>1751</v>
      </c>
      <c r="J375" s="3345"/>
      <c r="K375" s="3346"/>
      <c r="AE375" s="51"/>
      <c r="AF375" s="51"/>
    </row>
    <row r="376" spans="1:32" s="43" customFormat="1" ht="10.5" customHeight="1">
      <c r="A376" s="48"/>
      <c r="B376" s="37" t="s">
        <v>1752</v>
      </c>
      <c r="C376" s="53" t="s">
        <v>3959</v>
      </c>
      <c r="D376" s="47"/>
      <c r="E376" s="145"/>
      <c r="F376" s="3349" t="str">
        <f>'Part I-Project Information'!K40</f>
        <v>Urban</v>
      </c>
      <c r="G376" s="3350"/>
      <c r="H376" s="1539" t="s">
        <v>3960</v>
      </c>
      <c r="I376" s="145"/>
      <c r="J376" s="145"/>
      <c r="K376" s="145"/>
      <c r="L376" s="145"/>
      <c r="M376" s="145"/>
      <c r="N376" s="145"/>
      <c r="O376" s="561" t="s">
        <v>1752</v>
      </c>
      <c r="P376" s="251"/>
      <c r="Q376" s="656"/>
      <c r="AE376" s="51"/>
      <c r="AF376" s="51"/>
    </row>
    <row r="377" spans="1:32" s="43" customFormat="1" ht="10.5" customHeight="1">
      <c r="A377" s="48"/>
      <c r="B377" s="37" t="s">
        <v>2381</v>
      </c>
      <c r="C377" s="53" t="s">
        <v>3961</v>
      </c>
      <c r="E377" s="145"/>
      <c r="F377" s="145"/>
      <c r="G377" s="145"/>
      <c r="H377" s="145"/>
      <c r="I377" s="145"/>
      <c r="J377" s="3343"/>
      <c r="K377" s="3344"/>
      <c r="L377" s="3351"/>
      <c r="M377" s="3352"/>
      <c r="N377" s="53" t="s">
        <v>3971</v>
      </c>
      <c r="O377" s="561"/>
      <c r="P377" s="445"/>
      <c r="Q377" s="657"/>
      <c r="AE377" s="51"/>
      <c r="AF377" s="51"/>
    </row>
    <row r="378" spans="1:32" s="43" customFormat="1" ht="10.5" customHeight="1">
      <c r="A378" s="48"/>
      <c r="B378" s="37" t="s">
        <v>1561</v>
      </c>
      <c r="C378" s="53" t="s">
        <v>3962</v>
      </c>
      <c r="E378" s="53"/>
      <c r="F378" s="3347">
        <f>'Part IV-A-Uses of Funds'!J173</f>
        <v>764793</v>
      </c>
      <c r="G378" s="3348"/>
      <c r="H378" s="53" t="s">
        <v>3963</v>
      </c>
      <c r="I378" s="53"/>
      <c r="J378" s="1490"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3965</v>
      </c>
      <c r="E379" s="53"/>
      <c r="F379" s="53"/>
      <c r="G379" s="53"/>
      <c r="H379" s="53" t="s">
        <v>3619</v>
      </c>
      <c r="I379" s="53"/>
      <c r="J379" s="3343"/>
      <c r="K379" s="3344"/>
      <c r="L379" s="53" t="s">
        <v>3966</v>
      </c>
      <c r="M379" s="3351"/>
      <c r="N379" s="3352"/>
      <c r="AE379" s="51"/>
      <c r="AF379" s="51"/>
    </row>
    <row r="380" spans="1:32" s="43" customFormat="1" ht="10.5" customHeight="1">
      <c r="B380" s="37" t="s">
        <v>99</v>
      </c>
      <c r="C380" s="53" t="s">
        <v>3967</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3968</v>
      </c>
      <c r="D382" s="145"/>
      <c r="E382" s="145"/>
      <c r="F382" s="145"/>
      <c r="G382" s="145"/>
      <c r="H382" s="145"/>
      <c r="J382" s="3337" t="s">
        <v>3973</v>
      </c>
      <c r="K382" s="3337"/>
      <c r="L382" s="3337"/>
      <c r="M382" s="3337"/>
      <c r="N382" s="3239" t="s">
        <v>3970</v>
      </c>
      <c r="O382" s="3239"/>
      <c r="P382" s="145"/>
      <c r="Q382" s="145"/>
      <c r="R382" s="145"/>
      <c r="AE382" s="51"/>
      <c r="AF382" s="51"/>
    </row>
    <row r="383" spans="1:32" s="43" customFormat="1" ht="10.5" customHeight="1">
      <c r="B383" s="37" t="s">
        <v>1750</v>
      </c>
      <c r="C383" s="1093" t="s">
        <v>3969</v>
      </c>
      <c r="E383" s="1539"/>
      <c r="F383" s="1539"/>
      <c r="G383" s="1539"/>
      <c r="H383" s="1539"/>
      <c r="J383" s="3353"/>
      <c r="K383" s="3354"/>
      <c r="L383" s="3355"/>
      <c r="M383" s="3356"/>
      <c r="N383" s="1491" t="str">
        <f>IF(J383="","",J377/J383)</f>
        <v/>
      </c>
      <c r="O383" s="1492" t="str">
        <f>IF(L383="","",L377/L383)</f>
        <v/>
      </c>
      <c r="P383" s="251"/>
      <c r="Q383" s="656"/>
      <c r="AE383" s="51"/>
      <c r="AF383" s="51"/>
    </row>
    <row r="384" spans="1:32" s="43" customFormat="1" ht="10.5" customHeight="1">
      <c r="B384" s="37" t="s">
        <v>1751</v>
      </c>
      <c r="C384" s="53" t="s">
        <v>3972</v>
      </c>
      <c r="E384" s="145"/>
      <c r="F384" s="145"/>
      <c r="G384" s="145"/>
      <c r="H384" s="145"/>
      <c r="N384" s="145"/>
      <c r="O384" s="561" t="s">
        <v>1751</v>
      </c>
      <c r="P384" s="1846"/>
      <c r="Q384" s="1847"/>
      <c r="AE384" s="51"/>
      <c r="AF384" s="51"/>
    </row>
    <row r="385" spans="1:32" s="43" customFormat="1" ht="10.5" customHeight="1">
      <c r="B385" s="37" t="s">
        <v>1752</v>
      </c>
      <c r="C385" s="53" t="s">
        <v>3974</v>
      </c>
      <c r="E385" s="145"/>
      <c r="F385" s="145"/>
      <c r="G385" s="145"/>
      <c r="H385" s="145"/>
      <c r="M385" s="145"/>
      <c r="N385" s="145"/>
      <c r="O385" s="561" t="s">
        <v>1752</v>
      </c>
      <c r="P385" s="252"/>
      <c r="Q385" s="658"/>
      <c r="AE385" s="51"/>
      <c r="AF385" s="51"/>
    </row>
    <row r="386" spans="1:32" ht="10.5" customHeight="1">
      <c r="B386" s="152" t="s">
        <v>3785</v>
      </c>
      <c r="D386" s="152"/>
      <c r="E386" s="152"/>
      <c r="F386" s="152"/>
      <c r="G386" s="152"/>
      <c r="H386" s="41"/>
      <c r="I386" s="1544"/>
      <c r="J386" s="1544"/>
      <c r="K386" s="1544"/>
      <c r="L386" s="1536"/>
      <c r="M386" s="1536"/>
      <c r="N386" s="1536"/>
      <c r="O386" s="1536"/>
      <c r="P386" s="1536"/>
      <c r="Q386" s="1092"/>
    </row>
    <row r="387" spans="1:32" ht="31.5" customHeight="1">
      <c r="A387" s="3838" t="s">
        <v>4816</v>
      </c>
      <c r="B387" s="3839"/>
      <c r="C387" s="3839"/>
      <c r="D387" s="3839"/>
      <c r="E387" s="3839"/>
      <c r="F387" s="3839"/>
      <c r="G387" s="3839"/>
      <c r="H387" s="3839"/>
      <c r="I387" s="3839"/>
      <c r="J387" s="3839"/>
      <c r="K387" s="3839"/>
      <c r="L387" s="3839"/>
      <c r="M387" s="3839"/>
      <c r="N387" s="3839"/>
      <c r="O387" s="3839"/>
      <c r="P387" s="3839"/>
      <c r="Q387" s="3840"/>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5" customHeight="1">
      <c r="A389" s="3252"/>
      <c r="B389" s="3253"/>
      <c r="C389" s="3253"/>
      <c r="D389" s="3253"/>
      <c r="E389" s="3253"/>
      <c r="F389" s="3253"/>
      <c r="G389" s="3253"/>
      <c r="H389" s="3253"/>
      <c r="I389" s="3253"/>
      <c r="J389" s="3253"/>
      <c r="K389" s="3253"/>
      <c r="L389" s="3253"/>
      <c r="M389" s="3253"/>
      <c r="N389" s="3253"/>
      <c r="O389" s="3253"/>
      <c r="P389" s="3253"/>
      <c r="Q389" s="3254"/>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 customHeight="1">
      <c r="A392" s="1542" t="s">
        <v>4165</v>
      </c>
      <c r="B392" s="4" t="s">
        <v>2701</v>
      </c>
      <c r="C392" s="4"/>
      <c r="D392" s="4"/>
      <c r="E392" s="4"/>
      <c r="F392" s="4"/>
      <c r="G392" s="4"/>
      <c r="H392" s="1537"/>
      <c r="I392" s="1537"/>
      <c r="J392" s="1537"/>
      <c r="O392" s="143" t="s">
        <v>1881</v>
      </c>
      <c r="P392" s="3209"/>
      <c r="Q392" s="3210"/>
    </row>
    <row r="393" spans="1:32" ht="11.45" customHeight="1">
      <c r="A393" s="48" t="s">
        <v>1999</v>
      </c>
      <c r="B393" s="128" t="s">
        <v>1044</v>
      </c>
      <c r="E393" s="3185"/>
      <c r="F393" s="3186"/>
      <c r="G393" s="3186"/>
      <c r="H393" s="3186"/>
      <c r="I393" s="3187"/>
      <c r="J393" s="3188" t="s">
        <v>2688</v>
      </c>
      <c r="K393" s="3189"/>
      <c r="L393" s="3190"/>
      <c r="M393" s="3185"/>
      <c r="N393" s="3186"/>
      <c r="O393" s="3186"/>
      <c r="P393" s="3186"/>
      <c r="Q393" s="3187"/>
    </row>
    <row r="394" spans="1:32" ht="11.45" customHeight="1">
      <c r="A394" s="48" t="s">
        <v>2001</v>
      </c>
      <c r="B394" s="53" t="s">
        <v>3487</v>
      </c>
      <c r="D394" s="53"/>
      <c r="E394" s="53"/>
      <c r="F394" s="53"/>
      <c r="G394" s="53"/>
      <c r="H394" s="53"/>
      <c r="I394" s="53"/>
      <c r="J394" s="53"/>
      <c r="K394" s="53"/>
      <c r="L394" s="1093"/>
      <c r="M394" s="1093"/>
      <c r="O394" s="561" t="s">
        <v>2001</v>
      </c>
      <c r="P394" s="251"/>
      <c r="Q394" s="656"/>
    </row>
    <row r="395" spans="1:32" ht="22.5" customHeight="1">
      <c r="A395" s="153" t="s">
        <v>757</v>
      </c>
      <c r="B395" s="3287" t="s">
        <v>3497</v>
      </c>
      <c r="C395" s="3287"/>
      <c r="D395" s="3287"/>
      <c r="E395" s="3287"/>
      <c r="F395" s="3287"/>
      <c r="G395" s="3287"/>
      <c r="H395" s="3287"/>
      <c r="I395" s="3287"/>
      <c r="J395" s="3287"/>
      <c r="K395" s="3287"/>
      <c r="L395" s="3287"/>
      <c r="M395" s="3287"/>
      <c r="N395" s="3287"/>
      <c r="O395" s="174" t="s">
        <v>757</v>
      </c>
      <c r="P395" s="675"/>
      <c r="Q395" s="659"/>
    </row>
    <row r="396" spans="1:32">
      <c r="A396" s="48" t="s">
        <v>2131</v>
      </c>
      <c r="B396" s="56" t="s">
        <v>3728</v>
      </c>
      <c r="G396" s="1539"/>
      <c r="H396" s="1539"/>
      <c r="I396" s="1539"/>
      <c r="J396" s="1093" t="s">
        <v>3729</v>
      </c>
      <c r="L396" s="1539"/>
      <c r="M396" s="3191">
        <f>'Part III-Sources of Funds'!E11</f>
        <v>0</v>
      </c>
      <c r="N396" s="3192"/>
      <c r="O396" s="561" t="s">
        <v>2131</v>
      </c>
      <c r="P396" s="252"/>
      <c r="Q396" s="658"/>
    </row>
    <row r="397" spans="1:32" ht="11.25" customHeight="1">
      <c r="B397" s="152" t="s">
        <v>3785</v>
      </c>
      <c r="D397" s="152"/>
      <c r="E397" s="152"/>
      <c r="F397" s="152"/>
      <c r="G397" s="152"/>
      <c r="H397" s="41"/>
      <c r="I397" s="1544"/>
      <c r="J397" s="1544"/>
      <c r="K397" s="1544"/>
      <c r="L397" s="1536"/>
      <c r="M397" s="1536"/>
      <c r="N397" s="1536"/>
      <c r="O397" s="1536"/>
      <c r="P397" s="1536"/>
      <c r="Q397" s="1092"/>
    </row>
    <row r="398" spans="1:32" ht="11.45" customHeight="1">
      <c r="A398" s="3838" t="s">
        <v>4817</v>
      </c>
      <c r="B398" s="3839"/>
      <c r="C398" s="3839"/>
      <c r="D398" s="3839"/>
      <c r="E398" s="3839"/>
      <c r="F398" s="3839"/>
      <c r="G398" s="3839"/>
      <c r="H398" s="3839"/>
      <c r="I398" s="3839"/>
      <c r="J398" s="3839"/>
      <c r="K398" s="3839"/>
      <c r="L398" s="3839"/>
      <c r="M398" s="3839"/>
      <c r="N398" s="3839"/>
      <c r="O398" s="3839"/>
      <c r="P398" s="3839"/>
      <c r="Q398" s="3840"/>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45" customHeight="1">
      <c r="A400" s="3252"/>
      <c r="B400" s="3253"/>
      <c r="C400" s="3253"/>
      <c r="D400" s="3253"/>
      <c r="E400" s="3253"/>
      <c r="F400" s="3253"/>
      <c r="G400" s="3253"/>
      <c r="H400" s="3253"/>
      <c r="I400" s="3253"/>
      <c r="J400" s="3253"/>
      <c r="K400" s="3253"/>
      <c r="L400" s="3253"/>
      <c r="M400" s="3253"/>
      <c r="N400" s="3253"/>
      <c r="O400" s="3253"/>
      <c r="P400" s="3253"/>
      <c r="Q400" s="3254"/>
    </row>
    <row r="401" spans="1:31" ht="3.6" customHeight="1">
      <c r="A401" s="1536"/>
      <c r="B401" s="1544"/>
      <c r="C401" s="1537"/>
      <c r="D401" s="1537"/>
      <c r="E401" s="1537"/>
      <c r="F401" s="1537"/>
      <c r="G401" s="1537"/>
      <c r="H401" s="1537"/>
      <c r="I401" s="1537"/>
      <c r="J401" s="1537"/>
      <c r="K401" s="1537"/>
      <c r="L401" s="1537"/>
      <c r="M401" s="1537"/>
      <c r="Q401" s="1092"/>
    </row>
    <row r="402" spans="1:31" ht="13.9" customHeight="1">
      <c r="A402" s="1542" t="s">
        <v>4166</v>
      </c>
      <c r="B402" s="4" t="s">
        <v>2685</v>
      </c>
      <c r="C402" s="4"/>
      <c r="D402" s="4"/>
      <c r="E402" s="1537"/>
      <c r="G402" s="151" t="s">
        <v>708</v>
      </c>
      <c r="H402" s="1537"/>
      <c r="I402" s="1537"/>
      <c r="J402" s="1537"/>
      <c r="K402" s="1537"/>
      <c r="L402" s="1537"/>
      <c r="M402" s="1537"/>
      <c r="O402" s="143" t="s">
        <v>1881</v>
      </c>
      <c r="P402" s="3209"/>
      <c r="Q402" s="3375"/>
    </row>
    <row r="403" spans="1:31" ht="12" customHeight="1">
      <c r="A403" s="48" t="s">
        <v>1999</v>
      </c>
      <c r="B403" s="53" t="s">
        <v>2690</v>
      </c>
      <c r="D403" s="1094"/>
      <c r="E403" s="1094"/>
      <c r="H403" s="151"/>
      <c r="O403" s="561" t="s">
        <v>1999</v>
      </c>
      <c r="P403" s="251"/>
      <c r="Q403" s="656"/>
    </row>
    <row r="404" spans="1:31" ht="12" customHeight="1">
      <c r="A404" s="48" t="s">
        <v>2001</v>
      </c>
      <c r="B404" s="53" t="s">
        <v>3609</v>
      </c>
      <c r="D404" s="1094"/>
      <c r="E404" s="1094"/>
      <c r="O404" s="561" t="s">
        <v>2001</v>
      </c>
      <c r="P404" s="445"/>
      <c r="Q404" s="657"/>
    </row>
    <row r="405" spans="1:31" ht="12" customHeight="1">
      <c r="A405" s="48" t="s">
        <v>757</v>
      </c>
      <c r="B405" s="53" t="s">
        <v>4130</v>
      </c>
      <c r="D405" s="1094"/>
      <c r="E405" s="1094"/>
      <c r="O405" s="561" t="s">
        <v>757</v>
      </c>
      <c r="P405" s="445"/>
      <c r="Q405" s="657"/>
    </row>
    <row r="406" spans="1:31" ht="12" customHeight="1">
      <c r="A406" s="48" t="s">
        <v>2131</v>
      </c>
      <c r="B406" s="53" t="s">
        <v>3610</v>
      </c>
      <c r="E406" s="151"/>
      <c r="O406" s="561" t="s">
        <v>2131</v>
      </c>
      <c r="P406" s="445"/>
      <c r="Q406" s="657"/>
    </row>
    <row r="407" spans="1:31" ht="12" customHeight="1">
      <c r="A407" s="48" t="s">
        <v>1748</v>
      </c>
      <c r="B407" s="53" t="s">
        <v>2095</v>
      </c>
      <c r="E407" s="151"/>
      <c r="G407" s="561" t="s">
        <v>1748</v>
      </c>
      <c r="H407" s="3376"/>
      <c r="I407" s="3377"/>
      <c r="J407" s="3377"/>
      <c r="K407" s="3377"/>
      <c r="L407" s="3377"/>
      <c r="M407" s="3377"/>
      <c r="N407" s="3377"/>
      <c r="O407" s="3378"/>
      <c r="P407" s="252"/>
      <c r="Q407" s="658"/>
    </row>
    <row r="408" spans="1:31" ht="11.25" customHeight="1">
      <c r="B408" s="152" t="s">
        <v>3785</v>
      </c>
      <c r="D408" s="152"/>
      <c r="E408" s="152"/>
      <c r="F408" s="152"/>
      <c r="G408" s="152"/>
      <c r="H408" s="41"/>
      <c r="I408" s="1544"/>
      <c r="J408" s="1544"/>
      <c r="K408" s="1544"/>
      <c r="L408" s="1536"/>
      <c r="M408" s="1536"/>
      <c r="N408" s="1536"/>
      <c r="O408" s="1536"/>
      <c r="P408" s="1536"/>
      <c r="Q408" s="1092"/>
    </row>
    <row r="409" spans="1:31" ht="11.45" customHeight="1">
      <c r="A409" s="3838" t="s">
        <v>4818</v>
      </c>
      <c r="B409" s="3839"/>
      <c r="C409" s="3839"/>
      <c r="D409" s="3839"/>
      <c r="E409" s="3839"/>
      <c r="F409" s="3839"/>
      <c r="G409" s="3839"/>
      <c r="H409" s="3839"/>
      <c r="I409" s="3839"/>
      <c r="J409" s="3839"/>
      <c r="K409" s="3839"/>
      <c r="L409" s="3839"/>
      <c r="M409" s="3839"/>
      <c r="N409" s="3839"/>
      <c r="O409" s="3839"/>
      <c r="P409" s="3839"/>
      <c r="Q409" s="3840"/>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45" customHeight="1">
      <c r="A411" s="3252"/>
      <c r="B411" s="3253"/>
      <c r="C411" s="3253"/>
      <c r="D411" s="3253"/>
      <c r="E411" s="3253"/>
      <c r="F411" s="3253"/>
      <c r="G411" s="3253"/>
      <c r="H411" s="3253"/>
      <c r="I411" s="3253"/>
      <c r="J411" s="3253"/>
      <c r="K411" s="3253"/>
      <c r="L411" s="3253"/>
      <c r="M411" s="3253"/>
      <c r="N411" s="3253"/>
      <c r="O411" s="3253"/>
      <c r="P411" s="3253"/>
      <c r="Q411" s="3254"/>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 customHeight="1">
      <c r="A413" s="1542" t="s">
        <v>4167</v>
      </c>
      <c r="B413" s="4" t="s">
        <v>2686</v>
      </c>
      <c r="C413" s="4"/>
      <c r="D413" s="4"/>
      <c r="E413" s="4"/>
      <c r="F413" s="4"/>
      <c r="G413" s="4"/>
      <c r="H413" s="1537"/>
      <c r="I413" s="1537"/>
      <c r="J413" s="1537"/>
      <c r="K413" s="1537"/>
      <c r="L413" s="1537"/>
      <c r="M413" s="1537"/>
      <c r="O413" s="143" t="s">
        <v>1881</v>
      </c>
      <c r="P413" s="3209"/>
      <c r="Q413" s="3375"/>
    </row>
    <row r="414" spans="1:31" ht="12" customHeight="1">
      <c r="A414" s="48" t="s">
        <v>1999</v>
      </c>
      <c r="B414" s="40" t="s">
        <v>760</v>
      </c>
      <c r="D414" s="43"/>
      <c r="E414" s="43"/>
      <c r="F414" s="43"/>
      <c r="G414" s="43"/>
      <c r="H414" s="43"/>
      <c r="I414" s="43"/>
      <c r="J414" s="43"/>
      <c r="K414" s="43"/>
      <c r="L414" s="43"/>
      <c r="M414" s="43"/>
      <c r="N414" s="43"/>
      <c r="O414" s="561" t="s">
        <v>1999</v>
      </c>
      <c r="P414" s="251" t="s">
        <v>3014</v>
      </c>
      <c r="Q414" s="656"/>
    </row>
    <row r="415" spans="1:31" ht="12" customHeight="1">
      <c r="A415" s="48" t="s">
        <v>2001</v>
      </c>
      <c r="B415" s="37" t="s">
        <v>3499</v>
      </c>
      <c r="D415" s="43"/>
      <c r="E415" s="43"/>
      <c r="F415" s="43"/>
      <c r="G415" s="43"/>
      <c r="H415" s="43"/>
      <c r="I415" s="43"/>
      <c r="J415" s="43"/>
      <c r="K415" s="43"/>
      <c r="L415" s="43"/>
      <c r="M415" s="43"/>
      <c r="N415" s="43"/>
      <c r="O415" s="561" t="s">
        <v>1458</v>
      </c>
      <c r="P415" s="252" t="s">
        <v>3014</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c r="Q417" s="656"/>
    </row>
    <row r="418" spans="1:32" s="159" customFormat="1" ht="12" customHeight="1">
      <c r="A418" s="48"/>
      <c r="B418" s="53" t="s">
        <v>3596</v>
      </c>
      <c r="C418" s="53" t="s">
        <v>3597</v>
      </c>
      <c r="E418" s="53"/>
      <c r="F418" s="53"/>
      <c r="G418" s="53"/>
      <c r="H418" s="53"/>
      <c r="I418" s="53"/>
      <c r="J418" s="53"/>
      <c r="K418" s="53"/>
      <c r="L418" s="53"/>
      <c r="M418" s="53"/>
      <c r="N418" s="102"/>
      <c r="O418" s="561" t="s">
        <v>1752</v>
      </c>
      <c r="P418" s="445"/>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c r="H421" s="667"/>
      <c r="J421" s="146" t="s">
        <v>2221</v>
      </c>
      <c r="K421" s="1093"/>
      <c r="N421" s="1161"/>
      <c r="O421" s="667"/>
    </row>
    <row r="422" spans="1:32" ht="12" customHeight="1">
      <c r="A422" s="48"/>
      <c r="B422" s="146" t="s">
        <v>2219</v>
      </c>
      <c r="C422" s="37"/>
      <c r="E422" s="43"/>
      <c r="F422" s="1093"/>
      <c r="G422" s="1163"/>
      <c r="H422" s="668"/>
      <c r="J422" s="146" t="s">
        <v>2222</v>
      </c>
      <c r="K422" s="1093"/>
      <c r="N422" s="1162"/>
      <c r="O422" s="669"/>
    </row>
    <row r="423" spans="1:32" ht="12" customHeight="1">
      <c r="A423" s="48"/>
      <c r="B423" s="146" t="s">
        <v>2220</v>
      </c>
      <c r="C423" s="37"/>
      <c r="E423" s="43"/>
      <c r="F423" s="1093"/>
      <c r="G423" s="1162"/>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c r="H425" s="656"/>
      <c r="J425" s="523" t="s">
        <v>1193</v>
      </c>
      <c r="K425" s="1093"/>
      <c r="N425" s="576"/>
      <c r="O425" s="655"/>
    </row>
    <row r="426" spans="1:32" ht="12" customHeight="1">
      <c r="A426" s="43"/>
      <c r="B426" s="523" t="s">
        <v>1192</v>
      </c>
      <c r="C426" s="1093"/>
      <c r="E426" s="1093"/>
      <c r="F426" s="1093"/>
      <c r="G426" s="252"/>
      <c r="H426" s="658"/>
      <c r="J426" s="523" t="s">
        <v>2269</v>
      </c>
      <c r="N426" s="3357"/>
      <c r="O426" s="3358"/>
      <c r="P426" s="3358"/>
      <c r="Q426" s="3359"/>
    </row>
    <row r="427" spans="1:32" ht="12" customHeight="1">
      <c r="B427" s="152" t="s">
        <v>3785</v>
      </c>
      <c r="D427" s="152"/>
      <c r="E427" s="152"/>
      <c r="F427" s="152"/>
      <c r="G427" s="152"/>
      <c r="H427" s="41"/>
      <c r="I427" s="1544"/>
      <c r="J427" s="1544"/>
      <c r="K427" s="1544"/>
      <c r="P427" s="1536"/>
      <c r="Q427" s="1092"/>
    </row>
    <row r="428" spans="1:32" ht="12" customHeight="1">
      <c r="A428" s="3838" t="s">
        <v>4819</v>
      </c>
      <c r="B428" s="3839"/>
      <c r="C428" s="3839"/>
      <c r="D428" s="3839"/>
      <c r="E428" s="3839"/>
      <c r="F428" s="3839"/>
      <c r="G428" s="3839"/>
      <c r="H428" s="3839"/>
      <c r="I428" s="3839"/>
      <c r="J428" s="3839"/>
      <c r="K428" s="3839"/>
      <c r="L428" s="3839"/>
      <c r="M428" s="3839"/>
      <c r="N428" s="3839"/>
      <c r="O428" s="3839"/>
      <c r="P428" s="3839"/>
      <c r="Q428" s="3840"/>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252"/>
      <c r="B430" s="3253"/>
      <c r="C430" s="3253"/>
      <c r="D430" s="3253"/>
      <c r="E430" s="3253"/>
      <c r="F430" s="3253"/>
      <c r="G430" s="3253"/>
      <c r="H430" s="3253"/>
      <c r="I430" s="3253"/>
      <c r="J430" s="3253"/>
      <c r="K430" s="3253"/>
      <c r="L430" s="3253"/>
      <c r="M430" s="3253"/>
      <c r="N430" s="3253"/>
      <c r="O430" s="3253"/>
      <c r="P430" s="3253"/>
      <c r="Q430" s="3254"/>
    </row>
    <row r="431" spans="1:32" ht="3" customHeight="1">
      <c r="A431" s="1536"/>
      <c r="B431" s="1544"/>
      <c r="C431" s="1537"/>
      <c r="D431" s="1537"/>
      <c r="E431" s="1537"/>
      <c r="F431" s="1537"/>
      <c r="G431" s="1537"/>
      <c r="H431" s="1537"/>
      <c r="I431" s="1537"/>
      <c r="J431" s="1537"/>
      <c r="K431" s="1537"/>
      <c r="L431" s="1537"/>
      <c r="M431" s="1537"/>
      <c r="Q431" s="1092"/>
    </row>
    <row r="432" spans="1:32" ht="13.9" customHeight="1">
      <c r="A432" s="1542" t="s">
        <v>4168</v>
      </c>
      <c r="B432" s="4" t="s">
        <v>2834</v>
      </c>
      <c r="C432" s="4"/>
      <c r="D432" s="94"/>
      <c r="E432" s="1537"/>
      <c r="F432" s="1537"/>
      <c r="G432" s="1537"/>
      <c r="H432" s="1537"/>
      <c r="O432" s="143" t="s">
        <v>1881</v>
      </c>
      <c r="P432" s="3209"/>
      <c r="Q432" s="3210"/>
    </row>
    <row r="433" spans="1:32" ht="13.9" customHeight="1">
      <c r="B433" s="94" t="s">
        <v>3975</v>
      </c>
      <c r="C433" s="4"/>
      <c r="D433" s="94"/>
      <c r="E433" s="1537"/>
      <c r="F433" s="1537"/>
      <c r="G433" s="1537"/>
      <c r="H433" s="1537"/>
    </row>
    <row r="434" spans="1:32" s="144" customFormat="1" ht="21.75" customHeight="1">
      <c r="A434" s="153" t="s">
        <v>1999</v>
      </c>
      <c r="B434" s="3360" t="s">
        <v>3978</v>
      </c>
      <c r="C434" s="3360"/>
      <c r="D434" s="3360"/>
      <c r="E434" s="3360"/>
      <c r="F434" s="3360"/>
      <c r="G434" s="3360"/>
      <c r="H434" s="3360"/>
      <c r="I434" s="3360"/>
      <c r="J434" s="3360"/>
      <c r="K434" s="3360"/>
      <c r="L434" s="3360"/>
      <c r="M434" s="3360"/>
      <c r="N434" s="3360"/>
      <c r="O434" s="174" t="s">
        <v>1999</v>
      </c>
      <c r="P434" s="1548" t="s">
        <v>4773</v>
      </c>
      <c r="Q434" s="1547"/>
      <c r="AE434" s="564"/>
      <c r="AF434" s="564"/>
    </row>
    <row r="435" spans="1:32" s="144" customFormat="1" ht="22.5" customHeight="1">
      <c r="A435" s="153" t="s">
        <v>2001</v>
      </c>
      <c r="B435" s="3360" t="s">
        <v>3976</v>
      </c>
      <c r="C435" s="3360"/>
      <c r="D435" s="3360"/>
      <c r="E435" s="3360"/>
      <c r="F435" s="3360"/>
      <c r="G435" s="3360"/>
      <c r="H435" s="3360"/>
      <c r="I435" s="3360"/>
      <c r="J435" s="3360"/>
      <c r="K435" s="3360"/>
      <c r="L435" s="3360"/>
      <c r="M435" s="3360"/>
      <c r="N435" s="3360"/>
      <c r="O435" s="174" t="s">
        <v>2001</v>
      </c>
      <c r="P435" s="675" t="s">
        <v>4773</v>
      </c>
      <c r="Q435" s="659"/>
      <c r="AE435" s="564"/>
      <c r="AF435" s="564"/>
    </row>
    <row r="436" spans="1:32" s="144" customFormat="1" ht="22.5" customHeight="1">
      <c r="B436" s="3360" t="s">
        <v>3977</v>
      </c>
      <c r="C436" s="3360"/>
      <c r="D436" s="3360"/>
      <c r="E436" s="3360"/>
      <c r="F436" s="3360"/>
      <c r="G436" s="3360"/>
      <c r="H436" s="3360"/>
      <c r="I436" s="3360"/>
      <c r="J436" s="3360"/>
      <c r="K436" s="3360"/>
      <c r="L436" s="3360"/>
      <c r="M436" s="3360"/>
      <c r="N436" s="3360"/>
      <c r="O436" s="174" t="s">
        <v>1750</v>
      </c>
      <c r="P436" s="675" t="s">
        <v>4773</v>
      </c>
      <c r="Q436" s="659"/>
      <c r="AE436" s="564"/>
      <c r="AF436" s="564"/>
    </row>
    <row r="437" spans="1:32" s="144" customFormat="1" ht="12" customHeight="1">
      <c r="B437" s="474" t="s">
        <v>3979</v>
      </c>
      <c r="D437" s="722"/>
      <c r="E437" s="722"/>
      <c r="F437" s="722"/>
      <c r="G437" s="722"/>
      <c r="H437" s="722"/>
      <c r="I437" s="722"/>
      <c r="J437" s="722"/>
      <c r="K437" s="722"/>
      <c r="L437" s="722"/>
      <c r="M437" s="722"/>
      <c r="N437" s="722"/>
      <c r="O437" s="174" t="s">
        <v>1751</v>
      </c>
      <c r="P437" s="675" t="s">
        <v>4773</v>
      </c>
      <c r="Q437" s="659"/>
      <c r="AE437" s="564"/>
      <c r="AF437" s="564"/>
    </row>
    <row r="438" spans="1:32" s="144" customFormat="1" ht="36" customHeight="1">
      <c r="B438" s="3360" t="s">
        <v>3980</v>
      </c>
      <c r="C438" s="3360"/>
      <c r="D438" s="3360"/>
      <c r="E438" s="3360"/>
      <c r="F438" s="3360"/>
      <c r="G438" s="3360"/>
      <c r="H438" s="3360"/>
      <c r="I438" s="3360"/>
      <c r="J438" s="3360"/>
      <c r="K438" s="3360"/>
      <c r="L438" s="3360"/>
      <c r="M438" s="3360"/>
      <c r="N438" s="3360"/>
      <c r="O438" s="174" t="s">
        <v>1752</v>
      </c>
      <c r="P438" s="675" t="s">
        <v>4773</v>
      </c>
      <c r="Q438" s="659"/>
      <c r="AE438" s="564"/>
      <c r="AF438" s="564"/>
    </row>
    <row r="439" spans="1:32" s="144" customFormat="1" ht="22.5" customHeight="1">
      <c r="B439" s="3360" t="s">
        <v>3981</v>
      </c>
      <c r="C439" s="3360"/>
      <c r="D439" s="3360"/>
      <c r="E439" s="3360"/>
      <c r="F439" s="3360"/>
      <c r="G439" s="3360"/>
      <c r="H439" s="3360"/>
      <c r="I439" s="3360"/>
      <c r="J439" s="3360"/>
      <c r="K439" s="3360"/>
      <c r="L439" s="3360"/>
      <c r="M439" s="3360"/>
      <c r="N439" s="3360"/>
      <c r="O439" s="174" t="s">
        <v>2381</v>
      </c>
      <c r="P439" s="675" t="s">
        <v>4773</v>
      </c>
      <c r="Q439" s="659"/>
      <c r="AE439" s="564"/>
      <c r="AF439" s="564"/>
    </row>
    <row r="440" spans="1:32" s="144" customFormat="1" ht="22.5" customHeight="1">
      <c r="A440" s="153" t="s">
        <v>757</v>
      </c>
      <c r="B440" s="3360" t="s">
        <v>3982</v>
      </c>
      <c r="C440" s="3360"/>
      <c r="D440" s="3360"/>
      <c r="E440" s="3360"/>
      <c r="F440" s="3360"/>
      <c r="G440" s="3360"/>
      <c r="H440" s="3360"/>
      <c r="I440" s="3360"/>
      <c r="J440" s="3360"/>
      <c r="K440" s="3360"/>
      <c r="L440" s="3360"/>
      <c r="M440" s="3360"/>
      <c r="N440" s="3360"/>
      <c r="O440" s="174" t="s">
        <v>757</v>
      </c>
      <c r="P440" s="675" t="s">
        <v>4773</v>
      </c>
      <c r="Q440" s="659"/>
      <c r="AE440" s="564"/>
      <c r="AF440" s="564"/>
    </row>
    <row r="441" spans="1:32" s="144" customFormat="1" ht="22.5" customHeight="1">
      <c r="A441" s="153" t="s">
        <v>2131</v>
      </c>
      <c r="B441" s="3360" t="s">
        <v>3983</v>
      </c>
      <c r="C441" s="3360"/>
      <c r="D441" s="3360"/>
      <c r="E441" s="3360"/>
      <c r="F441" s="3360"/>
      <c r="G441" s="3360"/>
      <c r="H441" s="3360"/>
      <c r="I441" s="3360"/>
      <c r="J441" s="3360"/>
      <c r="K441" s="3360"/>
      <c r="L441" s="3360"/>
      <c r="M441" s="3360"/>
      <c r="N441" s="3360"/>
      <c r="O441" s="174" t="s">
        <v>2131</v>
      </c>
      <c r="P441" s="675" t="s">
        <v>4773</v>
      </c>
      <c r="Q441" s="659"/>
      <c r="AE441" s="564"/>
      <c r="AF441" s="564"/>
    </row>
    <row r="442" spans="1:32" s="144" customFormat="1" ht="21.75" customHeight="1">
      <c r="A442" s="153" t="s">
        <v>1748</v>
      </c>
      <c r="B442" s="3360" t="s">
        <v>3984</v>
      </c>
      <c r="C442" s="3360"/>
      <c r="D442" s="3360"/>
      <c r="E442" s="3360"/>
      <c r="F442" s="3360"/>
      <c r="G442" s="3360"/>
      <c r="H442" s="3360"/>
      <c r="I442" s="3360"/>
      <c r="J442" s="3360"/>
      <c r="K442" s="3360"/>
      <c r="L442" s="3360"/>
      <c r="M442" s="3360"/>
      <c r="N442" s="3360"/>
      <c r="O442" s="174" t="s">
        <v>1748</v>
      </c>
      <c r="P442" s="675" t="s">
        <v>4773</v>
      </c>
      <c r="Q442" s="659"/>
      <c r="AE442" s="564"/>
      <c r="AF442" s="564"/>
    </row>
    <row r="443" spans="1:32" s="502" customFormat="1" ht="21.75" customHeight="1">
      <c r="A443" s="153" t="s">
        <v>1749</v>
      </c>
      <c r="B443" s="3360" t="s">
        <v>3500</v>
      </c>
      <c r="C443" s="3360"/>
      <c r="D443" s="3360"/>
      <c r="E443" s="3360"/>
      <c r="F443" s="3360"/>
      <c r="G443" s="3360"/>
      <c r="H443" s="3360"/>
      <c r="I443" s="3360"/>
      <c r="J443" s="3360"/>
      <c r="K443" s="3360"/>
      <c r="L443" s="3360"/>
      <c r="M443" s="3360"/>
      <c r="N443" s="3360"/>
      <c r="O443" s="174" t="s">
        <v>1749</v>
      </c>
      <c r="P443" s="1619" t="s">
        <v>4773</v>
      </c>
      <c r="Q443" s="1620"/>
      <c r="AE443" s="566"/>
      <c r="AF443" s="566"/>
    </row>
    <row r="444" spans="1:32" ht="11.25" customHeight="1">
      <c r="B444" s="152" t="s">
        <v>3785</v>
      </c>
      <c r="D444" s="152"/>
      <c r="E444" s="152"/>
      <c r="F444" s="152"/>
      <c r="G444" s="152"/>
      <c r="H444" s="41"/>
      <c r="I444" s="1544"/>
      <c r="J444" s="1544"/>
      <c r="K444" s="1544"/>
      <c r="L444" s="1536"/>
      <c r="M444" s="1536"/>
      <c r="N444" s="1536"/>
      <c r="O444" s="1536"/>
      <c r="P444" s="1536"/>
      <c r="Q444" s="1092"/>
    </row>
    <row r="445" spans="1:32" ht="22.5" customHeight="1">
      <c r="A445" s="3838" t="s">
        <v>4820</v>
      </c>
      <c r="B445" s="3839"/>
      <c r="C445" s="3839"/>
      <c r="D445" s="3839"/>
      <c r="E445" s="3839"/>
      <c r="F445" s="3839"/>
      <c r="G445" s="3839"/>
      <c r="H445" s="3839"/>
      <c r="I445" s="3839"/>
      <c r="J445" s="3839"/>
      <c r="K445" s="3839"/>
      <c r="L445" s="3839"/>
      <c r="M445" s="3839"/>
      <c r="N445" s="3839"/>
      <c r="O445" s="3839"/>
      <c r="P445" s="3839"/>
      <c r="Q445" s="3840"/>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5" customHeight="1">
      <c r="A447" s="3252"/>
      <c r="B447" s="3253"/>
      <c r="C447" s="3253"/>
      <c r="D447" s="3253"/>
      <c r="E447" s="3253"/>
      <c r="F447" s="3253"/>
      <c r="G447" s="3253"/>
      <c r="H447" s="3253"/>
      <c r="I447" s="3253"/>
      <c r="J447" s="3253"/>
      <c r="K447" s="3253"/>
      <c r="L447" s="3253"/>
      <c r="M447" s="3253"/>
      <c r="N447" s="3253"/>
      <c r="O447" s="3253"/>
      <c r="P447" s="3253"/>
      <c r="Q447" s="3254"/>
    </row>
    <row r="448" spans="1:32" ht="3" customHeight="1">
      <c r="A448" s="1536"/>
      <c r="B448" s="1544"/>
      <c r="C448" s="1537"/>
      <c r="D448" s="1537"/>
      <c r="E448" s="1537"/>
      <c r="F448" s="1537"/>
      <c r="G448" s="1537"/>
      <c r="H448" s="1537"/>
      <c r="I448" s="1537"/>
      <c r="J448" s="1537"/>
      <c r="K448" s="1537"/>
      <c r="L448" s="1537"/>
      <c r="M448" s="1537"/>
      <c r="Q448" s="1092"/>
    </row>
    <row r="449" spans="1:32" ht="13.9" customHeight="1">
      <c r="A449" s="1542" t="s">
        <v>4169</v>
      </c>
      <c r="B449" s="4" t="s">
        <v>2687</v>
      </c>
      <c r="C449" s="4"/>
      <c r="D449" s="94"/>
      <c r="E449" s="1537"/>
      <c r="F449" s="1537"/>
      <c r="G449" s="1537"/>
      <c r="H449" s="1537"/>
      <c r="I449" s="1537"/>
      <c r="J449" s="1537"/>
      <c r="K449" s="1537"/>
      <c r="L449" s="1537"/>
      <c r="M449" s="1537"/>
      <c r="O449" s="143" t="s">
        <v>1881</v>
      </c>
      <c r="P449" s="3209"/>
      <c r="Q449" s="3210"/>
    </row>
    <row r="450" spans="1:32" ht="11.25" customHeight="1">
      <c r="A450" s="1542"/>
      <c r="B450" s="152" t="s">
        <v>3785</v>
      </c>
      <c r="D450" s="152"/>
      <c r="E450" s="152"/>
      <c r="F450" s="152"/>
      <c r="G450" s="152"/>
      <c r="H450" s="41"/>
      <c r="I450" s="1544"/>
      <c r="J450" s="1544"/>
      <c r="K450" s="1544"/>
      <c r="L450" s="1536"/>
      <c r="M450" s="1536"/>
      <c r="N450" s="1536"/>
      <c r="O450" s="1536"/>
      <c r="P450" s="1536"/>
      <c r="Q450" s="1092"/>
    </row>
    <row r="451" spans="1:32" ht="56.25" customHeight="1">
      <c r="A451" s="3838" t="s">
        <v>4821</v>
      </c>
      <c r="B451" s="3839"/>
      <c r="C451" s="3839"/>
      <c r="D451" s="3839"/>
      <c r="E451" s="3839"/>
      <c r="F451" s="3839"/>
      <c r="G451" s="3839"/>
      <c r="H451" s="3839"/>
      <c r="I451" s="3839"/>
      <c r="J451" s="3839"/>
      <c r="K451" s="3839"/>
      <c r="L451" s="3839"/>
      <c r="M451" s="3839"/>
      <c r="N451" s="3839"/>
      <c r="O451" s="3839"/>
      <c r="P451" s="3839"/>
      <c r="Q451" s="3840"/>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5" customHeight="1">
      <c r="A453" s="3252"/>
      <c r="B453" s="3253"/>
      <c r="C453" s="3253"/>
      <c r="D453" s="3253"/>
      <c r="E453" s="3253"/>
      <c r="F453" s="3253"/>
      <c r="G453" s="3253"/>
      <c r="H453" s="3253"/>
      <c r="I453" s="3253"/>
      <c r="J453" s="3253"/>
      <c r="K453" s="3253"/>
      <c r="L453" s="3253"/>
      <c r="M453" s="3253"/>
      <c r="N453" s="3253"/>
      <c r="O453" s="3253"/>
      <c r="P453" s="3253"/>
      <c r="Q453" s="3254"/>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4499999999999993"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3598</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1.25">
      <c r="C474" s="1327" t="s">
        <v>1662</v>
      </c>
      <c r="D474" s="1327"/>
      <c r="E474" s="1327"/>
      <c r="F474" s="1327"/>
      <c r="G474" s="1327"/>
      <c r="H474" s="1327"/>
      <c r="I474" s="1327"/>
      <c r="J474" s="1327" t="s">
        <v>1023</v>
      </c>
      <c r="K474" s="1327"/>
      <c r="L474" s="1328"/>
      <c r="M474" s="1328"/>
      <c r="N474" s="1329"/>
      <c r="O474" s="1328" t="s">
        <v>2904</v>
      </c>
      <c r="P474" s="1330"/>
      <c r="Q474" s="1328"/>
      <c r="R474" s="1328"/>
      <c r="AE474" s="531"/>
      <c r="AF474" s="531"/>
    </row>
    <row r="475" spans="1:32" s="523" customFormat="1" ht="11.25">
      <c r="C475" s="1328" t="s">
        <v>2105</v>
      </c>
      <c r="D475" s="1328"/>
      <c r="E475" s="1328"/>
      <c r="F475" s="1328"/>
      <c r="G475" s="1328"/>
      <c r="H475" s="1328"/>
      <c r="I475" s="1328"/>
      <c r="J475" s="1328" t="s">
        <v>1784</v>
      </c>
      <c r="K475" s="1328"/>
      <c r="L475" s="1328"/>
      <c r="M475" s="1328"/>
      <c r="N475" s="1329"/>
      <c r="O475" s="1328" t="s">
        <v>3869</v>
      </c>
      <c r="P475" s="1330"/>
      <c r="Q475" s="1328"/>
      <c r="R475" s="1328"/>
      <c r="AE475" s="531"/>
      <c r="AF475" s="531"/>
    </row>
    <row r="476" spans="1:32" s="523" customFormat="1" ht="11.25">
      <c r="C476" s="1327" t="s">
        <v>2561</v>
      </c>
      <c r="D476" s="1327"/>
      <c r="E476" s="1327"/>
      <c r="F476" s="1327"/>
      <c r="G476" s="1327"/>
      <c r="H476" s="1327"/>
      <c r="I476" s="1327"/>
      <c r="J476" s="1331" t="s">
        <v>1737</v>
      </c>
      <c r="K476" s="1327"/>
      <c r="L476" s="1328"/>
      <c r="M476" s="1328"/>
      <c r="N476" s="1329"/>
      <c r="O476" s="1328" t="s">
        <v>3870</v>
      </c>
      <c r="P476" s="1330"/>
      <c r="Q476" s="1328"/>
      <c r="R476" s="1328"/>
      <c r="AE476" s="531"/>
      <c r="AF476" s="531"/>
    </row>
    <row r="477" spans="1:32" s="523" customFormat="1" ht="11.25">
      <c r="C477" s="1327" t="s">
        <v>2106</v>
      </c>
      <c r="D477" s="1327"/>
      <c r="E477" s="1327"/>
      <c r="F477" s="1327"/>
      <c r="G477" s="1327"/>
      <c r="H477" s="1327"/>
      <c r="I477" s="1327"/>
      <c r="J477" s="1331" t="s">
        <v>232</v>
      </c>
      <c r="K477" s="1327"/>
      <c r="L477" s="1328"/>
      <c r="M477" s="1328"/>
      <c r="N477" s="1329"/>
      <c r="O477" s="1328" t="s">
        <v>3871</v>
      </c>
      <c r="P477" s="1330"/>
      <c r="Q477" s="1328"/>
      <c r="R477" s="1328"/>
      <c r="AE477" s="531"/>
      <c r="AF477" s="531"/>
    </row>
    <row r="478" spans="1:32" s="523" customFormat="1" ht="11.25">
      <c r="C478" s="1327" t="s">
        <v>2107</v>
      </c>
      <c r="D478" s="1327"/>
      <c r="E478" s="1327"/>
      <c r="F478" s="1327"/>
      <c r="G478" s="1327"/>
      <c r="H478" s="1327"/>
      <c r="I478" s="1327"/>
      <c r="J478" s="1328" t="s">
        <v>1197</v>
      </c>
      <c r="K478" s="1327"/>
      <c r="L478" s="1328"/>
      <c r="M478" s="1328"/>
      <c r="N478" s="1329"/>
      <c r="O478" s="1328" t="s">
        <v>3872</v>
      </c>
      <c r="P478" s="1330"/>
      <c r="Q478" s="1328"/>
      <c r="R478" s="1328"/>
      <c r="AE478" s="531"/>
      <c r="AF478" s="531"/>
    </row>
    <row r="479" spans="1:32" s="523" customFormat="1" ht="11.25">
      <c r="C479" s="1337" t="s">
        <v>2108</v>
      </c>
      <c r="D479" s="1327"/>
      <c r="E479" s="1327"/>
      <c r="F479" s="1327"/>
      <c r="G479" s="1327"/>
      <c r="H479" s="1327"/>
      <c r="I479" s="1327"/>
      <c r="J479" s="1332" t="s">
        <v>2120</v>
      </c>
      <c r="K479" s="1327"/>
      <c r="L479" s="1328"/>
      <c r="M479" s="1328"/>
      <c r="N479" s="1329"/>
      <c r="O479" s="1328" t="s">
        <v>3902</v>
      </c>
      <c r="P479" s="1330"/>
      <c r="Q479" s="1328"/>
      <c r="R479" s="1328"/>
      <c r="AE479" s="531"/>
      <c r="AF479" s="531"/>
    </row>
    <row r="480" spans="1:32" s="523" customFormat="1" ht="11.25">
      <c r="C480" s="1337" t="s">
        <v>2109</v>
      </c>
      <c r="D480" s="1327"/>
      <c r="E480" s="1327"/>
      <c r="F480" s="1327"/>
      <c r="G480" s="1327"/>
      <c r="H480" s="1327"/>
      <c r="I480" s="1327"/>
      <c r="J480" s="1331" t="s">
        <v>1674</v>
      </c>
      <c r="K480" s="1327"/>
      <c r="L480" s="1328"/>
      <c r="M480" s="1328"/>
      <c r="N480" s="1329"/>
      <c r="O480" s="1328" t="s">
        <v>3873</v>
      </c>
      <c r="P480" s="1330"/>
      <c r="Q480" s="1328"/>
      <c r="R480" s="1328"/>
      <c r="AE480" s="531"/>
      <c r="AF480" s="531"/>
    </row>
    <row r="481" spans="3:32" s="523" customFormat="1" ht="11.25">
      <c r="C481" s="1337"/>
      <c r="D481" s="1327"/>
      <c r="E481" s="1327"/>
      <c r="F481" s="1327"/>
      <c r="G481" s="1327"/>
      <c r="H481" s="1327"/>
      <c r="I481" s="1327"/>
      <c r="J481" s="1331" t="s">
        <v>1204</v>
      </c>
      <c r="K481" s="1327"/>
      <c r="L481" s="1328"/>
      <c r="M481" s="1328"/>
      <c r="N481" s="1329"/>
      <c r="O481" s="1328" t="s">
        <v>3874</v>
      </c>
      <c r="P481" s="1330"/>
      <c r="Q481" s="1328"/>
      <c r="R481" s="1328"/>
      <c r="AE481" s="531"/>
      <c r="AF481" s="531"/>
    </row>
    <row r="482" spans="3:32" s="523" customFormat="1" ht="11.25">
      <c r="C482" s="1328" t="s">
        <v>1784</v>
      </c>
      <c r="D482" s="1327"/>
      <c r="E482" s="1327"/>
      <c r="F482" s="1327"/>
      <c r="G482" s="1327"/>
      <c r="H482" s="1327"/>
      <c r="I482" s="1327"/>
      <c r="J482" s="1331" t="s">
        <v>1671</v>
      </c>
      <c r="K482" s="1327"/>
      <c r="L482" s="1328"/>
      <c r="M482" s="1328"/>
      <c r="N482" s="1329"/>
      <c r="O482" s="1328" t="s">
        <v>3875</v>
      </c>
      <c r="P482" s="1330"/>
      <c r="Q482" s="1328"/>
      <c r="R482" s="1328"/>
      <c r="AE482" s="531"/>
      <c r="AF482" s="531"/>
    </row>
    <row r="483" spans="3:32" s="523" customFormat="1" ht="11.25">
      <c r="C483" s="1333" t="s">
        <v>1402</v>
      </c>
      <c r="D483" s="1327"/>
      <c r="E483" s="1327"/>
      <c r="F483" s="1327"/>
      <c r="G483" s="1327"/>
      <c r="H483" s="1327"/>
      <c r="I483" s="1327"/>
      <c r="J483" s="1331" t="s">
        <v>2121</v>
      </c>
      <c r="K483" s="1327"/>
      <c r="L483" s="1328"/>
      <c r="M483" s="1328"/>
      <c r="N483" s="1329"/>
      <c r="O483" s="1328" t="s">
        <v>3876</v>
      </c>
      <c r="P483" s="1330"/>
      <c r="Q483" s="1328"/>
      <c r="R483" s="1328"/>
      <c r="AE483" s="531"/>
      <c r="AF483" s="531"/>
    </row>
    <row r="484" spans="3:32" s="523" customFormat="1" ht="11.25">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1.25">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1.25">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1.25">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1.25">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1.25">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1.25">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1.25">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1.25">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1.25">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1.25">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1669</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1.25">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2693</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1.25">
      <c r="C537" s="1339" t="s">
        <v>2694</v>
      </c>
      <c r="D537" s="1327"/>
      <c r="E537" s="1327"/>
      <c r="F537" s="1327"/>
      <c r="G537" s="1327"/>
      <c r="H537" s="1327"/>
      <c r="I537" s="1327"/>
      <c r="J537" s="1327"/>
      <c r="K537" s="1327" t="s">
        <v>3797</v>
      </c>
      <c r="L537" s="1327"/>
      <c r="M537" s="1327"/>
      <c r="N537" s="1327"/>
      <c r="O537" s="1327"/>
      <c r="P537" s="1327"/>
      <c r="Q537" s="1327"/>
      <c r="R537" s="1327"/>
      <c r="AE537" s="506"/>
      <c r="AF537" s="506"/>
    </row>
    <row r="538" spans="3:32" s="56" customFormat="1" ht="11.25">
      <c r="C538" s="1333" t="s">
        <v>1216</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1.25">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3952</v>
      </c>
      <c r="L542" s="1327"/>
      <c r="M542" s="1327"/>
      <c r="N542" s="1327"/>
      <c r="O542" s="1327"/>
      <c r="P542" s="1327"/>
      <c r="Q542" s="1327"/>
      <c r="R542" s="1327"/>
      <c r="AE542" s="506"/>
      <c r="AF542" s="506"/>
    </row>
    <row r="543" spans="3:32" s="56" customFormat="1" ht="11.25">
      <c r="C543" s="1327" t="s">
        <v>1538</v>
      </c>
      <c r="D543" s="1327"/>
      <c r="E543" s="1327"/>
      <c r="F543" s="1327"/>
      <c r="G543" s="1327"/>
      <c r="H543" s="1327"/>
      <c r="I543" s="1327"/>
      <c r="J543" s="1327"/>
      <c r="K543" s="1327" t="s">
        <v>3951</v>
      </c>
      <c r="L543" s="1327"/>
      <c r="M543" s="1327"/>
      <c r="N543" s="1327"/>
      <c r="O543" s="1327"/>
      <c r="P543" s="1327"/>
      <c r="Q543" s="1327"/>
      <c r="R543" s="1327"/>
      <c r="AE543" s="506"/>
      <c r="AF543" s="506"/>
    </row>
    <row r="544" spans="3:32" s="56" customFormat="1" ht="11.25">
      <c r="C544" s="1327" t="s">
        <v>2134</v>
      </c>
      <c r="D544" s="1327"/>
      <c r="E544" s="1327"/>
      <c r="F544" s="1327"/>
      <c r="G544" s="1327"/>
      <c r="H544" s="1327"/>
      <c r="I544" s="1327"/>
      <c r="J544" s="1327"/>
      <c r="K544" s="1327" t="s">
        <v>3953</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1.25">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1.25">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1.25">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1.25">
      <c r="C559" s="1327" t="s">
        <v>596</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1.25">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3" customWidth="1"/>
    <col min="17" max="17" width="6" style="28" customWidth="1"/>
    <col min="18" max="21" width="9.140625" style="28" customWidth="1"/>
    <col min="22" max="22" width="8.85546875" style="28" customWidth="1"/>
    <col min="23" max="16384" width="9.140625" style="28"/>
  </cols>
  <sheetData>
    <row r="1" spans="1:22" s="36" customFormat="1" ht="13.9" customHeight="1">
      <c r="A1" s="2915" t="str">
        <f>CONCATENATE("PART NINE - SCORING CRITERIA","  -  ",'Part I-Project Information'!$O$6," ",'Part I-Project Information'!$F$34,", ",'Part I-Project Information'!F38,", ",'Part I-Project Information'!J39," County")</f>
        <v>PART NINE - SCORING CRITERIA  -  2018-0 McIntosh Woods, Newnan, Coweta County</v>
      </c>
      <c r="B1" s="2916"/>
      <c r="C1" s="2916"/>
      <c r="D1" s="2916"/>
      <c r="E1" s="2916"/>
      <c r="F1" s="2916"/>
      <c r="G1" s="2916"/>
      <c r="H1" s="2916"/>
      <c r="I1" s="2916"/>
      <c r="J1" s="2916"/>
      <c r="K1" s="2916"/>
      <c r="L1" s="2916"/>
      <c r="M1" s="2916"/>
      <c r="N1" s="2916"/>
      <c r="O1" s="2916"/>
      <c r="P1" s="2917"/>
    </row>
    <row r="2" spans="1:22" s="36" customFormat="1" ht="4.1500000000000004" customHeight="1">
      <c r="A2" s="37"/>
      <c r="B2" s="37"/>
      <c r="C2" s="38"/>
      <c r="D2" s="37"/>
      <c r="E2" s="37"/>
      <c r="F2" s="37"/>
      <c r="G2" s="37"/>
      <c r="H2" s="37"/>
      <c r="I2" s="37"/>
      <c r="J2" s="37"/>
      <c r="K2" s="37"/>
      <c r="L2" s="37"/>
      <c r="M2" s="39"/>
      <c r="N2" s="75"/>
      <c r="O2" s="1704"/>
      <c r="P2" s="1704"/>
    </row>
    <row r="3" spans="1:22" s="43" customFormat="1" ht="12" customHeight="1">
      <c r="A3" s="3429" t="s">
        <v>4145</v>
      </c>
      <c r="B3" s="3429"/>
      <c r="C3" s="3429"/>
      <c r="D3" s="3429"/>
      <c r="E3" s="3429"/>
      <c r="F3" s="3429"/>
      <c r="G3" s="3429"/>
      <c r="H3" s="3429"/>
      <c r="I3" s="3429"/>
      <c r="J3" s="3429"/>
      <c r="K3" s="3429"/>
      <c r="L3" s="3429"/>
      <c r="M3" s="1603" t="s">
        <v>2235</v>
      </c>
      <c r="N3" s="76"/>
      <c r="O3" s="90" t="s">
        <v>2234</v>
      </c>
      <c r="P3" s="1604" t="s">
        <v>258</v>
      </c>
    </row>
    <row r="4" spans="1:22" s="45" customFormat="1" ht="12" customHeight="1">
      <c r="A4" s="3429"/>
      <c r="B4" s="3429"/>
      <c r="C4" s="3429"/>
      <c r="D4" s="3429"/>
      <c r="E4" s="3429"/>
      <c r="F4" s="3429"/>
      <c r="G4" s="3429"/>
      <c r="H4" s="3429"/>
      <c r="I4" s="3429"/>
      <c r="J4" s="3429"/>
      <c r="K4" s="3429"/>
      <c r="L4" s="3429"/>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2802</v>
      </c>
      <c r="C8" s="4"/>
      <c r="D8" s="4"/>
      <c r="E8" s="4"/>
      <c r="F8" s="1711"/>
      <c r="H8" s="50" t="s">
        <v>3501</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3677</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734</v>
      </c>
      <c r="D12" s="49"/>
      <c r="E12" s="49"/>
      <c r="F12" s="1711"/>
      <c r="H12" s="204" t="s">
        <v>2747</v>
      </c>
      <c r="J12" s="50"/>
      <c r="M12" s="6"/>
      <c r="N12" s="67" t="s">
        <v>2001</v>
      </c>
      <c r="O12" s="1041"/>
      <c r="P12" s="1572">
        <f>O15</f>
        <v>0</v>
      </c>
    </row>
    <row r="13" spans="1:22" s="43" customFormat="1" ht="10.9" customHeight="1">
      <c r="A13" s="69"/>
      <c r="C13" s="120" t="s">
        <v>4200</v>
      </c>
      <c r="D13" s="53"/>
      <c r="E13" s="53"/>
      <c r="F13" s="53"/>
      <c r="G13" s="69"/>
      <c r="H13" s="204" t="s">
        <v>2747</v>
      </c>
      <c r="I13" s="69"/>
      <c r="J13" s="69"/>
      <c r="K13" s="69"/>
      <c r="L13" s="69"/>
      <c r="M13" s="69"/>
      <c r="N13" s="69"/>
      <c r="O13" s="638"/>
      <c r="P13" s="1573">
        <f>+O29</f>
        <v>0</v>
      </c>
      <c r="R13" s="540"/>
      <c r="S13" s="170"/>
    </row>
    <row r="14" spans="1:22" s="43" customFormat="1" ht="10.9" customHeight="1">
      <c r="A14" s="3493" t="s">
        <v>3878</v>
      </c>
      <c r="B14" s="3493"/>
      <c r="C14" s="3493"/>
      <c r="D14" s="3493"/>
      <c r="E14" s="3493"/>
      <c r="F14" s="1715" t="s">
        <v>4203</v>
      </c>
      <c r="J14" s="1715" t="s">
        <v>4203</v>
      </c>
      <c r="K14" s="1715"/>
      <c r="O14" s="3498" t="s">
        <v>4203</v>
      </c>
      <c r="P14" s="3498"/>
      <c r="R14" s="540"/>
      <c r="S14" s="170"/>
    </row>
    <row r="15" spans="1:22" s="43" customFormat="1" ht="11.25" customHeight="1">
      <c r="A15" s="3494"/>
      <c r="B15" s="3494"/>
      <c r="C15" s="3494"/>
      <c r="D15" s="3494"/>
      <c r="E15" s="3494"/>
      <c r="F15" s="79">
        <f>SUM(F16:F27)</f>
        <v>0</v>
      </c>
      <c r="G15" s="3495" t="s">
        <v>3611</v>
      </c>
      <c r="H15" s="3496"/>
      <c r="I15" s="3497"/>
      <c r="J15" s="79">
        <f>SUM(J16:J27)</f>
        <v>0</v>
      </c>
      <c r="K15" s="3499" t="s">
        <v>3394</v>
      </c>
      <c r="L15" s="3500"/>
      <c r="M15" s="3500"/>
      <c r="N15" s="3501"/>
      <c r="O15" s="3484">
        <f>SUM(O16:O27)</f>
        <v>0</v>
      </c>
      <c r="P15" s="3485"/>
      <c r="Q15" s="540"/>
      <c r="R15" s="170"/>
    </row>
    <row r="16" spans="1:22" s="43" customFormat="1" ht="24.75" customHeight="1">
      <c r="A16" s="3486">
        <v>1</v>
      </c>
      <c r="B16" s="3487"/>
      <c r="C16" s="3487"/>
      <c r="D16" s="3487"/>
      <c r="E16" s="3488"/>
      <c r="F16" s="1072"/>
      <c r="G16" s="3486">
        <v>1</v>
      </c>
      <c r="H16" s="3487"/>
      <c r="I16" s="3488"/>
      <c r="J16" s="1076" t="s">
        <v>1746</v>
      </c>
      <c r="K16" s="3489">
        <v>1</v>
      </c>
      <c r="L16" s="3490"/>
      <c r="M16" s="3490"/>
      <c r="N16" s="3490"/>
      <c r="O16" s="3491" t="s">
        <v>1746</v>
      </c>
      <c r="P16" s="3492"/>
      <c r="Q16" s="538" t="s">
        <v>1266</v>
      </c>
      <c r="R16" s="170"/>
    </row>
    <row r="17" spans="1:19" s="43" customFormat="1" ht="24.75" customHeight="1">
      <c r="A17" s="3439">
        <v>2</v>
      </c>
      <c r="B17" s="3440"/>
      <c r="C17" s="3440"/>
      <c r="D17" s="3440"/>
      <c r="E17" s="3441"/>
      <c r="F17" s="1073"/>
      <c r="G17" s="3439">
        <v>2</v>
      </c>
      <c r="H17" s="3440"/>
      <c r="I17" s="3441"/>
      <c r="J17" s="1073"/>
      <c r="K17" s="3480">
        <v>2</v>
      </c>
      <c r="L17" s="3481"/>
      <c r="M17" s="3481"/>
      <c r="N17" s="3481"/>
      <c r="O17" s="3442"/>
      <c r="P17" s="3443"/>
      <c r="Q17" s="539"/>
      <c r="R17" s="170"/>
    </row>
    <row r="18" spans="1:19" s="43" customFormat="1" ht="24.75" customHeight="1">
      <c r="A18" s="3439">
        <v>3</v>
      </c>
      <c r="B18" s="3440"/>
      <c r="C18" s="3440"/>
      <c r="D18" s="3440"/>
      <c r="E18" s="3441"/>
      <c r="F18" s="1073"/>
      <c r="G18" s="3439">
        <v>3</v>
      </c>
      <c r="H18" s="3440"/>
      <c r="I18" s="3441"/>
      <c r="J18" s="1655" t="s">
        <v>2925</v>
      </c>
      <c r="K18" s="3480">
        <v>3</v>
      </c>
      <c r="L18" s="3481"/>
      <c r="M18" s="3481"/>
      <c r="N18" s="3481"/>
      <c r="O18" s="3482" t="s">
        <v>2925</v>
      </c>
      <c r="P18" s="3483"/>
      <c r="Q18" s="539"/>
      <c r="R18" s="170"/>
    </row>
    <row r="19" spans="1:19" s="43" customFormat="1" ht="24.75" customHeight="1">
      <c r="A19" s="3439">
        <v>4</v>
      </c>
      <c r="B19" s="3440"/>
      <c r="C19" s="3440"/>
      <c r="D19" s="3440"/>
      <c r="E19" s="3441"/>
      <c r="F19" s="1073"/>
      <c r="G19" s="3439">
        <v>4</v>
      </c>
      <c r="H19" s="3440"/>
      <c r="I19" s="3441"/>
      <c r="J19" s="1073"/>
      <c r="K19" s="3480">
        <v>4</v>
      </c>
      <c r="L19" s="3481"/>
      <c r="M19" s="3481"/>
      <c r="N19" s="3481"/>
      <c r="O19" s="3482" t="s">
        <v>2925</v>
      </c>
      <c r="P19" s="3483"/>
      <c r="Q19" s="539"/>
      <c r="R19" s="170"/>
    </row>
    <row r="20" spans="1:19" s="43" customFormat="1" ht="24.75" customHeight="1">
      <c r="A20" s="3439">
        <v>5</v>
      </c>
      <c r="B20" s="3440"/>
      <c r="C20" s="3440"/>
      <c r="D20" s="3440"/>
      <c r="E20" s="3441"/>
      <c r="F20" s="1073"/>
      <c r="G20" s="3439">
        <v>5</v>
      </c>
      <c r="H20" s="3440"/>
      <c r="I20" s="3441"/>
      <c r="J20" s="1655" t="s">
        <v>3612</v>
      </c>
      <c r="K20" s="3480">
        <v>5</v>
      </c>
      <c r="L20" s="3481"/>
      <c r="M20" s="3481"/>
      <c r="N20" s="3481"/>
      <c r="O20" s="3442"/>
      <c r="P20" s="3443"/>
      <c r="Q20" s="170"/>
      <c r="R20" s="170"/>
    </row>
    <row r="21" spans="1:19" s="43" customFormat="1" ht="24.75" customHeight="1">
      <c r="A21" s="3439">
        <v>6</v>
      </c>
      <c r="B21" s="3440"/>
      <c r="C21" s="3440"/>
      <c r="D21" s="3440"/>
      <c r="E21" s="3441"/>
      <c r="F21" s="1073"/>
      <c r="G21" s="3439">
        <v>6</v>
      </c>
      <c r="H21" s="3440"/>
      <c r="I21" s="3441"/>
      <c r="J21" s="1073"/>
      <c r="K21" s="3480">
        <v>6</v>
      </c>
      <c r="L21" s="3481"/>
      <c r="M21" s="3481"/>
      <c r="N21" s="3481"/>
      <c r="O21" s="3442"/>
      <c r="P21" s="3443"/>
      <c r="Q21" s="170"/>
      <c r="R21" s="170"/>
    </row>
    <row r="22" spans="1:19" s="43" customFormat="1" ht="24.75" customHeight="1">
      <c r="A22" s="3439">
        <v>7</v>
      </c>
      <c r="B22" s="3440"/>
      <c r="C22" s="3440"/>
      <c r="D22" s="3440"/>
      <c r="E22" s="3441"/>
      <c r="F22" s="1073"/>
      <c r="G22" s="3439">
        <v>7</v>
      </c>
      <c r="H22" s="3440"/>
      <c r="I22" s="3441"/>
      <c r="J22" s="1655" t="s">
        <v>3613</v>
      </c>
      <c r="K22" s="3480">
        <v>7</v>
      </c>
      <c r="L22" s="3481"/>
      <c r="M22" s="3481"/>
      <c r="N22" s="3481"/>
      <c r="O22" s="3442"/>
      <c r="P22" s="3443"/>
      <c r="Q22" s="170"/>
      <c r="R22" s="170"/>
    </row>
    <row r="23" spans="1:19" s="43" customFormat="1" ht="24.75" customHeight="1">
      <c r="A23" s="3439">
        <v>8</v>
      </c>
      <c r="B23" s="3440"/>
      <c r="C23" s="3440"/>
      <c r="D23" s="3440"/>
      <c r="E23" s="3441"/>
      <c r="F23" s="1073"/>
      <c r="G23" s="3439">
        <v>8</v>
      </c>
      <c r="H23" s="3440"/>
      <c r="I23" s="3441"/>
      <c r="J23" s="1073"/>
      <c r="K23" s="3480">
        <v>8</v>
      </c>
      <c r="L23" s="3481"/>
      <c r="M23" s="3481"/>
      <c r="N23" s="3481"/>
      <c r="O23" s="3442"/>
      <c r="P23" s="3443"/>
      <c r="Q23" s="170"/>
      <c r="R23" s="170"/>
    </row>
    <row r="24" spans="1:19" s="43" customFormat="1" ht="11.25" customHeight="1">
      <c r="A24" s="3439">
        <v>9</v>
      </c>
      <c r="B24" s="3440"/>
      <c r="C24" s="3440"/>
      <c r="D24" s="3440"/>
      <c r="E24" s="3441"/>
      <c r="F24" s="1073"/>
      <c r="G24" s="3439">
        <v>9</v>
      </c>
      <c r="H24" s="3440"/>
      <c r="I24" s="3441"/>
      <c r="J24" s="1655" t="s">
        <v>3614</v>
      </c>
      <c r="K24" s="3480">
        <v>9</v>
      </c>
      <c r="L24" s="3481"/>
      <c r="M24" s="3481"/>
      <c r="N24" s="3481"/>
      <c r="O24" s="3442"/>
      <c r="P24" s="3443"/>
      <c r="Q24" s="170"/>
      <c r="R24" s="170"/>
    </row>
    <row r="25" spans="1:19" s="43" customFormat="1" ht="11.25" customHeight="1">
      <c r="A25" s="3439">
        <v>10</v>
      </c>
      <c r="B25" s="3440"/>
      <c r="C25" s="3440"/>
      <c r="D25" s="3440"/>
      <c r="E25" s="3441"/>
      <c r="F25" s="1073"/>
      <c r="G25" s="3439">
        <v>10</v>
      </c>
      <c r="H25" s="3440"/>
      <c r="I25" s="3441"/>
      <c r="J25" s="1073"/>
      <c r="K25" s="3480">
        <v>10</v>
      </c>
      <c r="L25" s="3481"/>
      <c r="M25" s="3481"/>
      <c r="N25" s="3481"/>
      <c r="O25" s="3442"/>
      <c r="P25" s="3443"/>
      <c r="Q25" s="170"/>
      <c r="R25" s="170"/>
    </row>
    <row r="26" spans="1:19" s="43" customFormat="1" ht="11.25" customHeight="1">
      <c r="A26" s="3439">
        <v>11</v>
      </c>
      <c r="B26" s="3440"/>
      <c r="C26" s="3440"/>
      <c r="D26" s="3440"/>
      <c r="E26" s="3441"/>
      <c r="F26" s="1073"/>
      <c r="G26" s="3439">
        <v>11</v>
      </c>
      <c r="H26" s="3440"/>
      <c r="I26" s="3441"/>
      <c r="J26" s="1655" t="s">
        <v>3615</v>
      </c>
      <c r="K26" s="3439">
        <v>11</v>
      </c>
      <c r="L26" s="3440"/>
      <c r="M26" s="3440"/>
      <c r="N26" s="3441"/>
      <c r="O26" s="3442"/>
      <c r="P26" s="3443"/>
      <c r="Q26" s="170"/>
      <c r="R26" s="170"/>
    </row>
    <row r="27" spans="1:19" s="43" customFormat="1" ht="11.25" customHeight="1">
      <c r="A27" s="3508">
        <v>12</v>
      </c>
      <c r="B27" s="3509"/>
      <c r="C27" s="3509"/>
      <c r="D27" s="3509"/>
      <c r="E27" s="3510"/>
      <c r="F27" s="1074"/>
      <c r="G27" s="3508">
        <v>12</v>
      </c>
      <c r="H27" s="3509"/>
      <c r="I27" s="3510"/>
      <c r="J27" s="1074"/>
      <c r="K27" s="3508">
        <v>12</v>
      </c>
      <c r="L27" s="3509"/>
      <c r="M27" s="3509"/>
      <c r="N27" s="3510"/>
      <c r="O27" s="3506"/>
      <c r="P27" s="3507"/>
    </row>
    <row r="28" spans="1:19" s="44" customFormat="1" ht="11.25" customHeight="1">
      <c r="B28" s="1676"/>
      <c r="C28" s="1676"/>
      <c r="D28" s="1676"/>
      <c r="E28" s="3502" t="s">
        <v>4234</v>
      </c>
      <c r="F28" s="3503" t="s">
        <v>4548</v>
      </c>
      <c r="G28" s="3503"/>
      <c r="H28" s="3503"/>
      <c r="I28" s="3503"/>
      <c r="J28" s="3503"/>
      <c r="K28" s="3503"/>
      <c r="L28" s="3503"/>
      <c r="M28" s="3503"/>
      <c r="N28" s="3503"/>
      <c r="O28" s="3503"/>
      <c r="P28" s="3503"/>
      <c r="Q28" s="118"/>
      <c r="R28" s="457"/>
    </row>
    <row r="29" spans="1:19" s="43" customFormat="1" ht="10.5" customHeight="1">
      <c r="A29" s="344" t="s">
        <v>4204</v>
      </c>
      <c r="B29" s="1658" t="s">
        <v>4205</v>
      </c>
      <c r="C29" s="1658"/>
      <c r="D29" s="1658"/>
      <c r="E29" s="3494"/>
      <c r="F29" s="3504" t="s">
        <v>4233</v>
      </c>
      <c r="G29" s="3504"/>
      <c r="H29" s="3504"/>
      <c r="I29" s="3504"/>
      <c r="J29" s="3504"/>
      <c r="K29" s="3504"/>
      <c r="L29" s="3504"/>
      <c r="M29" s="3504"/>
      <c r="N29" s="3505"/>
      <c r="O29" s="3484">
        <f>SUM(O30:O41)</f>
        <v>0</v>
      </c>
      <c r="P29" s="3485"/>
      <c r="Q29" s="540"/>
      <c r="R29" s="170"/>
    </row>
    <row r="30" spans="1:19" s="43" customFormat="1" ht="10.5" customHeight="1">
      <c r="A30" s="1641" t="s">
        <v>750</v>
      </c>
      <c r="B30" s="1642" t="s">
        <v>4206</v>
      </c>
      <c r="C30" s="1643"/>
      <c r="D30" s="1644"/>
      <c r="E30" s="1733">
        <f>$O$57</f>
        <v>0</v>
      </c>
      <c r="F30" s="3516">
        <f>$A$63</f>
        <v>0</v>
      </c>
      <c r="G30" s="3517"/>
      <c r="H30" s="3517"/>
      <c r="I30" s="3517"/>
      <c r="J30" s="3517"/>
      <c r="K30" s="3517"/>
      <c r="L30" s="3517"/>
      <c r="M30" s="3517"/>
      <c r="N30" s="3518"/>
      <c r="O30" s="3523" t="s">
        <v>1746</v>
      </c>
      <c r="P30" s="3524"/>
      <c r="Q30" s="538"/>
      <c r="R30" s="170"/>
    </row>
    <row r="31" spans="1:19" s="43" customFormat="1" ht="10.5" customHeight="1">
      <c r="A31" s="1645" t="s">
        <v>1807</v>
      </c>
      <c r="B31" s="1202" t="s">
        <v>4207</v>
      </c>
      <c r="C31" s="1464"/>
      <c r="D31" s="1646"/>
      <c r="E31" s="1734">
        <f>$O$94</f>
        <v>0</v>
      </c>
      <c r="F31" s="3433">
        <f>$A$107</f>
        <v>0</v>
      </c>
      <c r="G31" s="3434"/>
      <c r="H31" s="3434"/>
      <c r="I31" s="3434"/>
      <c r="J31" s="3434"/>
      <c r="K31" s="3434"/>
      <c r="L31" s="3434"/>
      <c r="M31" s="3434"/>
      <c r="N31" s="3435"/>
      <c r="O31" s="3426"/>
      <c r="P31" s="3427"/>
      <c r="Q31" s="3423" t="str">
        <f>IF(OR($A$63="",$A$107="",$A$290="",$A$185="",$A$224="",$A$266="",$A$312="",$A$342="",$A$358="",$A$392="",$A$410="",$A$429=""),"Some Applicant Scoring Justification boxes are empty! Check to see if points claimed.","")</f>
        <v>Some Applicant Scoring Justification boxes are empty! Check to see if points claimed.</v>
      </c>
      <c r="R31" s="3424"/>
      <c r="S31" s="3424"/>
    </row>
    <row r="32" spans="1:19" s="43" customFormat="1" ht="10.5" customHeight="1">
      <c r="A32" s="1645" t="s">
        <v>780</v>
      </c>
      <c r="B32" s="1202" t="s">
        <v>4208</v>
      </c>
      <c r="C32" s="1464"/>
      <c r="D32" s="1646"/>
      <c r="E32" s="1734">
        <f>$O$153</f>
        <v>0</v>
      </c>
      <c r="F32" s="3433">
        <f>$A$185</f>
        <v>0</v>
      </c>
      <c r="G32" s="3434"/>
      <c r="H32" s="3434"/>
      <c r="I32" s="3434"/>
      <c r="J32" s="3434"/>
      <c r="K32" s="3434"/>
      <c r="L32" s="3434"/>
      <c r="M32" s="3434"/>
      <c r="N32" s="3435"/>
      <c r="O32" s="3511" t="s">
        <v>2925</v>
      </c>
      <c r="P32" s="3512"/>
      <c r="Q32" s="3423"/>
      <c r="R32" s="3424"/>
      <c r="S32" s="3424"/>
    </row>
    <row r="33" spans="1:19" s="43" customFormat="1" ht="10.5" customHeight="1">
      <c r="A33" s="1645" t="s">
        <v>294</v>
      </c>
      <c r="B33" s="1202" t="s">
        <v>4209</v>
      </c>
      <c r="C33" s="1464"/>
      <c r="D33" s="1646"/>
      <c r="E33" s="1818">
        <f>$O$189</f>
        <v>0</v>
      </c>
      <c r="F33" s="3520">
        <f>$A$224</f>
        <v>0</v>
      </c>
      <c r="G33" s="3521"/>
      <c r="H33" s="3521"/>
      <c r="I33" s="3521"/>
      <c r="J33" s="3521"/>
      <c r="K33" s="3521"/>
      <c r="L33" s="3521"/>
      <c r="M33" s="3521"/>
      <c r="N33" s="3522"/>
      <c r="O33" s="3511" t="s">
        <v>2925</v>
      </c>
      <c r="P33" s="3512"/>
      <c r="Q33" s="3423"/>
      <c r="R33" s="3424"/>
      <c r="S33" s="3424"/>
    </row>
    <row r="34" spans="1:19" s="43" customFormat="1" ht="10.5" customHeight="1">
      <c r="A34" s="1651" t="s">
        <v>428</v>
      </c>
      <c r="B34" s="1652" t="s">
        <v>4210</v>
      </c>
      <c r="C34" s="1653"/>
      <c r="D34" s="1654"/>
      <c r="E34" s="1735" t="s">
        <v>1746</v>
      </c>
      <c r="F34" s="3436">
        <f>$A$266</f>
        <v>0</v>
      </c>
      <c r="G34" s="3437"/>
      <c r="H34" s="3437"/>
      <c r="I34" s="3437"/>
      <c r="J34" s="3437"/>
      <c r="K34" s="3437"/>
      <c r="L34" s="3437"/>
      <c r="M34" s="3437"/>
      <c r="N34" s="3438"/>
      <c r="O34" s="3426"/>
      <c r="P34" s="3427"/>
      <c r="Q34" s="3423"/>
      <c r="R34" s="3424"/>
      <c r="S34" s="3424"/>
    </row>
    <row r="35" spans="1:19" s="43" customFormat="1" ht="10.5" customHeight="1">
      <c r="A35" s="1645" t="s">
        <v>365</v>
      </c>
      <c r="B35" s="1202" t="s">
        <v>3824</v>
      </c>
      <c r="C35" s="1464"/>
      <c r="D35" s="1646"/>
      <c r="E35" s="1734">
        <f>$O$286</f>
        <v>0</v>
      </c>
      <c r="F35" s="3433">
        <f>$A$290</f>
        <v>0</v>
      </c>
      <c r="G35" s="3434"/>
      <c r="H35" s="3434"/>
      <c r="I35" s="3434"/>
      <c r="J35" s="3434"/>
      <c r="K35" s="3434"/>
      <c r="L35" s="3434"/>
      <c r="M35" s="3434"/>
      <c r="N35" s="3435"/>
      <c r="O35" s="3426"/>
      <c r="P35" s="3427"/>
      <c r="Q35" s="3423"/>
      <c r="R35" s="3424"/>
      <c r="S35" s="3424"/>
    </row>
    <row r="36" spans="1:19" s="43" customFormat="1" ht="10.5" customHeight="1">
      <c r="A36" s="1645" t="s">
        <v>2267</v>
      </c>
      <c r="B36" s="1202" t="s">
        <v>4211</v>
      </c>
      <c r="C36" s="1464"/>
      <c r="D36" s="1646"/>
      <c r="E36" s="1735">
        <f>$O$337</f>
        <v>0</v>
      </c>
      <c r="F36" s="3433">
        <f>$A$342</f>
        <v>0</v>
      </c>
      <c r="G36" s="3434"/>
      <c r="H36" s="3434"/>
      <c r="I36" s="3434"/>
      <c r="J36" s="3434"/>
      <c r="K36" s="3434"/>
      <c r="L36" s="3434"/>
      <c r="M36" s="3434"/>
      <c r="N36" s="3435"/>
      <c r="O36" s="3426"/>
      <c r="P36" s="3427"/>
      <c r="Q36" s="3423"/>
      <c r="R36" s="3424"/>
      <c r="S36" s="3424"/>
    </row>
    <row r="37" spans="1:19" s="43" customFormat="1" ht="10.5" customHeight="1">
      <c r="A37" s="1645" t="s">
        <v>4524</v>
      </c>
      <c r="B37" s="1202" t="s">
        <v>4525</v>
      </c>
      <c r="C37" s="1464"/>
      <c r="D37" s="1646"/>
      <c r="E37" s="1735">
        <f>$O$294</f>
        <v>0</v>
      </c>
      <c r="F37" s="3520">
        <f>$A$312</f>
        <v>0</v>
      </c>
      <c r="G37" s="3521"/>
      <c r="H37" s="3521"/>
      <c r="I37" s="3521"/>
      <c r="J37" s="3521"/>
      <c r="K37" s="3521"/>
      <c r="L37" s="3521"/>
      <c r="M37" s="3521"/>
      <c r="N37" s="3522"/>
      <c r="O37" s="3426"/>
      <c r="P37" s="3427"/>
      <c r="Q37" s="3423"/>
      <c r="R37" s="3424"/>
      <c r="S37" s="3424"/>
    </row>
    <row r="38" spans="1:19" s="43" customFormat="1" ht="10.5" customHeight="1">
      <c r="A38" s="1651" t="s">
        <v>4157</v>
      </c>
      <c r="B38" s="1652" t="s">
        <v>4212</v>
      </c>
      <c r="C38" s="1653"/>
      <c r="D38" s="1654"/>
      <c r="E38" s="1817">
        <f>$O$346</f>
        <v>0</v>
      </c>
      <c r="F38" s="3436">
        <f>$A$358</f>
        <v>0</v>
      </c>
      <c r="G38" s="3437"/>
      <c r="H38" s="3437"/>
      <c r="I38" s="3437"/>
      <c r="J38" s="3437"/>
      <c r="K38" s="3437"/>
      <c r="L38" s="3437"/>
      <c r="M38" s="3437"/>
      <c r="N38" s="3438"/>
      <c r="O38" s="3426"/>
      <c r="P38" s="3427"/>
      <c r="Q38" s="3423"/>
      <c r="R38" s="3424"/>
      <c r="S38" s="3424"/>
    </row>
    <row r="39" spans="1:19" s="43" customFormat="1" ht="10.5" customHeight="1">
      <c r="A39" s="1645" t="s">
        <v>4158</v>
      </c>
      <c r="B39" s="1202" t="s">
        <v>4213</v>
      </c>
      <c r="C39" s="1464"/>
      <c r="D39" s="1646"/>
      <c r="E39" s="1734">
        <f>$O$362</f>
        <v>0</v>
      </c>
      <c r="F39" s="3433">
        <f>$A$392</f>
        <v>0</v>
      </c>
      <c r="G39" s="3434"/>
      <c r="H39" s="3434"/>
      <c r="I39" s="3434"/>
      <c r="J39" s="3434"/>
      <c r="K39" s="3434"/>
      <c r="L39" s="3434"/>
      <c r="M39" s="3434"/>
      <c r="N39" s="3435"/>
      <c r="O39" s="3426"/>
      <c r="P39" s="3427"/>
      <c r="Q39" s="3423"/>
      <c r="R39" s="3424"/>
      <c r="S39" s="3424"/>
    </row>
    <row r="40" spans="1:19" s="43" customFormat="1" ht="10.5" customHeight="1">
      <c r="A40" s="1645" t="s">
        <v>4156</v>
      </c>
      <c r="B40" s="1202" t="s">
        <v>4214</v>
      </c>
      <c r="C40" s="1464"/>
      <c r="D40" s="1646"/>
      <c r="E40" s="1734">
        <f>$O$396</f>
        <v>0</v>
      </c>
      <c r="F40" s="3433">
        <f>$A$410</f>
        <v>0</v>
      </c>
      <c r="G40" s="3434"/>
      <c r="H40" s="3434"/>
      <c r="I40" s="3434"/>
      <c r="J40" s="3434"/>
      <c r="K40" s="3434"/>
      <c r="L40" s="3434"/>
      <c r="M40" s="3434"/>
      <c r="N40" s="3435"/>
      <c r="O40" s="3426"/>
      <c r="P40" s="3427"/>
      <c r="Q40" s="3423"/>
      <c r="R40" s="3424"/>
      <c r="S40" s="3424"/>
    </row>
    <row r="41" spans="1:19" s="43" customFormat="1" ht="10.5" customHeight="1">
      <c r="A41" s="1647" t="s">
        <v>4159</v>
      </c>
      <c r="B41" s="1648" t="s">
        <v>4215</v>
      </c>
      <c r="C41" s="1649"/>
      <c r="D41" s="1650"/>
      <c r="E41" s="1736">
        <f>$O$414</f>
        <v>0</v>
      </c>
      <c r="F41" s="3513">
        <f>$A$429</f>
        <v>0</v>
      </c>
      <c r="G41" s="3514"/>
      <c r="H41" s="3514"/>
      <c r="I41" s="3514"/>
      <c r="J41" s="3514"/>
      <c r="K41" s="3514"/>
      <c r="L41" s="3514"/>
      <c r="M41" s="3514"/>
      <c r="N41" s="3515"/>
      <c r="O41" s="3431"/>
      <c r="P41" s="3432"/>
      <c r="Q41" s="3423"/>
      <c r="R41" s="3424"/>
      <c r="S41" s="3424"/>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3616</v>
      </c>
      <c r="E43" s="58"/>
      <c r="G43" s="248"/>
      <c r="H43" s="53"/>
      <c r="I43" s="46" t="s">
        <v>3514</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2642</v>
      </c>
      <c r="E45" s="58"/>
      <c r="G45" s="95"/>
      <c r="H45" s="3519" t="s">
        <v>3617</v>
      </c>
      <c r="I45" s="3519"/>
      <c r="J45" s="1111">
        <f>'Part VI-Revenues &amp; Expenses'!$O$60</f>
        <v>96</v>
      </c>
      <c r="K45" s="1110"/>
      <c r="M45" s="1078"/>
      <c r="N45" s="7"/>
      <c r="Q45" s="7"/>
      <c r="R45" s="457"/>
    </row>
    <row r="46" spans="1:19" s="111" customFormat="1" ht="13.5" customHeight="1">
      <c r="A46" s="150"/>
      <c r="B46" s="3464" t="s">
        <v>3618</v>
      </c>
      <c r="C46" s="3464"/>
      <c r="D46" s="3464"/>
      <c r="E46" s="3464"/>
      <c r="F46" s="3464"/>
      <c r="G46" s="1071"/>
      <c r="H46" s="1267" t="s">
        <v>3619</v>
      </c>
      <c r="I46" s="1267" t="s">
        <v>3620</v>
      </c>
      <c r="J46" s="1071"/>
      <c r="K46" s="3337" t="s">
        <v>3396</v>
      </c>
      <c r="L46" s="3337"/>
      <c r="M46" s="1078"/>
      <c r="N46" s="7"/>
      <c r="Q46" s="7"/>
      <c r="R46" s="457"/>
    </row>
    <row r="47" spans="1:19" s="111" customFormat="1" ht="13.5" customHeight="1">
      <c r="B47" s="3464"/>
      <c r="C47" s="3464"/>
      <c r="D47" s="3464"/>
      <c r="E47" s="3464"/>
      <c r="F47" s="3464"/>
      <c r="G47" s="3239" t="s">
        <v>3746</v>
      </c>
      <c r="H47" s="3239"/>
      <c r="I47" s="3239"/>
      <c r="J47" s="3239"/>
      <c r="K47" s="1114" t="s">
        <v>3619</v>
      </c>
      <c r="L47" s="1114" t="s">
        <v>3620</v>
      </c>
      <c r="M47" s="1092">
        <v>2</v>
      </c>
      <c r="N47" s="473" t="s">
        <v>1999</v>
      </c>
      <c r="O47" s="1117">
        <f>SUM(O48:O49)</f>
        <v>0</v>
      </c>
      <c r="P47" s="1117">
        <f>SUM(P48:P49)</f>
        <v>0</v>
      </c>
    </row>
    <row r="48" spans="1:19" s="518" customFormat="1" ht="13.5"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5"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2001</v>
      </c>
      <c r="B51" s="1109" t="s">
        <v>3679</v>
      </c>
      <c r="E51" s="519"/>
      <c r="H51" s="3239" t="s">
        <v>3681</v>
      </c>
      <c r="I51" s="3239"/>
      <c r="M51" s="1092">
        <v>3</v>
      </c>
      <c r="N51" s="174" t="s">
        <v>2001</v>
      </c>
      <c r="O51" s="1117">
        <f>IF(AND(O52="Yes", O53="Yes"),$M$51,0)</f>
        <v>0</v>
      </c>
      <c r="P51" s="1117">
        <f>IF(AND(P52="Yes", P53="Yes"),$M$51,0)</f>
        <v>0</v>
      </c>
    </row>
    <row r="52" spans="1:18" s="518" customFormat="1" ht="13.5" customHeight="1">
      <c r="A52" s="517"/>
      <c r="B52" s="711" t="s">
        <v>2002</v>
      </c>
      <c r="C52" s="712">
        <v>0.3</v>
      </c>
      <c r="D52" s="151" t="s">
        <v>3680</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5" customHeight="1">
      <c r="A53" s="719"/>
      <c r="B53" s="711" t="s">
        <v>2004</v>
      </c>
      <c r="C53" s="1075" t="s">
        <v>3999</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252"/>
      <c r="B55" s="3253"/>
      <c r="C55" s="3253"/>
      <c r="D55" s="3253"/>
      <c r="E55" s="3253"/>
      <c r="F55" s="3253"/>
      <c r="G55" s="3253"/>
      <c r="H55" s="3253"/>
      <c r="I55" s="3253"/>
      <c r="J55" s="3253"/>
      <c r="K55" s="3253"/>
      <c r="L55" s="3253"/>
      <c r="M55" s="3253"/>
      <c r="N55" s="3253"/>
      <c r="O55" s="3253"/>
      <c r="P55" s="3254"/>
      <c r="Q55" s="538"/>
    </row>
    <row r="56" spans="1:18" ht="3" customHeight="1" thickBot="1"/>
    <row r="57" spans="1:18" s="44" customFormat="1" ht="12.6" customHeight="1" thickBot="1">
      <c r="A57" s="165" t="s">
        <v>750</v>
      </c>
      <c r="B57" s="114" t="s">
        <v>4152</v>
      </c>
      <c r="D57" s="42"/>
      <c r="I57" s="3121" t="s">
        <v>3801</v>
      </c>
      <c r="J57" s="3121"/>
      <c r="K57" s="3121"/>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3890</v>
      </c>
      <c r="D59" s="34"/>
      <c r="N59" s="561"/>
      <c r="O59" s="251"/>
      <c r="P59" s="656"/>
    </row>
    <row r="60" spans="1:18" s="44" customFormat="1" ht="12" customHeight="1">
      <c r="A60" s="150" t="s">
        <v>1999</v>
      </c>
      <c r="B60" s="196" t="s">
        <v>1888</v>
      </c>
      <c r="C60" s="4"/>
      <c r="D60" s="4"/>
      <c r="F60" s="348"/>
      <c r="G60" s="204" t="s">
        <v>2736</v>
      </c>
      <c r="I60" s="3429" t="s">
        <v>4236</v>
      </c>
      <c r="J60" s="3429"/>
      <c r="K60" s="3429"/>
      <c r="L60" s="3429"/>
      <c r="M60" s="75">
        <v>10</v>
      </c>
      <c r="N60" s="206" t="s">
        <v>1999</v>
      </c>
      <c r="O60" s="1046"/>
      <c r="P60" s="1248"/>
      <c r="Q60" s="1264" t="str">
        <f>IF(OR($O60=$M60,$O60=0,$O60=""),"","*CHECK!*")</f>
        <v/>
      </c>
      <c r="R60" s="1559" t="s">
        <v>2724</v>
      </c>
    </row>
    <row r="61" spans="1:18" s="44" customFormat="1" ht="12.6" customHeight="1">
      <c r="A61" s="150" t="s">
        <v>2001</v>
      </c>
      <c r="B61" s="196" t="s">
        <v>3879</v>
      </c>
      <c r="D61" s="42"/>
      <c r="F61" s="476"/>
      <c r="G61" s="204" t="s">
        <v>4031</v>
      </c>
      <c r="I61" s="3429"/>
      <c r="J61" s="3429"/>
      <c r="K61" s="3429"/>
      <c r="L61" s="3429"/>
      <c r="M61" s="1715" t="s">
        <v>1250</v>
      </c>
      <c r="N61" s="561" t="s">
        <v>2001</v>
      </c>
      <c r="O61" s="1504"/>
      <c r="P61" s="1505"/>
      <c r="R61" s="1559" t="s">
        <v>2724</v>
      </c>
    </row>
    <row r="62" spans="1:18" s="44" customFormat="1" ht="11.25" customHeight="1" thickBot="1">
      <c r="A62" s="43"/>
      <c r="B62" s="1675" t="s">
        <v>3786</v>
      </c>
      <c r="C62" s="43"/>
      <c r="D62" s="49"/>
      <c r="E62" s="49"/>
      <c r="F62" s="49"/>
      <c r="G62" s="49"/>
      <c r="H62" s="37"/>
      <c r="I62" s="3430"/>
      <c r="J62" s="3430"/>
      <c r="K62" s="3430"/>
      <c r="L62" s="3430"/>
      <c r="M62" s="47"/>
      <c r="N62" s="63"/>
      <c r="O62" s="3"/>
      <c r="P62" s="1707"/>
    </row>
    <row r="63" spans="1:18" s="44" customFormat="1" ht="21.75" customHeight="1" thickTop="1" thickBot="1">
      <c r="A63" s="3379"/>
      <c r="B63" s="3380"/>
      <c r="C63" s="3380"/>
      <c r="D63" s="3380"/>
      <c r="E63" s="3380"/>
      <c r="F63" s="3380"/>
      <c r="G63" s="3380"/>
      <c r="H63" s="3380"/>
      <c r="I63" s="3380"/>
      <c r="J63" s="3380"/>
      <c r="K63" s="3380"/>
      <c r="L63" s="3380"/>
      <c r="M63" s="3380"/>
      <c r="N63" s="3380"/>
      <c r="O63" s="3380"/>
      <c r="P63" s="3381"/>
      <c r="Q63" s="1425" t="s">
        <v>1266</v>
      </c>
      <c r="R63" s="539"/>
    </row>
    <row r="64" spans="1:18" s="44" customFormat="1" ht="11.45"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252"/>
      <c r="B65" s="3253"/>
      <c r="C65" s="3253"/>
      <c r="D65" s="3253"/>
      <c r="E65" s="3253"/>
      <c r="F65" s="3253"/>
      <c r="G65" s="3253"/>
      <c r="H65" s="3253"/>
      <c r="I65" s="3253"/>
      <c r="J65" s="3253"/>
      <c r="K65" s="3253"/>
      <c r="L65" s="3253"/>
      <c r="M65" s="3253"/>
      <c r="N65" s="3253"/>
      <c r="O65" s="3253"/>
      <c r="P65" s="3254"/>
      <c r="Q65" s="538"/>
      <c r="R65" s="539"/>
    </row>
    <row r="66" spans="1:21" ht="3.6" customHeight="1" thickBot="1">
      <c r="M66" s="34"/>
      <c r="N66" s="124"/>
      <c r="O66" s="163"/>
      <c r="P66" s="163"/>
    </row>
    <row r="67" spans="1:21" s="44" customFormat="1" ht="12.6" customHeight="1" thickBot="1">
      <c r="A67" s="165" t="s">
        <v>1805</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184" t="s">
        <v>4142</v>
      </c>
      <c r="S67" s="3184"/>
      <c r="T67" s="3184"/>
      <c r="U67" s="3184"/>
    </row>
    <row r="68" spans="1:21" s="44" customFormat="1" ht="17.25" customHeight="1">
      <c r="A68" s="165"/>
      <c r="B68" s="120" t="s">
        <v>4002</v>
      </c>
      <c r="D68" s="42"/>
      <c r="H68" s="196" t="s">
        <v>2812</v>
      </c>
      <c r="I68" s="625"/>
      <c r="J68" s="623" t="str">
        <f>'Part I-Project Information'!$H$100</f>
        <v>N/A - 4% Bond</v>
      </c>
      <c r="K68" s="49"/>
      <c r="M68" s="1704"/>
      <c r="N68" s="561"/>
      <c r="O68" s="1257" t="s">
        <v>3622</v>
      </c>
      <c r="P68" s="1257" t="s">
        <v>3623</v>
      </c>
      <c r="Q68" s="118"/>
      <c r="R68" s="3184"/>
      <c r="S68" s="3184"/>
      <c r="T68" s="3184"/>
      <c r="U68" s="3184"/>
    </row>
    <row r="69" spans="1:21" s="44" customFormat="1" ht="11.25" customHeight="1">
      <c r="A69" s="165"/>
      <c r="B69" s="577" t="s">
        <v>2002</v>
      </c>
      <c r="C69" s="56" t="s">
        <v>3621</v>
      </c>
      <c r="D69" s="42"/>
      <c r="H69" s="46"/>
      <c r="I69" s="50"/>
      <c r="J69" s="49"/>
      <c r="K69" s="49"/>
      <c r="M69" s="1704"/>
      <c r="N69" s="561"/>
      <c r="O69" s="251"/>
      <c r="P69" s="656"/>
      <c r="Q69" s="118"/>
      <c r="R69" s="3184"/>
      <c r="S69" s="3184"/>
      <c r="T69" s="3184"/>
      <c r="U69" s="3184"/>
    </row>
    <row r="70" spans="1:21" s="44" customFormat="1" ht="11.25" customHeight="1">
      <c r="A70" s="165"/>
      <c r="B70" s="577" t="s">
        <v>2004</v>
      </c>
      <c r="C70" s="56" t="s">
        <v>4000</v>
      </c>
      <c r="D70" s="42"/>
      <c r="H70" s="46"/>
      <c r="I70" s="50"/>
      <c r="J70" s="49"/>
      <c r="K70" s="49"/>
      <c r="N70" s="561"/>
      <c r="O70" s="445"/>
      <c r="P70" s="657"/>
      <c r="Q70" s="118"/>
      <c r="R70" s="3184"/>
      <c r="S70" s="3184"/>
      <c r="T70" s="3184"/>
      <c r="U70" s="3184"/>
    </row>
    <row r="71" spans="1:21" s="44" customFormat="1" ht="11.25" customHeight="1">
      <c r="A71" s="165"/>
      <c r="B71" s="577" t="s">
        <v>2551</v>
      </c>
      <c r="C71" s="56" t="s">
        <v>4001</v>
      </c>
      <c r="D71" s="42"/>
      <c r="H71" s="46"/>
      <c r="I71" s="50"/>
      <c r="J71" s="49"/>
      <c r="K71" s="49"/>
      <c r="N71" s="561"/>
      <c r="O71" s="252"/>
      <c r="P71" s="658"/>
      <c r="Q71" s="118"/>
      <c r="R71" s="3184"/>
      <c r="S71" s="3184"/>
      <c r="T71" s="3184"/>
      <c r="U71" s="3184"/>
    </row>
    <row r="72" spans="1:21" s="44" customFormat="1" ht="3" customHeight="1">
      <c r="A72" s="165"/>
      <c r="B72" s="114"/>
      <c r="D72" s="42"/>
      <c r="H72" s="46"/>
      <c r="I72" s="50"/>
      <c r="J72" s="49"/>
      <c r="K72" s="49"/>
      <c r="M72" s="1704"/>
      <c r="N72" s="561"/>
      <c r="O72" s="3"/>
      <c r="P72" s="3"/>
      <c r="Q72" s="118"/>
      <c r="R72" s="3184"/>
      <c r="S72" s="3184"/>
      <c r="T72" s="3184"/>
      <c r="U72" s="3184"/>
    </row>
    <row r="73" spans="1:21" s="44" customFormat="1" ht="13.5" customHeight="1">
      <c r="A73" s="165"/>
      <c r="B73" s="120" t="s">
        <v>4009</v>
      </c>
      <c r="D73" s="42"/>
      <c r="F73" s="3382" t="s">
        <v>3747</v>
      </c>
      <c r="G73" s="3382"/>
      <c r="H73" s="3382"/>
      <c r="I73" s="3382"/>
      <c r="J73" s="3382" t="s">
        <v>3748</v>
      </c>
      <c r="K73" s="3382"/>
      <c r="L73" s="3382"/>
      <c r="M73" s="3382"/>
      <c r="N73" s="561"/>
      <c r="O73" s="3383" t="s">
        <v>4149</v>
      </c>
      <c r="P73" s="3384"/>
      <c r="Q73" s="118"/>
      <c r="R73" s="3184"/>
      <c r="S73" s="3184"/>
      <c r="T73" s="3184"/>
      <c r="U73" s="3184"/>
    </row>
    <row r="74" spans="1:21" s="44" customFormat="1" ht="12.75" customHeight="1">
      <c r="A74" s="165"/>
      <c r="C74" s="592" t="s">
        <v>4008</v>
      </c>
      <c r="D74" s="765"/>
      <c r="E74" s="319"/>
      <c r="F74" s="3386"/>
      <c r="G74" s="3387"/>
      <c r="H74" s="3388"/>
      <c r="I74" s="3389"/>
      <c r="J74" s="3386"/>
      <c r="K74" s="3387"/>
      <c r="L74" s="3388"/>
      <c r="M74" s="3389"/>
      <c r="N74" s="561"/>
      <c r="Q74" s="118"/>
      <c r="R74" s="3184"/>
      <c r="S74" s="3184"/>
      <c r="T74" s="3184"/>
      <c r="U74" s="3184"/>
    </row>
    <row r="75" spans="1:21" s="44" customFormat="1" ht="12.75" customHeight="1">
      <c r="B75" s="1463"/>
      <c r="D75" s="1606" t="s">
        <v>4010</v>
      </c>
      <c r="E75" s="319"/>
      <c r="F75" s="3398"/>
      <c r="G75" s="3399"/>
      <c r="H75" s="3400"/>
      <c r="I75" s="3401"/>
      <c r="J75" s="3398"/>
      <c r="K75" s="3399"/>
      <c r="L75" s="3400"/>
      <c r="M75" s="3401"/>
      <c r="N75" s="561"/>
      <c r="O75" s="1617"/>
      <c r="P75" s="1618"/>
      <c r="Q75" s="118"/>
      <c r="R75" s="3184"/>
      <c r="S75" s="3184"/>
      <c r="T75" s="3184"/>
      <c r="U75" s="3184"/>
    </row>
    <row r="76" spans="1:21" s="44" customFormat="1" ht="12.75" customHeight="1">
      <c r="A76" s="3686" t="s">
        <v>4199</v>
      </c>
      <c r="B76" s="3686"/>
      <c r="C76" s="592" t="s">
        <v>4150</v>
      </c>
      <c r="D76" s="765"/>
      <c r="E76" s="319"/>
      <c r="F76" s="3688"/>
      <c r="G76" s="3689"/>
      <c r="H76" s="3419"/>
      <c r="I76" s="3420"/>
      <c r="J76" s="3688"/>
      <c r="K76" s="3689"/>
      <c r="L76" s="3419"/>
      <c r="M76" s="3420"/>
      <c r="N76" s="561"/>
      <c r="O76" s="1615"/>
      <c r="P76" s="1616"/>
      <c r="Q76" s="118"/>
      <c r="R76" s="3184"/>
      <c r="S76" s="3184"/>
      <c r="T76" s="3184"/>
      <c r="U76" s="3184"/>
    </row>
    <row r="77" spans="1:21" s="44" customFormat="1" ht="12.75" customHeight="1">
      <c r="A77" s="3686"/>
      <c r="B77" s="3686"/>
      <c r="D77" s="1606" t="s">
        <v>4148</v>
      </c>
      <c r="E77" s="319"/>
      <c r="F77" s="3417"/>
      <c r="G77" s="3418"/>
      <c r="H77" s="3421"/>
      <c r="I77" s="3422"/>
      <c r="J77" s="3417"/>
      <c r="K77" s="3418"/>
      <c r="L77" s="3421"/>
      <c r="M77" s="3422"/>
      <c r="N77" s="561"/>
      <c r="O77" s="1613"/>
      <c r="P77" s="1614"/>
      <c r="Q77" s="118"/>
      <c r="R77" s="3184"/>
      <c r="S77" s="3184"/>
      <c r="T77" s="3184"/>
      <c r="U77" s="3184"/>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2803</v>
      </c>
      <c r="B79" s="114"/>
      <c r="D79" s="42"/>
      <c r="F79" s="62" t="s">
        <v>3787</v>
      </c>
      <c r="M79" s="1704"/>
      <c r="N79" s="1704"/>
      <c r="O79" s="1704"/>
      <c r="P79" s="1704"/>
      <c r="Q79" s="118"/>
      <c r="R79" s="1506"/>
      <c r="S79" s="1506"/>
      <c r="T79" s="1506"/>
      <c r="U79" s="1506"/>
    </row>
    <row r="80" spans="1:21" s="44" customFormat="1" ht="12.6" customHeight="1">
      <c r="A80" s="155" t="s">
        <v>1999</v>
      </c>
      <c r="B80" s="196" t="s">
        <v>3779</v>
      </c>
      <c r="D80" s="42"/>
      <c r="F80" s="46" t="s">
        <v>3892</v>
      </c>
      <c r="I80" s="3385" t="s">
        <v>4146</v>
      </c>
      <c r="J80" s="3385"/>
      <c r="K80" s="3385"/>
      <c r="L80" s="3385"/>
      <c r="M80" s="1704">
        <v>6</v>
      </c>
      <c r="N80" s="473" t="s">
        <v>1999</v>
      </c>
      <c r="O80" s="1262">
        <f>IF($J$68="Flexible",MIN($M80,O81+O82+O83),0)</f>
        <v>0</v>
      </c>
      <c r="P80" s="1262">
        <f>IF($J$68="Flexible",MIN($M80,P81+P82+P83),0)</f>
        <v>0</v>
      </c>
      <c r="Q80" s="118"/>
    </row>
    <row r="81" spans="1:18" s="500" customFormat="1" ht="23.25" customHeight="1">
      <c r="B81" s="533" t="s">
        <v>2002</v>
      </c>
      <c r="C81" s="3360" t="s">
        <v>4003</v>
      </c>
      <c r="D81" s="3360"/>
      <c r="E81" s="3360"/>
      <c r="F81" s="3360"/>
      <c r="G81" s="3360"/>
      <c r="H81" s="3360"/>
      <c r="I81" s="3385"/>
      <c r="J81" s="3385"/>
      <c r="K81" s="3385"/>
      <c r="L81" s="3385"/>
      <c r="M81" s="620">
        <v>5</v>
      </c>
      <c r="N81" s="577" t="s">
        <v>2002</v>
      </c>
      <c r="O81" s="1044"/>
      <c r="P81" s="1045"/>
      <c r="Q81" s="1264" t="str">
        <f>IF(OR($O81=$M81,$O81=0,$O81=""),"","*CHECK!*")</f>
        <v/>
      </c>
      <c r="R81" s="1559" t="s">
        <v>2724</v>
      </c>
    </row>
    <row r="82" spans="1:18" s="500" customFormat="1" ht="12" customHeight="1">
      <c r="A82" s="719" t="s">
        <v>1365</v>
      </c>
      <c r="B82" s="533" t="s">
        <v>2004</v>
      </c>
      <c r="C82" s="474" t="s">
        <v>4004</v>
      </c>
      <c r="D82" s="474"/>
      <c r="E82" s="474"/>
      <c r="F82" s="474"/>
      <c r="G82" s="474"/>
      <c r="H82" s="474"/>
      <c r="I82" s="3385"/>
      <c r="J82" s="3385"/>
      <c r="K82" s="3385"/>
      <c r="L82" s="3385"/>
      <c r="M82" s="620">
        <v>4</v>
      </c>
      <c r="N82" s="577" t="s">
        <v>2004</v>
      </c>
      <c r="O82" s="1046"/>
      <c r="P82" s="1248"/>
      <c r="Q82" s="1264" t="str">
        <f t="shared" ref="Q82:Q83" si="0">IF(OR($O82=$M82,$O82=0,$O82=""),"","*CHECK!*")</f>
        <v/>
      </c>
      <c r="R82" s="1559" t="s">
        <v>2724</v>
      </c>
    </row>
    <row r="83" spans="1:18" s="500" customFormat="1" ht="12" customHeight="1">
      <c r="B83" s="533" t="s">
        <v>2551</v>
      </c>
      <c r="C83" s="474" t="s">
        <v>3780</v>
      </c>
      <c r="D83" s="474"/>
      <c r="E83" s="474"/>
      <c r="F83" s="474"/>
      <c r="G83" s="561" t="s">
        <v>4147</v>
      </c>
      <c r="H83" s="1612" t="str">
        <f>'Part I-Project Information'!$H$78</f>
        <v>Family</v>
      </c>
      <c r="I83" s="3458" t="s">
        <v>3777</v>
      </c>
      <c r="J83" s="3459"/>
      <c r="K83" s="3459"/>
      <c r="L83" s="3462" t="s">
        <v>3778</v>
      </c>
      <c r="M83" s="620">
        <v>1</v>
      </c>
      <c r="N83" s="577" t="s">
        <v>2551</v>
      </c>
      <c r="O83" s="1504"/>
      <c r="P83" s="1505"/>
      <c r="Q83" s="1264" t="str">
        <f t="shared" si="0"/>
        <v/>
      </c>
      <c r="R83" s="1559" t="s">
        <v>2724</v>
      </c>
    </row>
    <row r="84" spans="1:18" s="500" customFormat="1" ht="12" customHeight="1">
      <c r="A84" s="155" t="s">
        <v>2001</v>
      </c>
      <c r="B84" s="1558" t="s">
        <v>3781</v>
      </c>
      <c r="C84" s="793"/>
      <c r="D84" s="793"/>
      <c r="E84" s="793"/>
      <c r="F84" s="1498" t="s">
        <v>3891</v>
      </c>
      <c r="I84" s="3460"/>
      <c r="J84" s="3461"/>
      <c r="K84" s="3461"/>
      <c r="L84" s="3463"/>
      <c r="M84" s="1203">
        <v>3</v>
      </c>
      <c r="N84" s="174" t="s">
        <v>2001</v>
      </c>
      <c r="O84" s="1262">
        <f>IF($J$68="Flexible",MIN($M84,O85+O86+O87),0)</f>
        <v>0</v>
      </c>
      <c r="P84" s="1262">
        <f>IF($J$68="Flexible",MIN($M84,P85+P86+P87),0)</f>
        <v>0</v>
      </c>
      <c r="Q84" s="621"/>
      <c r="R84" s="472"/>
    </row>
    <row r="85" spans="1:18" s="500" customFormat="1" ht="12" customHeight="1">
      <c r="A85" s="150"/>
      <c r="B85" s="533" t="s">
        <v>2002</v>
      </c>
      <c r="C85" s="3626" t="s">
        <v>4005</v>
      </c>
      <c r="D85" s="3626"/>
      <c r="E85" s="3626"/>
      <c r="F85" s="3626"/>
      <c r="G85" s="3626"/>
      <c r="H85" s="3687"/>
      <c r="I85" s="3452" t="s">
        <v>3624</v>
      </c>
      <c r="J85" s="3453"/>
      <c r="K85" s="3453"/>
      <c r="L85" s="3454"/>
      <c r="M85" s="620">
        <v>3</v>
      </c>
      <c r="N85" s="577" t="s">
        <v>2002</v>
      </c>
      <c r="O85" s="1044"/>
      <c r="P85" s="1045"/>
      <c r="Q85" s="1264" t="str">
        <f>IF(OR($O85=$M85,$O85=0,$O85=""),"","*CHECK!*")</f>
        <v/>
      </c>
      <c r="R85" s="1559" t="s">
        <v>2724</v>
      </c>
    </row>
    <row r="86" spans="1:18" s="44" customFormat="1" ht="12" customHeight="1">
      <c r="A86" s="1499" t="s">
        <v>1365</v>
      </c>
      <c r="B86" s="533" t="s">
        <v>2004</v>
      </c>
      <c r="C86" s="3626" t="s">
        <v>4006</v>
      </c>
      <c r="D86" s="3626"/>
      <c r="E86" s="3626"/>
      <c r="F86" s="3626"/>
      <c r="G86" s="3626"/>
      <c r="H86" s="3687"/>
      <c r="I86" s="3469"/>
      <c r="J86" s="3470"/>
      <c r="K86" s="3470"/>
      <c r="L86" s="3471"/>
      <c r="M86" s="620">
        <v>2</v>
      </c>
      <c r="N86" s="577" t="s">
        <v>2004</v>
      </c>
      <c r="O86" s="1046"/>
      <c r="P86" s="1248"/>
      <c r="Q86" s="1264" t="str">
        <f t="shared" ref="Q86:Q87" si="1">IF(OR($O86=$M86,$O86=0,$O86=""),"","*CHECK!*")</f>
        <v/>
      </c>
      <c r="R86" s="1559" t="s">
        <v>2724</v>
      </c>
    </row>
    <row r="87" spans="1:18" s="44" customFormat="1" ht="14.25" customHeight="1">
      <c r="A87" s="1499" t="s">
        <v>1365</v>
      </c>
      <c r="B87" s="533" t="s">
        <v>2551</v>
      </c>
      <c r="C87" s="3360" t="s">
        <v>4007</v>
      </c>
      <c r="D87" s="3360"/>
      <c r="E87" s="3360"/>
      <c r="F87" s="3360"/>
      <c r="G87" s="3360"/>
      <c r="H87" s="3370"/>
      <c r="I87" s="3452" t="s">
        <v>3625</v>
      </c>
      <c r="J87" s="3453"/>
      <c r="K87" s="3453"/>
      <c r="L87" s="3454"/>
      <c r="M87" s="620">
        <v>1</v>
      </c>
      <c r="N87" s="577" t="s">
        <v>2551</v>
      </c>
      <c r="O87" s="1504"/>
      <c r="P87" s="1505"/>
      <c r="Q87" s="1264" t="str">
        <f t="shared" si="1"/>
        <v/>
      </c>
      <c r="R87" s="1559" t="s">
        <v>2724</v>
      </c>
    </row>
    <row r="88" spans="1:18" s="44" customFormat="1" ht="12.6" customHeight="1">
      <c r="A88" s="624" t="s">
        <v>2805</v>
      </c>
      <c r="B88" s="196"/>
      <c r="E88" s="42"/>
      <c r="I88" s="3455"/>
      <c r="J88" s="3456"/>
      <c r="K88" s="3456"/>
      <c r="L88" s="3457"/>
      <c r="M88" s="75"/>
      <c r="N88" s="75"/>
      <c r="O88" s="75"/>
      <c r="P88" s="75"/>
      <c r="Q88" s="457"/>
      <c r="R88" s="457"/>
    </row>
    <row r="89" spans="1:18" s="111" customFormat="1" ht="12" customHeight="1">
      <c r="A89" s="150"/>
      <c r="B89" s="533" t="s">
        <v>1236</v>
      </c>
      <c r="C89" s="196" t="s">
        <v>3626</v>
      </c>
      <c r="D89" s="196"/>
      <c r="E89" s="196"/>
      <c r="F89" s="196"/>
      <c r="G89" s="196"/>
      <c r="H89" s="196"/>
      <c r="I89" s="196"/>
      <c r="J89" s="196"/>
      <c r="K89" s="196"/>
      <c r="L89" s="196"/>
      <c r="M89" s="75">
        <v>2</v>
      </c>
      <c r="N89" s="577" t="s">
        <v>1236</v>
      </c>
      <c r="O89" s="731"/>
      <c r="P89" s="1042"/>
      <c r="Q89" s="1264" t="str">
        <f>IF(OR($O89=$M89,$O89=0,$O89=""),"","*CHECK!*")</f>
        <v/>
      </c>
      <c r="R89" s="1559" t="s">
        <v>2724</v>
      </c>
    </row>
    <row r="90" spans="1:18" s="44" customFormat="1" ht="12.6" customHeight="1">
      <c r="A90" s="37" t="s">
        <v>4151</v>
      </c>
      <c r="B90" s="196"/>
      <c r="E90" s="42"/>
      <c r="K90" s="49"/>
      <c r="M90" s="75"/>
      <c r="N90" s="75"/>
      <c r="O90" s="75"/>
      <c r="P90" s="75"/>
      <c r="Q90" s="457"/>
      <c r="R90" s="457"/>
    </row>
    <row r="91" spans="1:18" s="111" customFormat="1" ht="11.45"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252"/>
      <c r="B92" s="3253"/>
      <c r="C92" s="3253"/>
      <c r="D92" s="3253"/>
      <c r="E92" s="3253"/>
      <c r="F92" s="3253"/>
      <c r="G92" s="3253"/>
      <c r="H92" s="3253"/>
      <c r="I92" s="3253"/>
      <c r="J92" s="3253"/>
      <c r="K92" s="3253"/>
      <c r="L92" s="3253"/>
      <c r="M92" s="3253"/>
      <c r="N92" s="3253"/>
      <c r="O92" s="3253"/>
      <c r="P92" s="3254"/>
      <c r="Q92" s="538"/>
    </row>
    <row r="93" spans="1:18" ht="3" customHeight="1" thickBot="1">
      <c r="B93" s="127"/>
      <c r="C93" s="127"/>
      <c r="D93" s="127"/>
      <c r="E93" s="127"/>
      <c r="R93" s="44"/>
    </row>
    <row r="94" spans="1:18" s="44" customFormat="1" ht="13.5"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5" customHeight="1">
      <c r="B95" s="3448" t="s">
        <v>4015</v>
      </c>
      <c r="C95" s="3448"/>
      <c r="D95" s="3448"/>
      <c r="E95" s="3448"/>
      <c r="F95" s="3448"/>
      <c r="G95" s="3448"/>
      <c r="H95" s="3448"/>
      <c r="O95" s="3395" t="str">
        <f>IF(OR(AND(P102&gt;0,P103&gt;0),AND(P103&gt;0,P104&gt;0),AND(P102&gt;0,P104&gt;0)),"Choose A, B, or C.  See instructions.",IF(AND(P104&gt;0,P105&gt;0),"Choose A or B when choosing D.  See instructions.",""))</f>
        <v/>
      </c>
      <c r="P95" s="3395"/>
      <c r="Q95" s="118"/>
    </row>
    <row r="96" spans="1:18" s="1466" customFormat="1" ht="12.6" customHeight="1">
      <c r="B96" s="3448"/>
      <c r="C96" s="3448"/>
      <c r="D96" s="3448"/>
      <c r="E96" s="3448"/>
      <c r="F96" s="3448"/>
      <c r="G96" s="3448"/>
      <c r="H96" s="3448"/>
      <c r="I96" s="3449" t="s">
        <v>4025</v>
      </c>
      <c r="J96" s="3450"/>
      <c r="K96" s="3450"/>
      <c r="L96" s="3451"/>
      <c r="O96" s="3396"/>
      <c r="P96" s="3396"/>
    </row>
    <row r="97" spans="1:18" s="44" customFormat="1" ht="13.5" customHeight="1">
      <c r="B97" s="196" t="s">
        <v>2812</v>
      </c>
      <c r="G97" s="42"/>
      <c r="H97" s="42"/>
      <c r="I97" s="1500" t="str">
        <f>'Part I-Project Information'!$H$100</f>
        <v>N/A - 4% Bond</v>
      </c>
      <c r="K97" s="28"/>
      <c r="M97" s="1704"/>
      <c r="N97" s="479"/>
      <c r="O97" s="3396"/>
      <c r="P97" s="3396"/>
    </row>
    <row r="98" spans="1:18" s="44" customFormat="1" ht="13.5" customHeight="1">
      <c r="B98" s="196" t="s">
        <v>4012</v>
      </c>
      <c r="G98" s="42"/>
      <c r="H98" s="42"/>
      <c r="I98" s="770"/>
      <c r="K98" s="28"/>
      <c r="M98" s="1704"/>
      <c r="N98" s="479"/>
      <c r="O98" s="3396"/>
      <c r="P98" s="3396"/>
    </row>
    <row r="99" spans="1:18" s="1466" customFormat="1" ht="13.5" customHeight="1">
      <c r="C99" s="1462" t="s">
        <v>4017</v>
      </c>
      <c r="I99" s="635"/>
      <c r="J99" s="650"/>
      <c r="K99" s="472"/>
      <c r="O99" s="3396"/>
      <c r="P99" s="3396"/>
    </row>
    <row r="100" spans="1:18" s="1466" customFormat="1" ht="13.5" customHeight="1">
      <c r="C100" s="1462" t="s">
        <v>4018</v>
      </c>
      <c r="I100" s="637"/>
      <c r="J100" s="652"/>
      <c r="K100" s="472"/>
      <c r="O100" s="3475" t="s">
        <v>4026</v>
      </c>
      <c r="P100" s="3475"/>
    </row>
    <row r="101" spans="1:18" s="44" customFormat="1" ht="5.25" customHeight="1">
      <c r="A101" s="165"/>
      <c r="B101" s="94"/>
      <c r="G101" s="42"/>
      <c r="H101" s="42"/>
      <c r="I101" s="770"/>
      <c r="K101" s="28"/>
      <c r="M101" s="1704"/>
      <c r="N101" s="1704"/>
      <c r="O101" s="1704"/>
      <c r="P101" s="1704"/>
      <c r="Q101" s="118"/>
    </row>
    <row r="102" spans="1:18" ht="11.45" customHeight="1">
      <c r="A102" s="150" t="s">
        <v>1999</v>
      </c>
      <c r="B102" s="209" t="s">
        <v>3909</v>
      </c>
      <c r="D102" s="34"/>
      <c r="K102" s="3476" t="str">
        <f>IF(OR(AND(O102&gt;0,O103&gt;0),AND(O103&gt;0,O104&gt;0),AND(O102&gt;0,O104&gt;0)),"Choose A, B, or C.  See instructions.",IF(AND(O104&gt;0,O105&gt;0),"Choose A or B when choosing D.  See instructions.",""))</f>
        <v/>
      </c>
      <c r="L102" s="3476"/>
      <c r="M102" s="620">
        <v>2</v>
      </c>
      <c r="N102" s="561" t="s">
        <v>1999</v>
      </c>
      <c r="O102" s="1044"/>
      <c r="P102" s="1045"/>
      <c r="Q102" s="1264" t="str">
        <f>IF(OR($O102=$M102,$O102=0,$O102=""),"","*CHECK!*")</f>
        <v/>
      </c>
      <c r="R102" s="1559" t="s">
        <v>2724</v>
      </c>
    </row>
    <row r="103" spans="1:18" ht="11.45" customHeight="1">
      <c r="A103" s="150" t="s">
        <v>2001</v>
      </c>
      <c r="B103" s="209" t="s">
        <v>312</v>
      </c>
      <c r="D103" s="34"/>
      <c r="E103" s="34"/>
      <c r="K103" s="3476"/>
      <c r="L103" s="3476"/>
      <c r="M103" s="620">
        <v>1</v>
      </c>
      <c r="N103" s="561" t="s">
        <v>2001</v>
      </c>
      <c r="O103" s="1046"/>
      <c r="P103" s="1248"/>
      <c r="Q103" s="1264" t="str">
        <f t="shared" ref="Q103:Q105" si="2">IF(OR($O103=$M103,$O103=0,$O103=""),"","*CHECK!*")</f>
        <v/>
      </c>
      <c r="R103" s="1559" t="s">
        <v>2724</v>
      </c>
    </row>
    <row r="104" spans="1:18" ht="11.45" customHeight="1">
      <c r="A104" s="150" t="s">
        <v>757</v>
      </c>
      <c r="B104" s="209" t="s">
        <v>3910</v>
      </c>
      <c r="D104" s="34"/>
      <c r="E104" s="34"/>
      <c r="F104" s="34"/>
      <c r="K104" s="3476"/>
      <c r="L104" s="3476"/>
      <c r="M104" s="620">
        <v>3</v>
      </c>
      <c r="N104" s="561" t="s">
        <v>757</v>
      </c>
      <c r="O104" s="1046"/>
      <c r="P104" s="1248"/>
      <c r="Q104" s="1264" t="str">
        <f t="shared" si="2"/>
        <v/>
      </c>
      <c r="R104" s="1559" t="s">
        <v>2724</v>
      </c>
    </row>
    <row r="105" spans="1:18" ht="11.45" customHeight="1">
      <c r="A105" s="150" t="s">
        <v>2131</v>
      </c>
      <c r="B105" s="209" t="s">
        <v>3810</v>
      </c>
      <c r="D105" s="34"/>
      <c r="E105" s="34"/>
      <c r="F105" s="146" t="s">
        <v>4028</v>
      </c>
      <c r="J105" s="1503" t="s">
        <v>4027</v>
      </c>
      <c r="K105" s="3476"/>
      <c r="L105" s="3476"/>
      <c r="M105" s="620">
        <v>1</v>
      </c>
      <c r="N105" s="561" t="s">
        <v>2131</v>
      </c>
      <c r="O105" s="1504"/>
      <c r="P105" s="1505"/>
      <c r="Q105" s="1264" t="str">
        <f t="shared" si="2"/>
        <v/>
      </c>
      <c r="R105" s="1559" t="s">
        <v>2724</v>
      </c>
    </row>
    <row r="106" spans="1:18" s="111" customFormat="1" ht="11.45" customHeight="1" thickBot="1">
      <c r="A106" s="43"/>
      <c r="B106" s="1675" t="s">
        <v>3786</v>
      </c>
      <c r="C106" s="43"/>
      <c r="D106" s="49"/>
      <c r="E106" s="49"/>
      <c r="F106" s="49"/>
      <c r="G106" s="49"/>
      <c r="K106" s="37"/>
      <c r="M106" s="47"/>
      <c r="N106" s="6"/>
      <c r="O106" s="3"/>
      <c r="P106" s="1704"/>
    </row>
    <row r="107" spans="1:18" s="44" customFormat="1" ht="21.75" customHeight="1" thickTop="1" thickBot="1">
      <c r="A107" s="3472"/>
      <c r="B107" s="3473"/>
      <c r="C107" s="3473"/>
      <c r="D107" s="3473"/>
      <c r="E107" s="3473"/>
      <c r="F107" s="3473"/>
      <c r="G107" s="3473"/>
      <c r="H107" s="3473"/>
      <c r="I107" s="3473"/>
      <c r="J107" s="3473"/>
      <c r="K107" s="3473"/>
      <c r="L107" s="3473"/>
      <c r="M107" s="3473"/>
      <c r="N107" s="3473"/>
      <c r="O107" s="3473"/>
      <c r="P107" s="3474"/>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445"/>
      <c r="B109" s="3446"/>
      <c r="C109" s="3446"/>
      <c r="D109" s="3446"/>
      <c r="E109" s="3446"/>
      <c r="F109" s="3446"/>
      <c r="G109" s="3446"/>
      <c r="H109" s="3446"/>
      <c r="I109" s="3446"/>
      <c r="J109" s="3446"/>
      <c r="K109" s="3446"/>
      <c r="L109" s="3446"/>
      <c r="M109" s="3446"/>
      <c r="N109" s="3446"/>
      <c r="O109" s="3446"/>
      <c r="P109" s="3447"/>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4029</v>
      </c>
      <c r="D111" s="40"/>
      <c r="E111" s="37"/>
      <c r="F111" s="1078"/>
      <c r="G111" s="1078"/>
      <c r="H111" s="1078"/>
      <c r="I111" s="62" t="s">
        <v>3787</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4030</v>
      </c>
      <c r="C113" s="100"/>
      <c r="D113" s="126"/>
      <c r="E113" s="506" t="s">
        <v>4154</v>
      </c>
      <c r="G113" s="123"/>
      <c r="I113" s="561" t="s">
        <v>4147</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4032</v>
      </c>
      <c r="C115" s="100"/>
      <c r="D115" s="1467"/>
      <c r="E115" s="1816" t="s">
        <v>4263</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4184</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4185</v>
      </c>
      <c r="D117" s="3671"/>
      <c r="E117" s="3672"/>
      <c r="F117" s="3672"/>
      <c r="G117" s="3672"/>
      <c r="H117" s="3672"/>
      <c r="I117" s="3672"/>
      <c r="J117" s="3672"/>
      <c r="K117" s="3672"/>
      <c r="L117" s="3672"/>
      <c r="M117" s="3672"/>
      <c r="N117" s="3672"/>
      <c r="O117" s="3672"/>
      <c r="P117" s="3673"/>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4033</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4034</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4035</v>
      </c>
      <c r="D121" s="204" t="s">
        <v>4155</v>
      </c>
      <c r="F121" s="53"/>
      <c r="G121" s="53"/>
      <c r="H121" s="3425"/>
      <c r="I121" s="3425"/>
      <c r="J121" s="3425"/>
      <c r="K121" s="3425"/>
      <c r="L121" s="3425"/>
      <c r="M121" s="3425"/>
      <c r="N121" s="3425"/>
      <c r="O121" s="3425"/>
      <c r="P121" s="3425"/>
      <c r="Q121" s="1418"/>
      <c r="R121" s="1418"/>
      <c r="S121" s="1418"/>
      <c r="T121" s="1418"/>
    </row>
    <row r="122" spans="1:20" s="111" customFormat="1" ht="10.5" customHeight="1">
      <c r="A122" s="210"/>
      <c r="B122" s="53"/>
      <c r="C122" s="37" t="s">
        <v>4037</v>
      </c>
      <c r="D122" s="100"/>
      <c r="E122" s="53"/>
      <c r="F122" s="53"/>
      <c r="G122" s="53"/>
      <c r="H122" s="100"/>
      <c r="I122" s="100"/>
      <c r="J122" s="100"/>
      <c r="K122" s="100"/>
      <c r="L122" s="100"/>
      <c r="M122" s="522"/>
      <c r="N122" s="1276" t="s">
        <v>3815</v>
      </c>
      <c r="O122" s="1259"/>
      <c r="P122" s="1164"/>
      <c r="Q122" s="1418"/>
      <c r="R122" s="1418"/>
      <c r="S122" s="1418"/>
      <c r="T122" s="1418"/>
    </row>
    <row r="123" spans="1:20" s="37" customFormat="1" ht="10.5" customHeight="1">
      <c r="A123" s="65"/>
      <c r="B123" s="455"/>
      <c r="C123" s="37" t="s">
        <v>4038</v>
      </c>
      <c r="D123" s="53"/>
      <c r="E123" s="53"/>
      <c r="F123" s="53"/>
      <c r="G123" s="53"/>
      <c r="H123" s="53"/>
      <c r="I123" s="53"/>
      <c r="J123" s="53"/>
      <c r="K123" s="53"/>
      <c r="L123" s="53"/>
      <c r="M123" s="1711"/>
      <c r="N123" s="470" t="s">
        <v>3816</v>
      </c>
      <c r="O123" s="252"/>
      <c r="P123" s="658"/>
      <c r="Q123" s="1418"/>
      <c r="R123" s="1418"/>
      <c r="S123" s="1418"/>
      <c r="T123" s="1418"/>
    </row>
    <row r="124" spans="1:20" s="56" customFormat="1" ht="10.5" customHeight="1">
      <c r="A124" s="65"/>
      <c r="C124" s="56" t="s">
        <v>4182</v>
      </c>
      <c r="D124" s="506"/>
      <c r="E124" s="53"/>
      <c r="F124" s="53"/>
      <c r="G124" s="53"/>
      <c r="H124" s="506"/>
      <c r="J124" s="506"/>
      <c r="L124" s="3368" t="s">
        <v>3852</v>
      </c>
      <c r="M124" s="3368"/>
      <c r="N124" s="3368"/>
      <c r="O124" s="3444" t="s">
        <v>3851</v>
      </c>
      <c r="P124" s="3444"/>
      <c r="Q124" s="53"/>
    </row>
    <row r="125" spans="1:20" s="56" customFormat="1" ht="10.5" customHeight="1">
      <c r="A125" s="65"/>
      <c r="B125" s="456"/>
      <c r="C125" s="3410"/>
      <c r="D125" s="3411"/>
      <c r="E125" s="3411"/>
      <c r="F125" s="3411"/>
      <c r="G125" s="3411"/>
      <c r="H125" s="3411"/>
      <c r="I125" s="3411"/>
      <c r="J125" s="3411"/>
      <c r="K125" s="3412"/>
      <c r="L125" s="3413" t="s">
        <v>3731</v>
      </c>
      <c r="M125" s="3413"/>
      <c r="N125" s="3413"/>
      <c r="O125" s="3414"/>
      <c r="P125" s="3414"/>
      <c r="Q125" s="1490" t="str">
        <f>IF(O125&gt;15, "Too much!","")</f>
        <v/>
      </c>
    </row>
    <row r="126" spans="1:20" s="56" customFormat="1" ht="10.5" customHeight="1">
      <c r="A126" s="65"/>
      <c r="B126" s="471"/>
      <c r="C126" s="3477"/>
      <c r="D126" s="3478"/>
      <c r="E126" s="3478"/>
      <c r="F126" s="3478"/>
      <c r="G126" s="3478"/>
      <c r="H126" s="3478"/>
      <c r="I126" s="3478"/>
      <c r="J126" s="3478"/>
      <c r="K126" s="3479"/>
      <c r="L126" s="3666" t="s">
        <v>3731</v>
      </c>
      <c r="M126" s="3666"/>
      <c r="N126" s="3666"/>
      <c r="O126" s="3667"/>
      <c r="P126" s="3667"/>
      <c r="Q126" s="1490" t="str">
        <f t="shared" ref="Q126:Q128" si="3">IF(O126&gt;15, "Too much!","")</f>
        <v/>
      </c>
    </row>
    <row r="127" spans="1:20" s="56" customFormat="1" ht="10.5" customHeight="1">
      <c r="A127" s="65"/>
      <c r="B127" s="456"/>
      <c r="C127" s="3477"/>
      <c r="D127" s="3478"/>
      <c r="E127" s="3478"/>
      <c r="F127" s="3478"/>
      <c r="G127" s="3478"/>
      <c r="H127" s="3478"/>
      <c r="I127" s="3478"/>
      <c r="J127" s="3478"/>
      <c r="K127" s="3479"/>
      <c r="L127" s="3666" t="s">
        <v>3731</v>
      </c>
      <c r="M127" s="3666"/>
      <c r="N127" s="3666"/>
      <c r="O127" s="3667"/>
      <c r="P127" s="3667"/>
      <c r="Q127" s="1490" t="str">
        <f t="shared" si="3"/>
        <v/>
      </c>
    </row>
    <row r="128" spans="1:20" s="56" customFormat="1" ht="10.5" customHeight="1">
      <c r="A128" s="65"/>
      <c r="B128" s="470"/>
      <c r="C128" s="3405"/>
      <c r="D128" s="3406"/>
      <c r="E128" s="3406"/>
      <c r="F128" s="3406"/>
      <c r="G128" s="3406"/>
      <c r="H128" s="3406"/>
      <c r="I128" s="3406"/>
      <c r="J128" s="3406"/>
      <c r="K128" s="3407"/>
      <c r="L128" s="3408" t="s">
        <v>3731</v>
      </c>
      <c r="M128" s="3408"/>
      <c r="N128" s="3408"/>
      <c r="O128" s="3409"/>
      <c r="P128" s="3409"/>
      <c r="Q128" s="1490" t="str">
        <f t="shared" si="3"/>
        <v/>
      </c>
    </row>
    <row r="129" spans="1:21" s="111" customFormat="1" ht="10.5" customHeight="1">
      <c r="B129" s="1079"/>
      <c r="C129" s="53" t="s">
        <v>4036</v>
      </c>
      <c r="D129" s="37" t="s">
        <v>4039</v>
      </c>
      <c r="E129" s="53"/>
      <c r="F129" s="53"/>
      <c r="G129" s="53"/>
      <c r="H129" s="100"/>
      <c r="I129" s="100"/>
      <c r="J129" s="100"/>
      <c r="K129" s="100"/>
      <c r="L129" s="100"/>
      <c r="M129" s="100"/>
      <c r="N129" s="1276" t="s">
        <v>3815</v>
      </c>
      <c r="O129" s="251"/>
      <c r="P129" s="656"/>
      <c r="Q129" s="600"/>
      <c r="R129" s="56"/>
      <c r="S129" s="56"/>
      <c r="T129" s="56"/>
      <c r="U129" s="56"/>
    </row>
    <row r="130" spans="1:21" s="111" customFormat="1" ht="10.5" customHeight="1">
      <c r="A130" s="210"/>
      <c r="B130" s="53"/>
      <c r="D130" s="37" t="s">
        <v>4040</v>
      </c>
      <c r="E130" s="53"/>
      <c r="F130" s="53"/>
      <c r="G130" s="53"/>
      <c r="H130" s="100"/>
      <c r="I130" s="100"/>
      <c r="J130" s="100"/>
      <c r="K130" s="100"/>
      <c r="L130" s="100"/>
      <c r="M130" s="522"/>
      <c r="N130" s="470" t="s">
        <v>3816</v>
      </c>
      <c r="O130" s="252"/>
      <c r="P130" s="658"/>
      <c r="Q130" s="600"/>
      <c r="R130" s="56"/>
      <c r="S130" s="56"/>
      <c r="T130" s="56"/>
      <c r="U130" s="56"/>
    </row>
    <row r="131" spans="1:21" s="37" customFormat="1" ht="10.5" customHeight="1">
      <c r="A131" s="65"/>
      <c r="B131" s="455"/>
      <c r="D131" s="56" t="s">
        <v>4187</v>
      </c>
      <c r="E131" s="53"/>
      <c r="F131" s="53"/>
      <c r="G131" s="53"/>
      <c r="H131" s="53"/>
      <c r="I131" s="53"/>
      <c r="J131" s="53"/>
      <c r="K131" s="53"/>
      <c r="L131" s="53"/>
      <c r="M131" s="1711"/>
      <c r="Q131" s="53"/>
      <c r="R131" s="56"/>
      <c r="S131" s="56"/>
      <c r="T131" s="56"/>
      <c r="U131" s="56"/>
    </row>
    <row r="132" spans="1:21" s="56" customFormat="1" ht="10.5" customHeight="1">
      <c r="A132" s="65"/>
      <c r="B132" s="65"/>
      <c r="C132" s="1093" t="s">
        <v>4216</v>
      </c>
      <c r="D132" s="65"/>
      <c r="E132" s="65"/>
      <c r="F132" s="65"/>
      <c r="G132" s="251"/>
      <c r="H132" s="656"/>
      <c r="I132" s="1093" t="s">
        <v>4219</v>
      </c>
      <c r="L132" s="65"/>
      <c r="M132" s="65"/>
      <c r="N132" s="65"/>
      <c r="O132" s="251"/>
      <c r="P132" s="656"/>
      <c r="Q132" s="53"/>
    </row>
    <row r="133" spans="1:21" s="56" customFormat="1" ht="10.5" customHeight="1">
      <c r="A133" s="65"/>
      <c r="B133" s="65"/>
      <c r="C133" s="1093" t="s">
        <v>4549</v>
      </c>
      <c r="D133" s="65"/>
      <c r="E133" s="65"/>
      <c r="F133" s="65"/>
      <c r="G133" s="445"/>
      <c r="H133" s="657"/>
      <c r="I133" s="53" t="s">
        <v>4220</v>
      </c>
      <c r="L133" s="65"/>
      <c r="M133" s="65"/>
      <c r="N133" s="65"/>
      <c r="O133" s="445"/>
      <c r="P133" s="657"/>
      <c r="Q133" s="53"/>
    </row>
    <row r="134" spans="1:21" s="56" customFormat="1" ht="10.5" customHeight="1">
      <c r="A134" s="65"/>
      <c r="B134" s="65"/>
      <c r="C134" s="1093" t="s">
        <v>4218</v>
      </c>
      <c r="D134" s="65"/>
      <c r="E134" s="65"/>
      <c r="F134" s="65"/>
      <c r="G134" s="445"/>
      <c r="H134" s="657"/>
      <c r="I134" s="1093" t="s">
        <v>4221</v>
      </c>
      <c r="L134" s="65"/>
      <c r="M134" s="65"/>
      <c r="N134" s="65"/>
      <c r="O134" s="445"/>
      <c r="P134" s="657"/>
      <c r="Q134" s="53"/>
    </row>
    <row r="135" spans="1:21" s="56" customFormat="1" ht="10.5" customHeight="1">
      <c r="A135" s="65"/>
      <c r="B135" s="65"/>
      <c r="C135" s="3402" t="s">
        <v>4222</v>
      </c>
      <c r="D135" s="3403"/>
      <c r="E135" s="3403"/>
      <c r="F135" s="3404"/>
      <c r="G135" s="252"/>
      <c r="H135" s="1633"/>
      <c r="I135" s="3402" t="s">
        <v>4223</v>
      </c>
      <c r="J135" s="3403"/>
      <c r="K135" s="3403"/>
      <c r="L135" s="3403"/>
      <c r="M135" s="3403"/>
      <c r="N135" s="3404"/>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3853</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4041</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4042</v>
      </c>
      <c r="D139" s="1719"/>
      <c r="E139" s="1719"/>
      <c r="F139" s="1719"/>
      <c r="G139" s="1093" t="s">
        <v>4043</v>
      </c>
      <c r="I139" s="1719"/>
      <c r="J139" s="1719"/>
      <c r="K139" s="1719"/>
      <c r="L139" s="1719"/>
      <c r="M139" s="67" t="s">
        <v>2451</v>
      </c>
      <c r="N139" s="470" t="s">
        <v>3815</v>
      </c>
      <c r="O139" s="1259"/>
      <c r="P139" s="1164"/>
      <c r="Q139" s="53"/>
      <c r="R139" s="1418"/>
      <c r="S139" s="1418"/>
      <c r="T139" s="1418"/>
      <c r="U139" s="1418"/>
    </row>
    <row r="140" spans="1:21" s="37" customFormat="1" ht="10.5" customHeight="1">
      <c r="A140" s="65"/>
      <c r="B140" s="455"/>
      <c r="D140" s="1719"/>
      <c r="E140" s="1719"/>
      <c r="F140" s="1719"/>
      <c r="G140" s="1093" t="s">
        <v>4044</v>
      </c>
      <c r="I140" s="1719"/>
      <c r="J140" s="1719"/>
      <c r="K140" s="1719"/>
      <c r="L140" s="1719"/>
      <c r="M140" s="1711"/>
      <c r="N140" s="1276" t="s">
        <v>3816</v>
      </c>
      <c r="O140" s="445"/>
      <c r="P140" s="657"/>
      <c r="Q140" s="53"/>
      <c r="R140" s="1418"/>
      <c r="S140" s="1418"/>
      <c r="T140" s="1418"/>
      <c r="U140" s="1418"/>
    </row>
    <row r="141" spans="1:21" s="37" customFormat="1" ht="10.5" customHeight="1">
      <c r="A141" s="67"/>
      <c r="B141" s="455"/>
      <c r="D141" s="1719"/>
      <c r="E141" s="1719"/>
      <c r="F141" s="1719"/>
      <c r="G141" s="1093" t="s">
        <v>4045</v>
      </c>
      <c r="I141" s="1719"/>
      <c r="J141" s="1719"/>
      <c r="K141" s="1719"/>
      <c r="L141" s="1719"/>
      <c r="M141" s="1711"/>
      <c r="N141" s="470" t="s">
        <v>3817</v>
      </c>
      <c r="O141" s="445"/>
      <c r="P141" s="657"/>
      <c r="Q141" s="53"/>
      <c r="R141" s="1418"/>
      <c r="S141" s="1418"/>
      <c r="T141" s="1418"/>
      <c r="U141" s="1418"/>
    </row>
    <row r="142" spans="1:21" s="37" customFormat="1" ht="10.5" customHeight="1">
      <c r="A142" s="65"/>
      <c r="B142" s="455"/>
      <c r="D142" s="1719"/>
      <c r="E142" s="1719"/>
      <c r="F142" s="1719"/>
      <c r="G142" s="1093" t="s">
        <v>4046</v>
      </c>
      <c r="I142" s="1719"/>
      <c r="J142" s="1719"/>
      <c r="K142" s="1719"/>
      <c r="L142" s="1719"/>
      <c r="M142" s="1711"/>
      <c r="N142" s="470" t="s">
        <v>3819</v>
      </c>
      <c r="O142" s="445"/>
      <c r="P142" s="657"/>
      <c r="Q142" s="53"/>
      <c r="R142" s="1418"/>
      <c r="S142" s="1418"/>
      <c r="T142" s="1418"/>
      <c r="U142" s="1418"/>
    </row>
    <row r="143" spans="1:21" s="37" customFormat="1" ht="10.5" customHeight="1">
      <c r="A143" s="65"/>
      <c r="B143" s="455"/>
      <c r="D143" s="1719"/>
      <c r="E143" s="1719"/>
      <c r="F143" s="1719"/>
      <c r="G143" s="1093" t="s">
        <v>4047</v>
      </c>
      <c r="I143" s="1719"/>
      <c r="J143" s="1719"/>
      <c r="K143" s="1719"/>
      <c r="L143" s="1719"/>
      <c r="M143" s="1711"/>
      <c r="N143" s="1276" t="s">
        <v>3820</v>
      </c>
      <c r="O143" s="252"/>
      <c r="P143" s="658"/>
      <c r="Q143" s="53"/>
    </row>
    <row r="144" spans="1:21" s="37" customFormat="1" ht="10.5" customHeight="1">
      <c r="A144" s="65"/>
      <c r="B144" s="1079"/>
      <c r="C144" s="1093" t="s">
        <v>4186</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3868</v>
      </c>
      <c r="D145" s="506"/>
      <c r="E145" s="53"/>
      <c r="F145" s="53"/>
      <c r="G145" s="56" t="s">
        <v>4188</v>
      </c>
      <c r="H145" s="506"/>
      <c r="M145" s="59"/>
      <c r="N145" s="59"/>
      <c r="O145" s="59"/>
      <c r="P145" s="59"/>
      <c r="Q145" s="53"/>
    </row>
    <row r="146" spans="1:18" s="56" customFormat="1" ht="10.5" customHeight="1">
      <c r="A146" s="65"/>
      <c r="B146" s="456"/>
      <c r="C146" s="3410"/>
      <c r="D146" s="3411"/>
      <c r="E146" s="3411"/>
      <c r="F146" s="3412"/>
      <c r="G146" s="3410"/>
      <c r="H146" s="3411"/>
      <c r="I146" s="3411"/>
      <c r="J146" s="3411"/>
      <c r="K146" s="3411"/>
      <c r="L146" s="3411"/>
      <c r="M146" s="3411"/>
      <c r="N146" s="3411"/>
      <c r="O146" s="3411"/>
      <c r="P146" s="3412"/>
      <c r="Q146" s="53"/>
    </row>
    <row r="147" spans="1:18" s="56" customFormat="1" ht="10.5" customHeight="1">
      <c r="A147" s="65"/>
      <c r="B147" s="471"/>
      <c r="C147" s="3477"/>
      <c r="D147" s="3478"/>
      <c r="E147" s="3478"/>
      <c r="F147" s="3479"/>
      <c r="G147" s="3477"/>
      <c r="H147" s="3478"/>
      <c r="I147" s="3478"/>
      <c r="J147" s="3478"/>
      <c r="K147" s="3478"/>
      <c r="L147" s="3478"/>
      <c r="M147" s="3478"/>
      <c r="N147" s="3478"/>
      <c r="O147" s="3478"/>
      <c r="P147" s="3479"/>
      <c r="Q147" s="53"/>
    </row>
    <row r="148" spans="1:18" s="56" customFormat="1" ht="10.5" customHeight="1">
      <c r="A148" s="3464" t="s">
        <v>4224</v>
      </c>
      <c r="B148" s="3464"/>
      <c r="C148" s="3477"/>
      <c r="D148" s="3478"/>
      <c r="E148" s="3478"/>
      <c r="F148" s="3479"/>
      <c r="G148" s="3477"/>
      <c r="H148" s="3478"/>
      <c r="I148" s="3478"/>
      <c r="J148" s="3478"/>
      <c r="K148" s="3478"/>
      <c r="L148" s="3478"/>
      <c r="M148" s="3478"/>
      <c r="N148" s="3478"/>
      <c r="O148" s="3478"/>
      <c r="P148" s="3479"/>
      <c r="Q148" s="53"/>
    </row>
    <row r="149" spans="1:18" s="56" customFormat="1" ht="10.5" customHeight="1">
      <c r="A149" s="3464"/>
      <c r="B149" s="3464"/>
      <c r="C149" s="3405"/>
      <c r="D149" s="3406"/>
      <c r="E149" s="3406"/>
      <c r="F149" s="3407"/>
      <c r="G149" s="3405"/>
      <c r="H149" s="3406"/>
      <c r="I149" s="3406"/>
      <c r="J149" s="3406"/>
      <c r="K149" s="3406"/>
      <c r="L149" s="3406"/>
      <c r="M149" s="3406"/>
      <c r="N149" s="3406"/>
      <c r="O149" s="3406"/>
      <c r="P149" s="3407"/>
      <c r="Q149" s="53"/>
    </row>
    <row r="150" spans="1:18" s="44" customFormat="1" ht="4.5" customHeight="1">
      <c r="A150" s="3465"/>
      <c r="B150" s="3465"/>
      <c r="C150" s="107"/>
      <c r="D150" s="93"/>
      <c r="E150" s="108"/>
      <c r="F150" s="1708"/>
      <c r="G150" s="1708"/>
      <c r="H150" s="1708"/>
      <c r="I150" s="1708"/>
      <c r="J150" s="1708"/>
      <c r="K150" s="1708"/>
      <c r="L150" s="1708"/>
      <c r="M150" s="1708"/>
      <c r="N150" s="77"/>
      <c r="O150" s="73"/>
      <c r="P150" s="1704"/>
      <c r="Q150" s="518"/>
    </row>
    <row r="151" spans="1:18" s="44" customFormat="1" ht="11.25" customHeight="1">
      <c r="A151" s="3252"/>
      <c r="B151" s="3253"/>
      <c r="C151" s="3253"/>
      <c r="D151" s="3253"/>
      <c r="E151" s="3253"/>
      <c r="F151" s="3253"/>
      <c r="G151" s="3253"/>
      <c r="H151" s="3253"/>
      <c r="I151" s="3253"/>
      <c r="J151" s="3253"/>
      <c r="K151" s="3253"/>
      <c r="L151" s="3253"/>
      <c r="M151" s="3253"/>
      <c r="N151" s="3253"/>
      <c r="O151" s="3253"/>
      <c r="P151" s="3254"/>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780</v>
      </c>
      <c r="B153" s="115" t="s">
        <v>4011</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1999</v>
      </c>
      <c r="B155" s="10" t="s">
        <v>4051</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3862</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97" t="s">
        <v>4226</v>
      </c>
      <c r="C158" s="3397"/>
      <c r="D158" s="3397"/>
      <c r="E158" s="53" t="s">
        <v>3859</v>
      </c>
      <c r="F158" s="111"/>
      <c r="G158" s="53"/>
      <c r="H158" s="111"/>
      <c r="I158" s="3671"/>
      <c r="J158" s="3672"/>
      <c r="K158" s="3672"/>
      <c r="L158" s="3673"/>
    </row>
    <row r="159" spans="1:18" s="44" customFormat="1" ht="11.25" customHeight="1">
      <c r="A159" s="150"/>
      <c r="B159" s="3397"/>
      <c r="C159" s="3397"/>
      <c r="D159" s="3397"/>
      <c r="E159" s="41" t="s">
        <v>3861</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390" t="str">
        <f>'Part I-Project Information'!$H$78</f>
        <v>Family</v>
      </c>
      <c r="G160" s="3390"/>
      <c r="I160" s="1708"/>
      <c r="J160" s="1708"/>
      <c r="K160" s="1708"/>
      <c r="L160" s="1708"/>
      <c r="M160" s="1708"/>
      <c r="N160" s="77"/>
      <c r="O160" s="73"/>
      <c r="P160" s="1078"/>
    </row>
    <row r="161" spans="1:24" s="44" customFormat="1" ht="13.5" customHeight="1">
      <c r="A161" s="150"/>
      <c r="B161" s="674"/>
      <c r="C161" s="673"/>
      <c r="D161" s="673"/>
      <c r="E161" s="1728"/>
      <c r="H161" s="3668" t="s">
        <v>3857</v>
      </c>
      <c r="I161" s="3392" t="s">
        <v>3903</v>
      </c>
      <c r="J161" s="3393"/>
      <c r="K161" s="3393"/>
      <c r="L161" s="3394"/>
      <c r="M161" s="3391" t="s">
        <v>3856</v>
      </c>
      <c r="N161" s="3391"/>
      <c r="O161" s="3391" t="s">
        <v>3860</v>
      </c>
      <c r="P161" s="3391"/>
      <c r="Q161" s="145"/>
    </row>
    <row r="162" spans="1:24" s="44" customFormat="1" ht="13.5" customHeight="1">
      <c r="A162" s="150"/>
      <c r="B162" s="683" t="s">
        <v>3854</v>
      </c>
      <c r="C162" s="1727"/>
      <c r="D162" s="3670" t="s">
        <v>3858</v>
      </c>
      <c r="E162" s="3670"/>
      <c r="F162" s="3670"/>
      <c r="G162" s="1722" t="s">
        <v>3420</v>
      </c>
      <c r="H162" s="3669"/>
      <c r="I162" s="633">
        <v>2014</v>
      </c>
      <c r="J162" s="633">
        <v>2015</v>
      </c>
      <c r="K162" s="633">
        <v>2016</v>
      </c>
      <c r="L162" s="633">
        <v>2017</v>
      </c>
      <c r="M162" s="3391"/>
      <c r="N162" s="3391"/>
      <c r="O162" s="3391"/>
      <c r="P162" s="3391"/>
      <c r="Q162" s="3428" t="s">
        <v>3855</v>
      </c>
      <c r="R162" s="3428"/>
    </row>
    <row r="163" spans="1:24" s="44" customFormat="1" ht="13.5" customHeight="1">
      <c r="A163" s="456" t="s">
        <v>2451</v>
      </c>
      <c r="B163" s="726" t="s">
        <v>4050</v>
      </c>
      <c r="D163" s="3574"/>
      <c r="E163" s="3575"/>
      <c r="F163" s="3576"/>
      <c r="G163" s="1403"/>
      <c r="H163" s="728"/>
      <c r="I163" s="1306"/>
      <c r="J163" s="1307"/>
      <c r="K163" s="1307"/>
      <c r="L163" s="1308"/>
      <c r="M163" s="3598" t="str">
        <f>IF(I163+J163+K163+L163=0,"",AVERAGE(I163,J163,K163,L163))</f>
        <v/>
      </c>
      <c r="N163" s="3599"/>
      <c r="O163" s="778" t="str">
        <f>IF(M163="","",IF(M163&gt;Q163,"Yes",IF(M163&lt;Q163,"No","")))</f>
        <v/>
      </c>
      <c r="Q163" s="3569">
        <v>73.400000000000006</v>
      </c>
      <c r="R163" s="3570"/>
      <c r="S163" s="55"/>
    </row>
    <row r="164" spans="1:24" s="44" customFormat="1" ht="13.5" customHeight="1">
      <c r="A164" s="471" t="s">
        <v>2452</v>
      </c>
      <c r="B164" s="726" t="s">
        <v>4225</v>
      </c>
      <c r="D164" s="3577"/>
      <c r="E164" s="3578"/>
      <c r="F164" s="3579"/>
      <c r="G164" s="1404"/>
      <c r="H164" s="729"/>
      <c r="I164" s="1309"/>
      <c r="J164" s="1310"/>
      <c r="K164" s="1310"/>
      <c r="L164" s="1311"/>
      <c r="M164" s="3596" t="str">
        <f>IF(I164+J164+K164+L164=0,"",AVERAGE(I164,J164,K164,L164))</f>
        <v/>
      </c>
      <c r="N164" s="3597"/>
      <c r="O164" s="779" t="str">
        <f>IF(M164="","",IF(M164&gt;Q164,"Yes",IF(M164&lt;Q164,"No","")))</f>
        <v/>
      </c>
      <c r="Q164" s="3569">
        <v>72.099999999999994</v>
      </c>
      <c r="R164" s="3570"/>
      <c r="S164" s="55"/>
    </row>
    <row r="165" spans="1:24" s="44" customFormat="1" ht="13.5" customHeight="1">
      <c r="A165" s="456" t="s">
        <v>2453</v>
      </c>
      <c r="B165" s="726" t="s">
        <v>4048</v>
      </c>
      <c r="D165" s="3571"/>
      <c r="E165" s="3572"/>
      <c r="F165" s="3573"/>
      <c r="G165" s="1405"/>
      <c r="H165" s="730"/>
      <c r="I165" s="1312"/>
      <c r="J165" s="1313"/>
      <c r="K165" s="1313"/>
      <c r="L165" s="1314"/>
      <c r="M165" s="3587" t="str">
        <f>IF(I165+J165+K165+L165=0,"",AVERAGE(I165,J165,K165,L165))</f>
        <v/>
      </c>
      <c r="N165" s="3588"/>
      <c r="O165" s="780" t="str">
        <f>IF(M165="","",IF(M165&gt;Q165,"Yes",IF(M165&lt;Q165,"No","")))</f>
        <v/>
      </c>
      <c r="Q165" s="3569">
        <v>73.3</v>
      </c>
      <c r="R165" s="3570"/>
      <c r="S165" s="55"/>
    </row>
    <row r="166" spans="1:24" s="44" customFormat="1" ht="1.5" customHeight="1">
      <c r="A166" s="456"/>
      <c r="B166" s="726"/>
    </row>
    <row r="167" spans="1:24" s="44" customFormat="1" ht="13.5" customHeight="1">
      <c r="A167" s="470" t="s">
        <v>2454</v>
      </c>
      <c r="B167" s="1201" t="s">
        <v>4050</v>
      </c>
      <c r="D167" s="520" t="str">
        <f>IF(D163="","",D163)</f>
        <v/>
      </c>
      <c r="G167" s="633" t="str">
        <f t="shared" ref="G167:H169" si="4">IF(G163="","",G163)</f>
        <v/>
      </c>
      <c r="H167" s="633" t="str">
        <f t="shared" si="4"/>
        <v/>
      </c>
      <c r="I167" s="1315"/>
      <c r="J167" s="1316"/>
      <c r="K167" s="1316"/>
      <c r="L167" s="1317"/>
      <c r="M167" s="3598" t="str">
        <f>IF(I167+J167+K167+L167=0,"",AVERAGE(I167,J167,K167,L167))</f>
        <v/>
      </c>
      <c r="N167" s="3599"/>
      <c r="P167" s="781" t="str">
        <f>IF(M167="","",IF(M167&gt;Q163,"Yes",IF(M167&lt;Q163,"No","")))</f>
        <v/>
      </c>
    </row>
    <row r="168" spans="1:24" s="44" customFormat="1" ht="13.5" customHeight="1">
      <c r="A168" s="1276" t="s">
        <v>2455</v>
      </c>
      <c r="B168" s="1201" t="s">
        <v>4049</v>
      </c>
      <c r="D168" s="520" t="str">
        <f>IF(D164="","",D164)</f>
        <v/>
      </c>
      <c r="G168" s="633" t="str">
        <f t="shared" si="4"/>
        <v/>
      </c>
      <c r="H168" s="633" t="str">
        <f t="shared" si="4"/>
        <v/>
      </c>
      <c r="I168" s="1318"/>
      <c r="J168" s="1319"/>
      <c r="K168" s="1319"/>
      <c r="L168" s="1320"/>
      <c r="M168" s="3596" t="str">
        <f>IF(I168+J168+K168+L168=0,"",AVERAGE(I168,J168,K168,L168))</f>
        <v/>
      </c>
      <c r="N168" s="3597"/>
      <c r="P168" s="782" t="str">
        <f>IF(M168="","",IF(M168&gt;Q164,"Yes",IF(M168&lt;Q164,"No","")))</f>
        <v/>
      </c>
    </row>
    <row r="169" spans="1:24" s="44" customFormat="1" ht="13.5" customHeight="1">
      <c r="A169" s="470" t="s">
        <v>2471</v>
      </c>
      <c r="B169" s="1201" t="s">
        <v>4048</v>
      </c>
      <c r="D169" s="520" t="str">
        <f>IF(D165="","",D165)</f>
        <v/>
      </c>
      <c r="G169" s="633" t="str">
        <f t="shared" si="4"/>
        <v/>
      </c>
      <c r="H169" s="633" t="str">
        <f t="shared" si="4"/>
        <v/>
      </c>
      <c r="I169" s="1321"/>
      <c r="J169" s="1322"/>
      <c r="K169" s="1322"/>
      <c r="L169" s="1323"/>
      <c r="M169" s="3587" t="str">
        <f>IF(I169+J169+K169+L169=0,"",AVERAGE(I169,J169,K169,L169))</f>
        <v/>
      </c>
      <c r="N169" s="3588"/>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2001</v>
      </c>
      <c r="B171" s="10" t="s">
        <v>4052</v>
      </c>
      <c r="C171" s="100"/>
      <c r="D171" s="1467"/>
      <c r="E171" s="1467"/>
      <c r="F171" s="62" t="s">
        <v>3413</v>
      </c>
      <c r="H171" s="41" t="s">
        <v>3904</v>
      </c>
      <c r="M171" s="522">
        <v>2</v>
      </c>
      <c r="N171" s="206"/>
      <c r="O171" s="1471">
        <f>IF(AND(I180="Yes",I181="Yes"),$H$181,IF(AND(I180="Yes",I181="No"),$H$180,0))</f>
        <v>0</v>
      </c>
      <c r="P171" s="1471">
        <f>IF(AND(J180="Yes",J181="Yes"),$H$181,IF(AND(J180="Yes",J181="No"),$H$180,0))</f>
        <v>0</v>
      </c>
      <c r="Q171" s="118"/>
      <c r="R171" s="1469"/>
    </row>
    <row r="172" spans="1:24" s="56" customFormat="1" ht="15" customHeight="1">
      <c r="E172" s="3415" t="s">
        <v>4228</v>
      </c>
      <c r="F172" s="3415" t="s">
        <v>3689</v>
      </c>
      <c r="G172" s="3653" t="s">
        <v>3421</v>
      </c>
      <c r="H172" s="3653"/>
      <c r="I172" s="3653"/>
      <c r="J172" s="3653"/>
      <c r="K172" s="3653"/>
      <c r="L172" s="3653"/>
      <c r="M172" s="3653"/>
      <c r="N172" s="3653"/>
      <c r="P172" s="1511"/>
      <c r="R172" s="506" t="s">
        <v>2851</v>
      </c>
      <c r="T172" s="3638" t="str">
        <f>'Part I-Project Information'!$F$38</f>
        <v>Newnan</v>
      </c>
      <c r="U172" s="3639"/>
      <c r="V172" s="3639"/>
      <c r="W172" s="3639"/>
      <c r="X172" s="3640"/>
    </row>
    <row r="173" spans="1:24" s="56" customFormat="1" ht="13.5" customHeight="1">
      <c r="A173" s="48"/>
      <c r="B173" s="3661" t="s">
        <v>4055</v>
      </c>
      <c r="C173" s="3661"/>
      <c r="D173" s="3661"/>
      <c r="E173" s="3416"/>
      <c r="F173" s="3416"/>
      <c r="G173" s="3652" t="s">
        <v>4054</v>
      </c>
      <c r="H173" s="3652"/>
      <c r="I173" s="3652"/>
      <c r="J173" s="3652"/>
      <c r="K173" s="3652"/>
      <c r="L173" s="3652"/>
      <c r="M173" s="3652"/>
      <c r="N173" s="3652"/>
      <c r="O173" s="3415" t="s">
        <v>3690</v>
      </c>
      <c r="P173" s="3415"/>
      <c r="R173" s="59" t="s">
        <v>2852</v>
      </c>
      <c r="T173" s="3635" t="str">
        <f>'Part I-Project Information'!$J$39</f>
        <v>Coweta</v>
      </c>
      <c r="U173" s="3636"/>
      <c r="V173" s="3636"/>
      <c r="W173" s="3636"/>
      <c r="X173" s="3637"/>
    </row>
    <row r="174" spans="1:24" s="56" customFormat="1" ht="13.5" customHeight="1">
      <c r="A174" s="48"/>
      <c r="B174" s="3657" t="s">
        <v>3863</v>
      </c>
      <c r="C174" s="3657"/>
      <c r="D174" s="3657"/>
      <c r="E174" s="1724">
        <v>3000</v>
      </c>
      <c r="F174" s="1724">
        <v>6000</v>
      </c>
      <c r="G174" s="3644">
        <v>15000</v>
      </c>
      <c r="H174" s="3644"/>
      <c r="I174" s="3644"/>
      <c r="J174" s="3644"/>
      <c r="K174" s="3644"/>
      <c r="L174" s="3644"/>
      <c r="M174" s="3644"/>
      <c r="N174" s="3644"/>
      <c r="O174" s="3644">
        <v>20000</v>
      </c>
      <c r="P174" s="3644"/>
      <c r="R174" s="520" t="s">
        <v>2853</v>
      </c>
      <c r="T174" s="3635" t="str">
        <f>'Part I-Project Information'!$O$40</f>
        <v>Atlanta-Sandy Springs-Marietta</v>
      </c>
      <c r="U174" s="3636"/>
      <c r="V174" s="3636"/>
      <c r="W174" s="3636"/>
      <c r="X174" s="3637"/>
    </row>
    <row r="175" spans="1:24" s="37" customFormat="1" ht="13.5" customHeight="1">
      <c r="A175" s="48"/>
      <c r="B175" s="3586" t="s">
        <v>4053</v>
      </c>
      <c r="C175" s="3586"/>
      <c r="D175" s="3586"/>
      <c r="E175" s="1721">
        <v>4500</v>
      </c>
      <c r="F175" s="1721">
        <v>9000</v>
      </c>
      <c r="G175" s="3651">
        <v>22500</v>
      </c>
      <c r="H175" s="3651"/>
      <c r="I175" s="3651"/>
      <c r="J175" s="3651"/>
      <c r="K175" s="3651"/>
      <c r="L175" s="3651"/>
      <c r="M175" s="3651"/>
      <c r="N175" s="3651"/>
      <c r="O175" s="3651">
        <v>30000</v>
      </c>
      <c r="P175" s="3651"/>
      <c r="R175" s="41" t="s">
        <v>3897</v>
      </c>
      <c r="T175" s="3654" t="str">
        <f>VLOOKUP('Part I-Project Information'!$J$39,'DCA Underwriting Assumptions'!$G$155:$J$314,4)</f>
        <v>MSA</v>
      </c>
      <c r="U175" s="3655"/>
      <c r="V175" s="3655"/>
      <c r="W175" s="3655"/>
      <c r="X175" s="3656"/>
    </row>
    <row r="176" spans="1:24" s="56" customFormat="1" ht="9" customHeight="1">
      <c r="A176" s="48"/>
      <c r="B176" s="48"/>
      <c r="C176" s="506"/>
      <c r="K176" s="633"/>
      <c r="L176" s="633"/>
    </row>
    <row r="177" spans="1:24" s="56" customFormat="1" ht="13.5" customHeight="1">
      <c r="B177" s="1098" t="s">
        <v>3898</v>
      </c>
      <c r="E177" s="1095"/>
      <c r="F177" s="1095"/>
      <c r="G177" s="1095"/>
      <c r="I177" s="1096"/>
      <c r="J177" s="1574"/>
      <c r="R177" s="56" t="s">
        <v>3655</v>
      </c>
      <c r="T177" s="3658" t="str">
        <f>'Part I-Project Information'!$K$40</f>
        <v>Urban</v>
      </c>
      <c r="U177" s="3659"/>
      <c r="V177" s="3659"/>
      <c r="W177" s="3659"/>
      <c r="X177" s="3660"/>
    </row>
    <row r="178" spans="1:24" s="56" customFormat="1" ht="13.5" customHeight="1">
      <c r="A178" s="1100"/>
      <c r="B178" s="520" t="s">
        <v>3654</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2002</v>
      </c>
      <c r="C180" s="37" t="s">
        <v>4227</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4056</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3922</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3786</v>
      </c>
      <c r="C184" s="43"/>
      <c r="D184" s="49"/>
      <c r="E184" s="49"/>
      <c r="F184" s="49"/>
      <c r="G184" s="49"/>
      <c r="H184" s="37"/>
      <c r="I184" s="37"/>
      <c r="J184" s="37"/>
      <c r="K184" s="37"/>
      <c r="M184" s="47"/>
      <c r="N184" s="63"/>
      <c r="O184" s="3"/>
      <c r="P184" s="1707"/>
    </row>
    <row r="185" spans="1:24" s="44" customFormat="1" ht="21.75" customHeight="1" thickTop="1" thickBot="1">
      <c r="A185" s="3379"/>
      <c r="B185" s="3380"/>
      <c r="C185" s="3380"/>
      <c r="D185" s="3380"/>
      <c r="E185" s="3380"/>
      <c r="F185" s="3380"/>
      <c r="G185" s="3380"/>
      <c r="H185" s="3380"/>
      <c r="I185" s="3380"/>
      <c r="J185" s="3380"/>
      <c r="K185" s="3380"/>
      <c r="L185" s="3380"/>
      <c r="M185" s="3380"/>
      <c r="N185" s="3380"/>
      <c r="O185" s="3380"/>
      <c r="P185" s="3381"/>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252"/>
      <c r="B187" s="3253"/>
      <c r="C187" s="3253"/>
      <c r="D187" s="3253"/>
      <c r="E187" s="3253"/>
      <c r="F187" s="3253"/>
      <c r="G187" s="3253"/>
      <c r="H187" s="3253"/>
      <c r="I187" s="3253"/>
      <c r="J187" s="3253"/>
      <c r="K187" s="3253"/>
      <c r="L187" s="3253"/>
      <c r="M187" s="3253"/>
      <c r="N187" s="3253"/>
      <c r="O187" s="3253"/>
      <c r="P187" s="3254"/>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4062</v>
      </c>
      <c r="C189" s="100"/>
      <c r="D189" s="60"/>
      <c r="E189" s="60"/>
      <c r="H189" s="1086" t="s">
        <v>4063</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45" customHeight="1">
      <c r="A191" s="521"/>
      <c r="B191" s="196" t="s">
        <v>4189</v>
      </c>
      <c r="C191" s="196"/>
      <c r="D191" s="196"/>
      <c r="E191" s="204" t="s">
        <v>4238</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86" t="s">
        <v>4190</v>
      </c>
      <c r="D193" s="3286"/>
      <c r="E193" s="3286"/>
      <c r="F193" s="3286"/>
      <c r="G193" s="3286"/>
      <c r="H193" s="3286"/>
      <c r="I193" s="3286"/>
      <c r="J193" s="1276" t="s">
        <v>2451</v>
      </c>
      <c r="K193" s="1686"/>
      <c r="L193" s="1687"/>
      <c r="M193" s="3466" t="s">
        <v>3893</v>
      </c>
      <c r="N193" s="3467"/>
      <c r="O193" s="3467"/>
      <c r="P193" s="3468"/>
    </row>
    <row r="194" spans="1:25" s="44" customFormat="1" ht="10.5" customHeight="1">
      <c r="A194" s="454"/>
      <c r="B194" s="456"/>
      <c r="C194" s="3286"/>
      <c r="D194" s="3286"/>
      <c r="E194" s="3286"/>
      <c r="F194" s="3286"/>
      <c r="G194" s="3286"/>
      <c r="H194" s="3286"/>
      <c r="I194" s="3286"/>
      <c r="K194" s="1656"/>
      <c r="L194" s="1656"/>
    </row>
    <row r="195" spans="1:25" s="44" customFormat="1" ht="10.5" customHeight="1">
      <c r="A195" s="454"/>
      <c r="B195" s="471" t="s">
        <v>2452</v>
      </c>
      <c r="C195" s="3397" t="s">
        <v>3633</v>
      </c>
      <c r="D195" s="3397"/>
      <c r="E195" s="3397"/>
      <c r="F195" s="3397"/>
      <c r="G195" s="3397"/>
      <c r="J195" s="456" t="s">
        <v>2452</v>
      </c>
      <c r="K195" s="1688"/>
      <c r="L195" s="664"/>
      <c r="M195" s="3466" t="s">
        <v>3893</v>
      </c>
      <c r="N195" s="3467"/>
      <c r="O195" s="3467"/>
      <c r="P195" s="3468"/>
    </row>
    <row r="196" spans="1:25" s="475" customFormat="1" ht="10.5" customHeight="1">
      <c r="B196" s="471" t="s">
        <v>2453</v>
      </c>
      <c r="C196" s="1166" t="s">
        <v>2843</v>
      </c>
      <c r="D196" s="1166"/>
      <c r="E196" s="1166"/>
      <c r="F196" s="1166"/>
      <c r="G196" s="1166"/>
      <c r="H196" s="1166"/>
      <c r="J196" s="471" t="s">
        <v>2453</v>
      </c>
      <c r="K196" s="1688"/>
      <c r="L196" s="664"/>
      <c r="M196" s="3466" t="s">
        <v>3893</v>
      </c>
      <c r="N196" s="3467"/>
      <c r="O196" s="3467"/>
      <c r="P196" s="3468"/>
    </row>
    <row r="197" spans="1:25" s="475" customFormat="1" ht="10.5" customHeight="1">
      <c r="B197" s="471" t="s">
        <v>2454</v>
      </c>
      <c r="C197" s="1202" t="s">
        <v>4067</v>
      </c>
      <c r="D197" s="151"/>
      <c r="E197" s="151"/>
      <c r="F197" s="151"/>
      <c r="G197" s="151"/>
      <c r="H197" s="151"/>
      <c r="J197" s="471" t="s">
        <v>2454</v>
      </c>
      <c r="K197" s="1688"/>
      <c r="L197" s="664"/>
      <c r="M197" s="3466" t="s">
        <v>3893</v>
      </c>
      <c r="N197" s="3467"/>
      <c r="O197" s="3467"/>
      <c r="P197" s="3468"/>
    </row>
    <row r="198" spans="1:25" s="475" customFormat="1" ht="10.5" customHeight="1">
      <c r="B198" s="1276"/>
      <c r="D198" s="151" t="s">
        <v>4235</v>
      </c>
      <c r="E198" s="151"/>
      <c r="H198" s="151"/>
      <c r="J198" s="1276"/>
      <c r="K198" s="1689"/>
      <c r="L198" s="666"/>
    </row>
    <row r="199" spans="1:25" s="475" customFormat="1" ht="10.5" customHeight="1">
      <c r="B199" s="471" t="s">
        <v>2455</v>
      </c>
      <c r="C199" s="1166" t="s">
        <v>4057</v>
      </c>
      <c r="D199" s="1166"/>
      <c r="E199" s="1166"/>
      <c r="F199" s="1166"/>
      <c r="G199" s="1166"/>
      <c r="H199" s="1166"/>
      <c r="J199" s="471" t="s">
        <v>2455</v>
      </c>
      <c r="K199" s="1688"/>
      <c r="L199" s="664"/>
      <c r="M199" s="3466" t="s">
        <v>3893</v>
      </c>
      <c r="N199" s="3467"/>
      <c r="O199" s="3467"/>
      <c r="P199" s="3468"/>
    </row>
    <row r="200" spans="1:25" s="475" customFormat="1" ht="10.5" customHeight="1">
      <c r="B200" s="1276" t="s">
        <v>2471</v>
      </c>
      <c r="C200" s="1166" t="s">
        <v>2844</v>
      </c>
      <c r="D200" s="1166"/>
      <c r="E200" s="1166"/>
      <c r="F200" s="1166"/>
      <c r="G200" s="1166"/>
      <c r="J200" s="1276" t="s">
        <v>2471</v>
      </c>
      <c r="K200" s="1688"/>
      <c r="L200" s="664"/>
      <c r="M200" s="3466" t="s">
        <v>3893</v>
      </c>
      <c r="N200" s="3467"/>
      <c r="O200" s="3467"/>
      <c r="P200" s="3468"/>
    </row>
    <row r="201" spans="1:25" s="475" customFormat="1" ht="10.5" customHeight="1">
      <c r="B201" s="1276" t="s">
        <v>2472</v>
      </c>
      <c r="C201" s="1166" t="s">
        <v>4058</v>
      </c>
      <c r="D201" s="1166"/>
      <c r="E201" s="1166"/>
      <c r="F201" s="1166"/>
      <c r="J201" s="1276" t="s">
        <v>2472</v>
      </c>
      <c r="K201" s="1688"/>
      <c r="L201" s="664"/>
    </row>
    <row r="202" spans="1:25" s="475" customFormat="1" ht="10.5" customHeight="1">
      <c r="B202" s="471"/>
      <c r="C202" s="1166"/>
      <c r="D202" s="1270" t="s">
        <v>4059</v>
      </c>
      <c r="E202" s="1166"/>
      <c r="F202" s="1692"/>
      <c r="G202" s="1693"/>
      <c r="I202" s="1270" t="s">
        <v>4060</v>
      </c>
      <c r="K202" s="1690"/>
      <c r="L202" s="1691"/>
    </row>
    <row r="203" spans="1:25" s="475" customFormat="1" ht="10.5" customHeight="1">
      <c r="B203" s="1276" t="s">
        <v>2473</v>
      </c>
      <c r="C203" s="1166" t="s">
        <v>3814</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4191</v>
      </c>
      <c r="E205" s="34"/>
      <c r="G205" s="3662"/>
      <c r="H205" s="3663"/>
      <c r="I205" s="3663"/>
      <c r="J205" s="3663"/>
      <c r="K205" s="3663"/>
      <c r="L205" s="3663"/>
      <c r="M205" s="3663"/>
      <c r="N205" s="3663"/>
      <c r="O205" s="3663"/>
      <c r="P205" s="3664"/>
      <c r="Q205" s="1469"/>
    </row>
    <row r="206" spans="1:25" ht="3.75" customHeight="1">
      <c r="B206" s="470"/>
      <c r="C206" s="595"/>
      <c r="K206" s="41"/>
      <c r="M206" s="454"/>
      <c r="N206" s="454"/>
      <c r="O206" s="454"/>
      <c r="P206" s="454"/>
    </row>
    <row r="207" spans="1:25" ht="11.25" customHeight="1">
      <c r="A207" s="150" t="s">
        <v>1999</v>
      </c>
      <c r="B207" s="209" t="s">
        <v>4061</v>
      </c>
      <c r="H207" s="171"/>
      <c r="I207" s="171"/>
      <c r="M207" s="522">
        <v>5</v>
      </c>
      <c r="N207" s="48" t="s">
        <v>1999</v>
      </c>
      <c r="O207" s="670">
        <f>SUM(O208:O209)</f>
        <v>0</v>
      </c>
      <c r="P207" s="670">
        <f>SUM(P208:P209)</f>
        <v>0</v>
      </c>
      <c r="Q207" s="1273"/>
      <c r="X207" s="454"/>
      <c r="Y207" s="456"/>
    </row>
    <row r="208" spans="1:25" ht="21.75" customHeight="1">
      <c r="A208" s="618"/>
      <c r="B208" s="721" t="s">
        <v>2002</v>
      </c>
      <c r="C208" s="3397" t="s">
        <v>3813</v>
      </c>
      <c r="D208" s="3397"/>
      <c r="E208" s="3397"/>
      <c r="F208" s="3397"/>
      <c r="G208" s="3397"/>
      <c r="H208" s="3397"/>
      <c r="I208" s="3397"/>
      <c r="J208" s="3397"/>
      <c r="K208" s="3397"/>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676" t="s">
        <v>4066</v>
      </c>
      <c r="D209" s="3676"/>
      <c r="E209" s="3676"/>
      <c r="F209" s="3676"/>
      <c r="G209" s="3676"/>
      <c r="H209" s="3676"/>
      <c r="I209" s="3676"/>
      <c r="J209" s="3676"/>
      <c r="K209" s="3676"/>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3812</v>
      </c>
      <c r="D210" s="171"/>
      <c r="E210" s="530" t="str">
        <f>'Part I-Project Information'!$N$39</f>
        <v>Yes</v>
      </c>
      <c r="G210" s="572" t="s">
        <v>3601</v>
      </c>
      <c r="I210" s="3611" t="str">
        <f>'Part I-Project Information'!$O$38</f>
        <v>130771703.05</v>
      </c>
      <c r="J210" s="3611"/>
      <c r="K210" s="525" t="s">
        <v>3397</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2001</v>
      </c>
      <c r="B212" s="209" t="s">
        <v>4064</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3894</v>
      </c>
      <c r="J214" s="3645"/>
      <c r="K214" s="3646"/>
      <c r="L214" s="3647"/>
      <c r="V214" s="1418"/>
      <c r="W214" s="1418"/>
    </row>
    <row r="215" spans="1:23" s="44" customFormat="1" ht="10.5" customHeight="1">
      <c r="A215" s="207"/>
      <c r="B215" s="572" t="s">
        <v>3895</v>
      </c>
      <c r="I215" s="1099" t="str">
        <f>IF($J$215="Government", "Additional documentation required - see QAP.","")</f>
        <v/>
      </c>
      <c r="J215" s="3648" t="s">
        <v>2847</v>
      </c>
      <c r="K215" s="3649"/>
      <c r="L215" s="3650"/>
      <c r="M215" s="1280" t="s">
        <v>3653</v>
      </c>
      <c r="N215" s="1281"/>
      <c r="O215" s="1281"/>
      <c r="P215" s="1282"/>
      <c r="V215" s="1418"/>
      <c r="W215" s="1418"/>
    </row>
    <row r="216" spans="1:23" ht="10.5" customHeight="1">
      <c r="A216" s="208"/>
      <c r="B216" s="572" t="s">
        <v>4252</v>
      </c>
      <c r="F216" s="1576"/>
      <c r="G216" s="1576"/>
      <c r="H216" s="1576"/>
      <c r="L216" s="119"/>
      <c r="M216" s="3641"/>
      <c r="N216" s="3642"/>
      <c r="O216" s="3642"/>
      <c r="P216" s="3643"/>
      <c r="V216" s="1418"/>
      <c r="W216" s="1418"/>
    </row>
    <row r="217" spans="1:23" ht="10.5" customHeight="1">
      <c r="A217" s="208"/>
      <c r="B217" s="474" t="s">
        <v>3823</v>
      </c>
      <c r="G217" s="474"/>
      <c r="J217" s="1659"/>
      <c r="K217" s="1660" t="s">
        <v>3822</v>
      </c>
      <c r="L217" s="1576"/>
      <c r="V217" s="1418"/>
      <c r="W217" s="1418"/>
    </row>
    <row r="218" spans="1:23" ht="21.75" customHeight="1">
      <c r="A218" s="3593" t="s">
        <v>4232</v>
      </c>
      <c r="B218" s="3591" t="s">
        <v>4229</v>
      </c>
      <c r="C218" s="3592"/>
      <c r="D218" s="2721"/>
      <c r="E218" s="2722"/>
      <c r="F218" s="2722"/>
      <c r="G218" s="2722"/>
      <c r="H218" s="2722"/>
      <c r="I218" s="2722"/>
      <c r="J218" s="2722"/>
      <c r="K218" s="2722"/>
      <c r="L218" s="2722"/>
      <c r="M218" s="2722"/>
      <c r="N218" s="2722"/>
      <c r="O218" s="2722"/>
      <c r="P218" s="2723"/>
      <c r="Q218" s="538"/>
      <c r="V218" s="1418"/>
      <c r="W218" s="1418"/>
    </row>
    <row r="219" spans="1:23" ht="34.5" customHeight="1">
      <c r="A219" s="3594"/>
      <c r="B219" s="3589" t="s">
        <v>4230</v>
      </c>
      <c r="C219" s="3590"/>
      <c r="D219" s="2731"/>
      <c r="E219" s="2732"/>
      <c r="F219" s="2732"/>
      <c r="G219" s="2732"/>
      <c r="H219" s="2732"/>
      <c r="I219" s="2732"/>
      <c r="J219" s="2732"/>
      <c r="K219" s="2732"/>
      <c r="L219" s="2732"/>
      <c r="M219" s="2732"/>
      <c r="N219" s="2732"/>
      <c r="O219" s="2732"/>
      <c r="P219" s="2733"/>
      <c r="Q219" s="538"/>
      <c r="V219" s="1418"/>
      <c r="W219" s="1418"/>
    </row>
    <row r="220" spans="1:23" ht="34.5" customHeight="1">
      <c r="A220" s="3595"/>
      <c r="B220" s="3679" t="s">
        <v>4231</v>
      </c>
      <c r="C220" s="3680"/>
      <c r="D220" s="2779"/>
      <c r="E220" s="2744"/>
      <c r="F220" s="2744"/>
      <c r="G220" s="2744"/>
      <c r="H220" s="2744"/>
      <c r="I220" s="2744"/>
      <c r="J220" s="2744"/>
      <c r="K220" s="2744"/>
      <c r="L220" s="2744"/>
      <c r="M220" s="2744"/>
      <c r="N220" s="2744"/>
      <c r="O220" s="2744"/>
      <c r="P220" s="2745"/>
      <c r="Q220" s="538"/>
      <c r="V220" s="1418"/>
      <c r="W220" s="1418"/>
    </row>
    <row r="221" spans="1:23" ht="10.5" customHeight="1">
      <c r="B221" s="37" t="s">
        <v>3477</v>
      </c>
      <c r="G221" s="3529" t="s">
        <v>2646</v>
      </c>
      <c r="H221" s="3529"/>
      <c r="J221" s="3527"/>
      <c r="K221" s="3528"/>
      <c r="L221" s="3677"/>
      <c r="M221" s="3678"/>
      <c r="V221" s="1418"/>
      <c r="W221" s="1418"/>
    </row>
    <row r="222" spans="1:23" s="44" customFormat="1" ht="10.5" customHeight="1">
      <c r="A222" s="43"/>
      <c r="C222" s="37" t="s">
        <v>3478</v>
      </c>
      <c r="D222" s="1708"/>
      <c r="G222" s="3600">
        <f>'Part IV-A-Uses of Funds'!$G$132</f>
        <v>20706223.689910028</v>
      </c>
      <c r="H222" s="3601"/>
      <c r="J222" s="3580">
        <f>IF($J221=0,0,$J221/$G$222)</f>
        <v>0</v>
      </c>
      <c r="K222" s="3581"/>
      <c r="L222" s="3580">
        <f>IF($L221=0,0,$L221/$G$222)</f>
        <v>0</v>
      </c>
      <c r="M222" s="3581"/>
      <c r="V222" s="1418"/>
      <c r="W222" s="1418"/>
    </row>
    <row r="223" spans="1:23" s="111" customFormat="1" ht="10.5" customHeight="1" thickBot="1">
      <c r="A223" s="43"/>
      <c r="B223" s="1675" t="s">
        <v>3786</v>
      </c>
      <c r="C223" s="43"/>
      <c r="D223" s="49"/>
      <c r="E223" s="49"/>
      <c r="F223" s="49"/>
      <c r="G223" s="49"/>
      <c r="H223" s="37"/>
      <c r="I223" s="37"/>
      <c r="J223" s="37"/>
      <c r="K223" s="37"/>
      <c r="M223" s="47"/>
      <c r="N223" s="6"/>
      <c r="O223" s="3"/>
      <c r="P223" s="1704"/>
    </row>
    <row r="224" spans="1:23" s="44" customFormat="1" ht="21.75" customHeight="1" thickTop="1" thickBot="1">
      <c r="A224" s="3379"/>
      <c r="B224" s="3380"/>
      <c r="C224" s="3380"/>
      <c r="D224" s="3380"/>
      <c r="E224" s="3380"/>
      <c r="F224" s="3380"/>
      <c r="G224" s="3380"/>
      <c r="H224" s="3380"/>
      <c r="I224" s="3380"/>
      <c r="J224" s="3380"/>
      <c r="K224" s="3380"/>
      <c r="L224" s="3380"/>
      <c r="M224" s="3380"/>
      <c r="N224" s="3380"/>
      <c r="O224" s="3380"/>
      <c r="P224" s="3381"/>
      <c r="Q224" s="1425" t="s">
        <v>1266</v>
      </c>
    </row>
    <row r="225" spans="1:23" s="111" customFormat="1" ht="11.45"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252"/>
      <c r="B226" s="3253"/>
      <c r="C226" s="3253"/>
      <c r="D226" s="3253"/>
      <c r="E226" s="3253"/>
      <c r="F226" s="3253"/>
      <c r="G226" s="3253"/>
      <c r="H226" s="3253"/>
      <c r="I226" s="3253"/>
      <c r="J226" s="3253"/>
      <c r="K226" s="3253"/>
      <c r="L226" s="3253"/>
      <c r="M226" s="3253"/>
      <c r="N226" s="3253"/>
      <c r="O226" s="3253"/>
      <c r="P226" s="3254"/>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428</v>
      </c>
      <c r="B228" s="115" t="s">
        <v>4065</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4068</v>
      </c>
      <c r="D229" s="56" t="s">
        <v>4069</v>
      </c>
      <c r="K229" s="1634">
        <f>$O$189</f>
        <v>0</v>
      </c>
      <c r="L229" s="1635">
        <f>$P$189</f>
        <v>0</v>
      </c>
      <c r="N229" s="561" t="s">
        <v>2451</v>
      </c>
      <c r="O229" s="251"/>
      <c r="P229" s="1164"/>
      <c r="R229" s="457"/>
    </row>
    <row r="230" spans="1:23" s="44" customFormat="1" ht="11.25" customHeight="1">
      <c r="A230" s="150"/>
      <c r="D230" s="56" t="s">
        <v>4070</v>
      </c>
      <c r="K230" s="1634">
        <f>$O$111</f>
        <v>0</v>
      </c>
      <c r="L230" s="1635">
        <f>$P$111</f>
        <v>0</v>
      </c>
      <c r="N230" s="561" t="s">
        <v>2452</v>
      </c>
      <c r="O230" s="445"/>
      <c r="P230" s="657"/>
      <c r="R230" s="1418"/>
      <c r="S230" s="1418"/>
    </row>
    <row r="231" spans="1:23" s="44" customFormat="1" ht="11.25" customHeight="1">
      <c r="A231" s="150"/>
      <c r="D231" s="56" t="s">
        <v>4071</v>
      </c>
      <c r="N231" s="561" t="s">
        <v>2453</v>
      </c>
      <c r="O231" s="252"/>
      <c r="P231" s="657"/>
      <c r="R231" s="1418"/>
      <c r="S231" s="1418"/>
    </row>
    <row r="232" spans="1:23" s="44" customFormat="1" ht="11.25" customHeight="1">
      <c r="A232" s="150"/>
      <c r="D232" s="56" t="s">
        <v>4072</v>
      </c>
      <c r="N232" s="561" t="s">
        <v>2454</v>
      </c>
      <c r="O232" s="561"/>
      <c r="P232" s="1107"/>
      <c r="R232" s="1418"/>
      <c r="S232" s="1418"/>
    </row>
    <row r="233" spans="1:23" s="44" customFormat="1" ht="11.25" customHeight="1">
      <c r="A233" s="150"/>
      <c r="D233" s="56" t="s">
        <v>4073</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45" customHeight="1">
      <c r="A235" s="150" t="s">
        <v>1999</v>
      </c>
      <c r="B235" s="209" t="s">
        <v>4075</v>
      </c>
      <c r="D235" s="34"/>
      <c r="G235" s="572" t="s">
        <v>3818</v>
      </c>
      <c r="N235" s="28"/>
      <c r="O235" s="28"/>
      <c r="P235" s="28"/>
      <c r="Q235" s="1273"/>
    </row>
    <row r="236" spans="1:23" s="34" customFormat="1" ht="10.5" customHeight="1">
      <c r="A236" s="618"/>
      <c r="B236" s="146" t="s">
        <v>3899</v>
      </c>
      <c r="D236" s="3582"/>
      <c r="E236" s="3583"/>
      <c r="F236" s="3583"/>
      <c r="G236" s="3584"/>
      <c r="H236" s="3585"/>
      <c r="I236" s="1713" t="s">
        <v>2722</v>
      </c>
      <c r="J236" s="3582"/>
      <c r="K236" s="3583"/>
      <c r="L236" s="3583"/>
      <c r="M236" s="3583"/>
      <c r="N236" s="3585"/>
      <c r="O236" s="705"/>
      <c r="P236" s="705"/>
      <c r="Q236" s="1273"/>
    </row>
    <row r="237" spans="1:23" s="34" customFormat="1" ht="10.5" customHeight="1">
      <c r="A237" s="618"/>
      <c r="B237" s="146" t="s">
        <v>2210</v>
      </c>
      <c r="D237" s="3530"/>
      <c r="E237" s="3531"/>
      <c r="F237" s="3532"/>
      <c r="G237" s="146" t="s">
        <v>1734</v>
      </c>
      <c r="H237" s="1399"/>
      <c r="I237" s="525" t="s">
        <v>1813</v>
      </c>
      <c r="J237" s="3530"/>
      <c r="K237" s="3531"/>
      <c r="L237" s="3531"/>
      <c r="M237" s="3531"/>
      <c r="N237" s="3532"/>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4074</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535" t="s">
        <v>4085</v>
      </c>
      <c r="D240" s="3535"/>
      <c r="E240" s="3535"/>
      <c r="F240" s="3535"/>
      <c r="G240" s="3535"/>
      <c r="H240" s="3535"/>
      <c r="I240" s="3535"/>
      <c r="J240" s="3535"/>
      <c r="K240" s="3535"/>
      <c r="L240" s="3535"/>
      <c r="N240" s="473" t="s">
        <v>2002</v>
      </c>
      <c r="O240" s="1592"/>
      <c r="P240" s="1593"/>
      <c r="Q240" s="1270"/>
      <c r="R240" s="28"/>
      <c r="S240" s="1440"/>
      <c r="V240" s="1418"/>
      <c r="W240" s="1418"/>
    </row>
    <row r="241" spans="1:23" s="34" customFormat="1" ht="10.5" customHeight="1">
      <c r="A241" s="618"/>
      <c r="B241" s="561" t="s">
        <v>2451</v>
      </c>
      <c r="C241" s="146" t="s">
        <v>4076</v>
      </c>
      <c r="D241" s="3603"/>
      <c r="E241" s="3604"/>
      <c r="F241" s="3604"/>
      <c r="G241" s="3583"/>
      <c r="H241" s="3605"/>
      <c r="I241" s="1713" t="s">
        <v>2722</v>
      </c>
      <c r="J241" s="3603"/>
      <c r="K241" s="3604"/>
      <c r="L241" s="3604"/>
      <c r="M241" s="3604"/>
      <c r="N241" s="3605"/>
      <c r="O241" s="3533" t="s">
        <v>4078</v>
      </c>
      <c r="P241" s="3534"/>
      <c r="Q241" s="1270"/>
      <c r="R241" s="28"/>
      <c r="V241" s="1418"/>
      <c r="W241" s="1418"/>
    </row>
    <row r="242" spans="1:23" s="34" customFormat="1" ht="10.5" customHeight="1">
      <c r="A242" s="618"/>
      <c r="C242" s="1442" t="s">
        <v>2210</v>
      </c>
      <c r="D242" s="3530"/>
      <c r="E242" s="3531"/>
      <c r="F242" s="3532"/>
      <c r="G242" s="1580" t="s">
        <v>1734</v>
      </c>
      <c r="H242" s="1399"/>
      <c r="I242" s="1441" t="s">
        <v>1813</v>
      </c>
      <c r="J242" s="3530"/>
      <c r="K242" s="3531"/>
      <c r="L242" s="3531"/>
      <c r="M242" s="3531"/>
      <c r="N242" s="3532"/>
      <c r="O242" s="252"/>
      <c r="P242" s="658"/>
      <c r="Q242" s="1270"/>
      <c r="R242" s="28"/>
      <c r="V242" s="1418"/>
      <c r="W242" s="1418"/>
    </row>
    <row r="243" spans="1:23" s="34" customFormat="1" ht="10.5" customHeight="1">
      <c r="A243" s="618"/>
      <c r="B243" s="561" t="s">
        <v>2452</v>
      </c>
      <c r="C243" s="146" t="s">
        <v>4077</v>
      </c>
      <c r="D243" s="3603"/>
      <c r="E243" s="3604"/>
      <c r="F243" s="3604"/>
      <c r="G243" s="3583"/>
      <c r="H243" s="3605"/>
      <c r="I243" s="1713" t="s">
        <v>2722</v>
      </c>
      <c r="J243" s="3603"/>
      <c r="K243" s="3604"/>
      <c r="L243" s="3604"/>
      <c r="M243" s="3604"/>
      <c r="N243" s="3605"/>
      <c r="O243" s="3533" t="s">
        <v>4078</v>
      </c>
      <c r="P243" s="3534"/>
      <c r="Q243" s="1270"/>
      <c r="R243" s="28"/>
      <c r="V243" s="1418"/>
      <c r="W243" s="1418"/>
    </row>
    <row r="244" spans="1:23" s="34" customFormat="1" ht="10.5" customHeight="1">
      <c r="A244" s="618"/>
      <c r="C244" s="1442" t="s">
        <v>2210</v>
      </c>
      <c r="D244" s="3530"/>
      <c r="E244" s="3531"/>
      <c r="F244" s="3532"/>
      <c r="G244" s="1580" t="s">
        <v>1734</v>
      </c>
      <c r="H244" s="1399"/>
      <c r="I244" s="1441" t="s">
        <v>1813</v>
      </c>
      <c r="J244" s="3530"/>
      <c r="K244" s="3531"/>
      <c r="L244" s="3531"/>
      <c r="M244" s="3531"/>
      <c r="N244" s="3532"/>
      <c r="O244" s="252"/>
      <c r="P244" s="658"/>
      <c r="Q244" s="1270"/>
      <c r="R244" s="28"/>
      <c r="V244" s="1418"/>
      <c r="W244" s="1418"/>
    </row>
    <row r="245" spans="1:23" ht="11.25" customHeight="1">
      <c r="A245" s="618"/>
      <c r="B245" s="721" t="s">
        <v>2004</v>
      </c>
      <c r="C245" s="1275" t="s">
        <v>4079</v>
      </c>
      <c r="D245" s="1270"/>
      <c r="E245" s="1270"/>
      <c r="F245" s="1270"/>
      <c r="G245" s="572" t="s">
        <v>3818</v>
      </c>
      <c r="H245" s="1270"/>
      <c r="I245" s="1270"/>
      <c r="J245" s="1270"/>
      <c r="K245" s="1270"/>
      <c r="L245" s="1270"/>
      <c r="M245" s="1270"/>
      <c r="N245" s="1270"/>
      <c r="O245" s="626" t="s">
        <v>2527</v>
      </c>
      <c r="P245" s="626" t="s">
        <v>2527</v>
      </c>
      <c r="Q245" s="1270"/>
    </row>
    <row r="246" spans="1:23" ht="21.75" customHeight="1">
      <c r="A246" s="618"/>
      <c r="B246" s="1277"/>
      <c r="C246" s="3286" t="s">
        <v>4193</v>
      </c>
      <c r="D246" s="3286"/>
      <c r="E246" s="3286"/>
      <c r="F246" s="3286"/>
      <c r="G246" s="3286"/>
      <c r="H246" s="3286"/>
      <c r="I246" s="3286"/>
      <c r="J246" s="3286"/>
      <c r="K246" s="3286"/>
      <c r="L246" s="3286"/>
      <c r="M246" s="3286"/>
      <c r="N246" s="473" t="s">
        <v>2004</v>
      </c>
      <c r="O246" s="1592"/>
      <c r="P246" s="1593"/>
      <c r="Q246" s="1274"/>
      <c r="V246" s="1418"/>
      <c r="W246" s="1418"/>
    </row>
    <row r="247" spans="1:23" ht="11.25" customHeight="1">
      <c r="A247" s="618"/>
      <c r="B247" s="561" t="s">
        <v>2451</v>
      </c>
      <c r="C247" s="1279" t="s">
        <v>4194</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410"/>
      <c r="D248" s="3411"/>
      <c r="E248" s="3411"/>
      <c r="F248" s="3411"/>
      <c r="G248" s="3411"/>
      <c r="H248" s="3411"/>
      <c r="I248" s="3411"/>
      <c r="J248" s="3411"/>
      <c r="K248" s="3411"/>
      <c r="L248" s="3411"/>
      <c r="M248" s="3411"/>
      <c r="N248" s="3411"/>
      <c r="O248" s="3411"/>
      <c r="P248" s="3412"/>
      <c r="Q248" s="1425"/>
      <c r="V248" s="1418"/>
      <c r="W248" s="1418"/>
    </row>
    <row r="249" spans="1:23" ht="10.5" customHeight="1">
      <c r="A249" s="618"/>
      <c r="B249" s="1277"/>
      <c r="C249" s="3477"/>
      <c r="D249" s="3478"/>
      <c r="E249" s="3478"/>
      <c r="F249" s="3478"/>
      <c r="G249" s="3478"/>
      <c r="H249" s="3478"/>
      <c r="I249" s="3478"/>
      <c r="J249" s="3478"/>
      <c r="K249" s="3478"/>
      <c r="L249" s="3478"/>
      <c r="M249" s="3478"/>
      <c r="N249" s="3478"/>
      <c r="O249" s="3478"/>
      <c r="P249" s="3479"/>
      <c r="Q249" s="1274"/>
      <c r="V249" s="1418"/>
      <c r="W249" s="1418"/>
    </row>
    <row r="250" spans="1:23" ht="10.5" customHeight="1">
      <c r="A250" s="618"/>
      <c r="B250" s="1277"/>
      <c r="C250" s="3405"/>
      <c r="D250" s="3406"/>
      <c r="E250" s="3406"/>
      <c r="F250" s="3406"/>
      <c r="G250" s="3406"/>
      <c r="H250" s="3406"/>
      <c r="I250" s="3406"/>
      <c r="J250" s="3406"/>
      <c r="K250" s="3406"/>
      <c r="L250" s="3406"/>
      <c r="M250" s="3406"/>
      <c r="N250" s="3406"/>
      <c r="O250" s="3406"/>
      <c r="P250" s="3407"/>
      <c r="Q250" s="1274"/>
      <c r="V250" s="1418"/>
      <c r="W250" s="1418"/>
    </row>
    <row r="251" spans="1:23" ht="11.25" customHeight="1">
      <c r="A251" s="618"/>
      <c r="B251" s="561" t="s">
        <v>2452</v>
      </c>
      <c r="C251" s="1279" t="s">
        <v>4192</v>
      </c>
      <c r="D251" s="1714"/>
      <c r="E251" s="1714"/>
      <c r="F251" s="1714"/>
      <c r="G251" s="1714"/>
      <c r="H251" s="1714"/>
      <c r="I251" s="1714"/>
      <c r="J251" s="1714"/>
      <c r="K251" s="1714"/>
      <c r="L251" s="3684" t="s">
        <v>4196</v>
      </c>
      <c r="M251" s="3684"/>
      <c r="N251" s="3685" t="s">
        <v>4197</v>
      </c>
      <c r="O251" s="3685"/>
      <c r="P251" s="3685"/>
      <c r="Q251" s="1274"/>
      <c r="V251" s="1418"/>
      <c r="W251" s="1418"/>
    </row>
    <row r="252" spans="1:23" ht="10.5" customHeight="1">
      <c r="A252" s="618"/>
      <c r="B252" s="1277"/>
      <c r="C252" s="3410"/>
      <c r="D252" s="3411"/>
      <c r="E252" s="3411"/>
      <c r="F252" s="3411"/>
      <c r="G252" s="3411"/>
      <c r="H252" s="3411"/>
      <c r="I252" s="3411"/>
      <c r="J252" s="3411"/>
      <c r="K252" s="3412"/>
      <c r="L252" s="3410"/>
      <c r="M252" s="3412"/>
      <c r="N252" s="3410"/>
      <c r="O252" s="3411"/>
      <c r="P252" s="3412"/>
      <c r="Q252" s="1425"/>
      <c r="V252" s="1418"/>
      <c r="W252" s="1418"/>
    </row>
    <row r="253" spans="1:23" ht="10.5" customHeight="1">
      <c r="A253" s="618"/>
      <c r="B253" s="1277"/>
      <c r="C253" s="3477"/>
      <c r="D253" s="3478"/>
      <c r="E253" s="3478"/>
      <c r="F253" s="3478"/>
      <c r="G253" s="3478"/>
      <c r="H253" s="3478"/>
      <c r="I253" s="3478"/>
      <c r="J253" s="3478"/>
      <c r="K253" s="3479"/>
      <c r="L253" s="3477"/>
      <c r="M253" s="3479"/>
      <c r="N253" s="3477"/>
      <c r="O253" s="3478"/>
      <c r="P253" s="3479"/>
      <c r="Q253" s="1274"/>
      <c r="V253" s="1418"/>
      <c r="W253" s="1418"/>
    </row>
    <row r="254" spans="1:23" ht="10.5" customHeight="1">
      <c r="A254" s="618"/>
      <c r="B254" s="1277"/>
      <c r="C254" s="3405"/>
      <c r="D254" s="3406"/>
      <c r="E254" s="3406"/>
      <c r="F254" s="3406"/>
      <c r="G254" s="3406"/>
      <c r="H254" s="3406"/>
      <c r="I254" s="3406"/>
      <c r="J254" s="3406"/>
      <c r="K254" s="3407"/>
      <c r="L254" s="3405"/>
      <c r="M254" s="3407"/>
      <c r="N254" s="3405"/>
      <c r="O254" s="3406"/>
      <c r="P254" s="3407"/>
      <c r="Q254" s="1274"/>
      <c r="V254" s="1418"/>
      <c r="W254" s="1418"/>
    </row>
    <row r="255" spans="1:23" ht="10.5" customHeight="1">
      <c r="A255" s="618"/>
      <c r="B255" s="721" t="s">
        <v>2551</v>
      </c>
      <c r="C255" s="1275" t="s">
        <v>4080</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35" t="s">
        <v>4084</v>
      </c>
      <c r="D256" s="3535"/>
      <c r="E256" s="3535"/>
      <c r="F256" s="3535"/>
      <c r="G256" s="3535"/>
      <c r="H256" s="3535"/>
      <c r="I256" s="3535"/>
      <c r="J256" s="3535"/>
      <c r="K256" s="3535"/>
      <c r="L256" s="3535"/>
      <c r="M256" s="3535"/>
      <c r="N256" s="473" t="s">
        <v>2551</v>
      </c>
      <c r="O256" s="576"/>
      <c r="P256" s="655"/>
      <c r="Q256" s="1274"/>
      <c r="V256" s="1418"/>
      <c r="W256" s="1418"/>
    </row>
    <row r="257" spans="1:23" ht="10.5" customHeight="1">
      <c r="A257" s="150"/>
      <c r="B257" s="1079" t="s">
        <v>1236</v>
      </c>
      <c r="C257" s="718" t="s">
        <v>3821</v>
      </c>
      <c r="D257" s="34"/>
      <c r="N257" s="28"/>
      <c r="O257" s="28"/>
      <c r="P257" s="28"/>
      <c r="Q257" s="124"/>
    </row>
    <row r="258" spans="1:23" s="34" customFormat="1" ht="21.75" customHeight="1">
      <c r="A258" s="618"/>
      <c r="B258" s="1278"/>
      <c r="C258" s="3397" t="s">
        <v>4086</v>
      </c>
      <c r="D258" s="3397"/>
      <c r="E258" s="3397"/>
      <c r="F258" s="3397"/>
      <c r="G258" s="3397"/>
      <c r="H258" s="3397"/>
      <c r="I258" s="3397"/>
      <c r="J258" s="3397"/>
      <c r="K258" s="3397"/>
      <c r="L258" s="3397"/>
      <c r="M258" s="3397"/>
      <c r="N258" s="473" t="s">
        <v>1236</v>
      </c>
      <c r="O258" s="1590"/>
      <c r="P258" s="1589"/>
      <c r="Q258" s="1274"/>
      <c r="V258" s="1418"/>
      <c r="W258" s="1418"/>
    </row>
    <row r="259" spans="1:23" s="34" customFormat="1" ht="10.5" customHeight="1">
      <c r="A259" s="618"/>
      <c r="B259" s="470" t="s">
        <v>2451</v>
      </c>
      <c r="C259" s="3535" t="s">
        <v>4087</v>
      </c>
      <c r="D259" s="3535"/>
      <c r="E259" s="3535"/>
      <c r="F259" s="3535"/>
      <c r="G259" s="3535"/>
      <c r="H259" s="3535"/>
      <c r="I259" s="3535"/>
      <c r="J259" s="3535"/>
      <c r="K259" s="3535"/>
      <c r="L259" s="3535"/>
      <c r="M259" s="3535"/>
      <c r="N259" s="470" t="s">
        <v>2451</v>
      </c>
      <c r="O259" s="445"/>
      <c r="P259" s="657"/>
      <c r="Q259" s="1274"/>
      <c r="V259" s="1418"/>
      <c r="W259" s="1418"/>
    </row>
    <row r="260" spans="1:23" s="34" customFormat="1" ht="10.5" customHeight="1">
      <c r="A260" s="618"/>
      <c r="B260" s="470" t="s">
        <v>2452</v>
      </c>
      <c r="C260" s="3535" t="s">
        <v>4088</v>
      </c>
      <c r="D260" s="3535"/>
      <c r="E260" s="3535"/>
      <c r="F260" s="3535"/>
      <c r="G260" s="3535"/>
      <c r="H260" s="3535"/>
      <c r="I260" s="3535"/>
      <c r="J260" s="3535"/>
      <c r="K260" s="3535"/>
      <c r="L260" s="3535"/>
      <c r="M260" s="3535"/>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45" customHeight="1">
      <c r="A262" s="150" t="s">
        <v>2001</v>
      </c>
      <c r="B262" s="209" t="s">
        <v>4081</v>
      </c>
      <c r="D262" s="34"/>
      <c r="G262" s="572" t="s">
        <v>3818</v>
      </c>
      <c r="N262" s="28"/>
      <c r="O262" s="626" t="s">
        <v>2527</v>
      </c>
      <c r="P262" s="626" t="s">
        <v>2527</v>
      </c>
      <c r="Q262" s="1273"/>
    </row>
    <row r="263" spans="1:23" ht="21.75" customHeight="1">
      <c r="A263" s="618"/>
      <c r="B263" s="721" t="s">
        <v>2002</v>
      </c>
      <c r="C263" s="3286" t="s">
        <v>4082</v>
      </c>
      <c r="D263" s="3286"/>
      <c r="E263" s="3286"/>
      <c r="F263" s="3286"/>
      <c r="G263" s="3286"/>
      <c r="H263" s="3286"/>
      <c r="I263" s="3286"/>
      <c r="J263" s="3286"/>
      <c r="K263" s="3286"/>
      <c r="L263" s="3286"/>
      <c r="M263" s="1519" t="s">
        <v>2001</v>
      </c>
      <c r="N263" s="473" t="s">
        <v>2002</v>
      </c>
      <c r="O263" s="1590"/>
      <c r="P263" s="1589"/>
      <c r="Q263" s="1273"/>
      <c r="V263" s="1418"/>
      <c r="W263" s="1418"/>
    </row>
    <row r="264" spans="1:23" s="34" customFormat="1" ht="10.5" customHeight="1">
      <c r="A264" s="618"/>
      <c r="B264" s="721" t="s">
        <v>2004</v>
      </c>
      <c r="C264" s="525" t="s">
        <v>4083</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3786</v>
      </c>
      <c r="C265" s="43"/>
      <c r="D265" s="49"/>
      <c r="E265" s="49"/>
      <c r="F265" s="49"/>
      <c r="G265" s="49"/>
      <c r="H265" s="37"/>
      <c r="I265" s="146"/>
      <c r="M265" s="47"/>
      <c r="N265" s="63"/>
      <c r="O265" s="3"/>
      <c r="P265" s="1707"/>
    </row>
    <row r="266" spans="1:23" s="44" customFormat="1" ht="21.75" customHeight="1" thickTop="1" thickBot="1">
      <c r="A266" s="3472"/>
      <c r="B266" s="3473"/>
      <c r="C266" s="3473"/>
      <c r="D266" s="3473"/>
      <c r="E266" s="3473"/>
      <c r="F266" s="3473"/>
      <c r="G266" s="3473"/>
      <c r="H266" s="3473"/>
      <c r="I266" s="3473"/>
      <c r="J266" s="3473"/>
      <c r="K266" s="3473"/>
      <c r="L266" s="3473"/>
      <c r="M266" s="3473"/>
      <c r="N266" s="3473"/>
      <c r="O266" s="3473"/>
      <c r="P266" s="3474"/>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445"/>
      <c r="B268" s="3446"/>
      <c r="C268" s="3446"/>
      <c r="D268" s="3446"/>
      <c r="E268" s="3446"/>
      <c r="F268" s="3446"/>
      <c r="G268" s="3446"/>
      <c r="H268" s="3446"/>
      <c r="I268" s="3446"/>
      <c r="J268" s="3446"/>
      <c r="K268" s="3446"/>
      <c r="L268" s="3446"/>
      <c r="M268" s="3446"/>
      <c r="N268" s="3446"/>
      <c r="O268" s="3446"/>
      <c r="P268" s="3447"/>
      <c r="Q268" s="538"/>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4240</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26" t="s">
        <v>3629</v>
      </c>
      <c r="B272" s="1054" t="s">
        <v>3627</v>
      </c>
      <c r="C272" s="100"/>
      <c r="D272" s="60"/>
      <c r="E272" s="60"/>
      <c r="H272" s="204"/>
      <c r="M272" s="1523">
        <v>3</v>
      </c>
      <c r="N272" s="3681" t="s">
        <v>4092</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26"/>
      <c r="B273" s="120" t="s">
        <v>2812</v>
      </c>
      <c r="C273" s="622"/>
      <c r="D273" s="622"/>
      <c r="H273" s="623" t="str">
        <f>'Part I-Project Information'!$H$100</f>
        <v>N/A - 4% Bond</v>
      </c>
      <c r="N273" s="3681"/>
      <c r="O273" s="1638" t="s">
        <v>2527</v>
      </c>
      <c r="P273" s="1638" t="s">
        <v>2527</v>
      </c>
    </row>
    <row r="274" spans="1:21" ht="11.45" customHeight="1">
      <c r="A274" s="3526"/>
      <c r="B274" s="1079" t="s">
        <v>2002</v>
      </c>
      <c r="C274" s="531" t="s">
        <v>2702</v>
      </c>
      <c r="E274" s="127"/>
      <c r="M274" s="87"/>
      <c r="N274" s="3681"/>
      <c r="O274" s="576"/>
      <c r="P274" s="655"/>
      <c r="Q274" s="3602" t="str">
        <f>IF(AND(O274="Yes",O277="Yes"),"Only 1 or 4 can be 'Yes'!","")</f>
        <v/>
      </c>
      <c r="R274" s="3602"/>
    </row>
    <row r="275" spans="1:21" ht="11.45" customHeight="1">
      <c r="B275" s="1079" t="s">
        <v>2004</v>
      </c>
      <c r="C275" s="531" t="s">
        <v>2757</v>
      </c>
      <c r="G275" s="109" t="s">
        <v>2405</v>
      </c>
      <c r="H275" s="584" t="s">
        <v>3811</v>
      </c>
      <c r="I275" s="531" t="s">
        <v>2758</v>
      </c>
      <c r="L275" s="146" t="s">
        <v>2756</v>
      </c>
      <c r="M275" s="1081" t="str">
        <f>IF(O275&gt;H275,"CHECK ACTUAL PERCENT!!!","")</f>
        <v/>
      </c>
      <c r="N275" s="206" t="s">
        <v>2004</v>
      </c>
      <c r="O275" s="2504"/>
      <c r="P275" s="1626"/>
      <c r="Q275" s="3602"/>
      <c r="R275" s="3602"/>
    </row>
    <row r="276" spans="1:21" ht="11.45" customHeight="1">
      <c r="B276" s="1079" t="s">
        <v>2551</v>
      </c>
      <c r="C276" s="506" t="s">
        <v>2406</v>
      </c>
      <c r="E276" s="127"/>
      <c r="G276" s="109" t="s">
        <v>2407</v>
      </c>
      <c r="J276" s="3606" t="s">
        <v>4091</v>
      </c>
      <c r="L276" s="525" t="s">
        <v>2750</v>
      </c>
      <c r="M276" s="34"/>
      <c r="N276" s="206" t="s">
        <v>2551</v>
      </c>
      <c r="O276" s="1731" t="s">
        <v>203</v>
      </c>
      <c r="P276" s="1732" t="s">
        <v>203</v>
      </c>
      <c r="Q276" s="3602"/>
      <c r="R276" s="3602"/>
    </row>
    <row r="277" spans="1:21" s="475" customFormat="1" ht="11.45" customHeight="1">
      <c r="B277" s="721" t="s">
        <v>1236</v>
      </c>
      <c r="C277" s="3286" t="s">
        <v>4090</v>
      </c>
      <c r="D277" s="3286"/>
      <c r="E277" s="3286"/>
      <c r="F277" s="3286"/>
      <c r="G277" s="3286"/>
      <c r="H277" s="3286"/>
      <c r="I277" s="3286"/>
      <c r="J277" s="3608"/>
      <c r="K277" s="3606" t="s">
        <v>4089</v>
      </c>
      <c r="M277" s="1524">
        <v>2</v>
      </c>
      <c r="N277" s="206" t="s">
        <v>1236</v>
      </c>
      <c r="O277" s="1592"/>
      <c r="P277" s="1593"/>
      <c r="Q277" s="3602"/>
      <c r="R277" s="3602"/>
    </row>
    <row r="278" spans="1:21" ht="11.45" customHeight="1">
      <c r="B278" s="455"/>
      <c r="C278" s="3286"/>
      <c r="D278" s="3286"/>
      <c r="E278" s="3286"/>
      <c r="F278" s="3286"/>
      <c r="G278" s="3286"/>
      <c r="H278" s="3286"/>
      <c r="I278" s="3286"/>
      <c r="J278" s="3607"/>
      <c r="K278" s="3607"/>
      <c r="L278" s="3682" t="s">
        <v>4153</v>
      </c>
      <c r="M278" s="3683"/>
      <c r="N278" s="127"/>
    </row>
    <row r="279" spans="1:21" ht="11.45" customHeight="1">
      <c r="B279" s="455"/>
      <c r="C279" s="3286"/>
      <c r="D279" s="3286"/>
      <c r="E279" s="3286"/>
      <c r="F279" s="3286"/>
      <c r="G279" s="3286"/>
      <c r="H279" s="3286"/>
      <c r="I279" s="3286"/>
      <c r="J279" s="1520"/>
      <c r="K279" s="1525"/>
      <c r="L279" s="1521">
        <f>O57</f>
        <v>0</v>
      </c>
      <c r="M279" s="1522">
        <f>P57</f>
        <v>0</v>
      </c>
      <c r="N279" s="28"/>
    </row>
    <row r="280" spans="1:21" ht="11.45" customHeight="1">
      <c r="A280" s="625" t="s">
        <v>757</v>
      </c>
      <c r="B280" s="1079" t="s">
        <v>3628</v>
      </c>
      <c r="C280" s="506"/>
      <c r="E280" s="127"/>
      <c r="G280" s="109"/>
      <c r="M280" s="1523">
        <v>2</v>
      </c>
      <c r="N280" s="1526" t="s">
        <v>757</v>
      </c>
      <c r="O280" s="1083">
        <f>IF(OR(O281="A1",O281="A2",O281="A3",O281="B1",O281="B2",O281="C1"),2,IF(OR(O281="B3",O281="C2"),1,0))</f>
        <v>0</v>
      </c>
      <c r="P280" s="1083">
        <f>IF(OR(P281="A1",P281="A2",P281="A3",P281="B1",P281="B2",P281="C1"),2,IF(OR(P281="B3",P281="C2"),1,0))</f>
        <v>0</v>
      </c>
    </row>
    <row r="281" spans="1:21" ht="11.45" customHeight="1">
      <c r="A281" s="625"/>
      <c r="B281" s="1630" t="s">
        <v>3632</v>
      </c>
      <c r="C281" s="1630"/>
      <c r="D281" s="1630"/>
      <c r="E281" s="1630"/>
      <c r="F281" s="1630"/>
      <c r="G281" s="1630"/>
      <c r="H281" s="1627"/>
      <c r="I281" s="1627"/>
      <c r="O281" s="1628" t="s">
        <v>203</v>
      </c>
      <c r="P281" s="1629" t="s">
        <v>203</v>
      </c>
    </row>
    <row r="282" spans="1:21" ht="11.45" customHeight="1">
      <c r="A282" s="625" t="s">
        <v>2131</v>
      </c>
      <c r="B282" s="1079" t="s">
        <v>3630</v>
      </c>
      <c r="C282" s="506"/>
      <c r="E282" s="127"/>
      <c r="G282" s="572" t="s">
        <v>3631</v>
      </c>
      <c r="H282" s="1080">
        <f>'Part VI-Revenues &amp; Expenses'!$O$59</f>
        <v>0</v>
      </c>
      <c r="I282" s="1271" t="s">
        <v>3634</v>
      </c>
      <c r="J282" s="1080">
        <f>'Part VI-Revenues &amp; Expenses'!$O$62</f>
        <v>96</v>
      </c>
      <c r="K282" s="1271" t="s">
        <v>3635</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445"/>
      <c r="B284" s="3446"/>
      <c r="C284" s="3446"/>
      <c r="D284" s="3446"/>
      <c r="E284" s="3446"/>
      <c r="F284" s="3446"/>
      <c r="G284" s="3446"/>
      <c r="H284" s="3446"/>
      <c r="I284" s="3446"/>
      <c r="J284" s="3446"/>
      <c r="K284" s="3446"/>
      <c r="L284" s="3446"/>
      <c r="M284" s="3446"/>
      <c r="N284" s="3446"/>
      <c r="O284" s="3446"/>
      <c r="P284" s="3447"/>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4093</v>
      </c>
      <c r="C286" s="100"/>
      <c r="D286" s="60"/>
      <c r="E286" s="60"/>
      <c r="H286" s="204"/>
      <c r="I286" s="524" t="s">
        <v>3834</v>
      </c>
      <c r="M286" s="1704">
        <v>10</v>
      </c>
      <c r="N286" s="7"/>
      <c r="O286" s="1471">
        <f>IF(OR(O287="Yes",O288="Yes"),$M$286,0)</f>
        <v>0</v>
      </c>
      <c r="P286" s="1471">
        <f>IF(OR(P287="Yes",P288="Yes"),$M$286,0)</f>
        <v>0</v>
      </c>
      <c r="Q286" s="118" t="s">
        <v>443</v>
      </c>
      <c r="R286" s="44"/>
    </row>
    <row r="287" spans="1:21" ht="11.25" customHeight="1">
      <c r="A287" s="1705" t="s">
        <v>1999</v>
      </c>
      <c r="B287" s="1527" t="s">
        <v>3825</v>
      </c>
      <c r="D287" s="771"/>
      <c r="E287" s="771"/>
      <c r="F287" s="771"/>
      <c r="G287" s="771"/>
      <c r="H287" s="771"/>
      <c r="I287" s="771"/>
      <c r="J287" s="771"/>
      <c r="K287" s="771"/>
      <c r="L287" s="1279"/>
      <c r="M287" s="3613" t="str">
        <f>IF(OR(SUM(T287:T288)&gt;1,SUM(U287:U288)&gt;1),"Only one category can be met by other means!","")</f>
        <v/>
      </c>
      <c r="N287" s="561" t="s">
        <v>1999</v>
      </c>
      <c r="O287" s="251"/>
      <c r="P287" s="656"/>
      <c r="U287" s="1729">
        <f>IF(L287="Yes",1,0)</f>
        <v>0</v>
      </c>
    </row>
    <row r="288" spans="1:21" ht="11.25" customHeight="1">
      <c r="A288" s="1705" t="s">
        <v>2001</v>
      </c>
      <c r="B288" s="1527" t="s">
        <v>3826</v>
      </c>
      <c r="D288" s="771"/>
      <c r="L288" s="1279"/>
      <c r="M288" s="3613"/>
      <c r="N288" s="561" t="s">
        <v>2001</v>
      </c>
      <c r="O288" s="252"/>
      <c r="P288" s="658"/>
      <c r="U288" s="1729">
        <f>IF(L288="Yes",1,0)</f>
        <v>0</v>
      </c>
    </row>
    <row r="289" spans="1:27" s="44" customFormat="1" ht="10.5" customHeight="1" thickBot="1">
      <c r="A289" s="43"/>
      <c r="B289" s="1675" t="s">
        <v>3786</v>
      </c>
      <c r="C289" s="43"/>
      <c r="D289" s="49"/>
      <c r="E289" s="49"/>
      <c r="F289" s="49"/>
      <c r="G289" s="49"/>
      <c r="H289" s="37"/>
      <c r="I289" s="37"/>
      <c r="J289" s="37"/>
      <c r="K289" s="37"/>
      <c r="M289" s="47"/>
      <c r="N289" s="63"/>
      <c r="O289" s="3"/>
      <c r="P289" s="1707"/>
    </row>
    <row r="290" spans="1:27" s="44" customFormat="1" ht="21.75" customHeight="1" thickTop="1" thickBot="1">
      <c r="A290" s="3379"/>
      <c r="B290" s="3380"/>
      <c r="C290" s="3380"/>
      <c r="D290" s="3380"/>
      <c r="E290" s="3380"/>
      <c r="F290" s="3380"/>
      <c r="G290" s="3380"/>
      <c r="H290" s="3380"/>
      <c r="I290" s="3380"/>
      <c r="J290" s="3380"/>
      <c r="K290" s="3380"/>
      <c r="L290" s="3380"/>
      <c r="M290" s="3380"/>
      <c r="N290" s="3380"/>
      <c r="O290" s="3380"/>
      <c r="P290" s="3381"/>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445"/>
      <c r="B292" s="3446"/>
      <c r="C292" s="3446"/>
      <c r="D292" s="3446"/>
      <c r="E292" s="3446"/>
      <c r="F292" s="3446"/>
      <c r="G292" s="3446"/>
      <c r="H292" s="3446"/>
      <c r="I292" s="3446"/>
      <c r="J292" s="3446"/>
      <c r="K292" s="3446"/>
      <c r="L292" s="3446"/>
      <c r="M292" s="3446"/>
      <c r="N292" s="3446"/>
      <c r="O292" s="3446"/>
      <c r="P292" s="3447"/>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4094</v>
      </c>
      <c r="D295" s="34"/>
      <c r="E295" s="34"/>
      <c r="F295" s="34"/>
      <c r="H295" s="94" t="s">
        <v>3712</v>
      </c>
      <c r="I295" s="523"/>
      <c r="J295" s="3557" t="str">
        <f>'Part I-Project Information'!$O$34</f>
        <v>No</v>
      </c>
      <c r="K295" s="3557"/>
      <c r="L295" s="1149">
        <f>'Part I-Project Information'!$O$35</f>
        <v>0</v>
      </c>
      <c r="M295" s="75">
        <v>3</v>
      </c>
      <c r="N295" s="561" t="s">
        <v>1999</v>
      </c>
      <c r="O295" s="731"/>
      <c r="P295" s="1043"/>
      <c r="Q295" s="1264" t="str">
        <f>IF(OR($O295=$M295,$O295=0,$O295=""),"","*CHECK!*")</f>
        <v/>
      </c>
      <c r="R295" s="1469" t="s">
        <v>2724</v>
      </c>
    </row>
    <row r="296" spans="1:27" s="109" customFormat="1" ht="21.75" customHeight="1">
      <c r="B296" s="721" t="s">
        <v>2002</v>
      </c>
      <c r="C296" s="3397" t="s">
        <v>4253</v>
      </c>
      <c r="D296" s="3397"/>
      <c r="E296" s="3397"/>
      <c r="F296" s="3397"/>
      <c r="G296" s="3397"/>
      <c r="H296" s="3397"/>
      <c r="I296" s="3397"/>
      <c r="J296" s="3397"/>
      <c r="K296" s="3397"/>
      <c r="L296" s="3397"/>
      <c r="M296" s="3397"/>
      <c r="N296" s="473" t="s">
        <v>2002</v>
      </c>
      <c r="O296" s="1579"/>
      <c r="P296" s="1553"/>
      <c r="Q296" s="3614" t="s">
        <v>4254</v>
      </c>
      <c r="R296" s="3397"/>
      <c r="S296" s="3397"/>
      <c r="T296" s="3397"/>
      <c r="U296" s="3397"/>
      <c r="V296" s="3397"/>
      <c r="W296" s="3397"/>
      <c r="X296" s="3397"/>
      <c r="Y296" s="3397"/>
      <c r="Z296" s="3397"/>
      <c r="AA296" s="1272"/>
    </row>
    <row r="297" spans="1:27" s="128" customFormat="1" ht="10.5" customHeight="1">
      <c r="B297" s="1079"/>
      <c r="C297" s="146" t="s">
        <v>3840</v>
      </c>
      <c r="H297" s="525" t="s">
        <v>2600</v>
      </c>
      <c r="I297" s="1848"/>
      <c r="J297" s="525" t="s">
        <v>2317</v>
      </c>
      <c r="K297" s="3551"/>
      <c r="L297" s="3552"/>
      <c r="M297" s="3552"/>
      <c r="N297" s="3552"/>
      <c r="O297" s="3552"/>
      <c r="P297" s="3553"/>
    </row>
    <row r="298" spans="1:27" s="128" customFormat="1" ht="10.5" customHeight="1">
      <c r="B298" s="1079"/>
      <c r="C298" s="146" t="s">
        <v>3896</v>
      </c>
      <c r="H298" s="525" t="s">
        <v>2600</v>
      </c>
      <c r="I298" s="1849"/>
      <c r="J298" s="525" t="s">
        <v>2317</v>
      </c>
      <c r="K298" s="3548"/>
      <c r="L298" s="3549"/>
      <c r="M298" s="3549"/>
      <c r="N298" s="3549"/>
      <c r="O298" s="3549"/>
      <c r="P298" s="3550"/>
    </row>
    <row r="299" spans="1:27" s="128" customFormat="1" ht="10.5" customHeight="1">
      <c r="B299" s="1079" t="s">
        <v>2004</v>
      </c>
      <c r="C299" s="128" t="s">
        <v>972</v>
      </c>
      <c r="M299" s="7"/>
      <c r="N299" s="206" t="s">
        <v>2004</v>
      </c>
      <c r="O299" s="1259"/>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4095</v>
      </c>
      <c r="D302" s="720"/>
      <c r="H302" s="62" t="s">
        <v>3414</v>
      </c>
    </row>
    <row r="303" spans="1:27" s="34" customFormat="1" ht="10.5" customHeight="1">
      <c r="A303" s="1705"/>
      <c r="B303" s="1084" t="s">
        <v>3636</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4097</v>
      </c>
      <c r="L304" s="457" t="str">
        <f>IF(OR($O304=$M304,$O304=0,$O304=""),"","* * Check Score! * *")</f>
        <v/>
      </c>
      <c r="M304" s="75">
        <v>3</v>
      </c>
      <c r="N304" s="527" t="s">
        <v>2002</v>
      </c>
      <c r="O304" s="635"/>
      <c r="P304" s="650"/>
      <c r="Q304" s="1264" t="str">
        <f>IF(OR($O304=$M304,$O304=0,$O304=""),"","*CHECK!*")</f>
        <v/>
      </c>
      <c r="R304" s="1469" t="s">
        <v>2724</v>
      </c>
    </row>
    <row r="305" spans="1:21" ht="10.5" customHeight="1">
      <c r="A305" s="719" t="s">
        <v>1365</v>
      </c>
      <c r="B305" s="721" t="s">
        <v>2004</v>
      </c>
      <c r="C305" s="532" t="s">
        <v>3637</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757</v>
      </c>
      <c r="B306" s="209" t="s">
        <v>4096</v>
      </c>
      <c r="D306" s="720"/>
      <c r="H306" s="62" t="s">
        <v>4099</v>
      </c>
    </row>
    <row r="307" spans="1:21" s="34" customFormat="1" ht="10.5" customHeight="1">
      <c r="A307" s="1705"/>
      <c r="B307" s="1084" t="s">
        <v>3639</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3638</v>
      </c>
      <c r="K308" s="3396" t="str">
        <f>IF(OR(AND(O308&gt;0,O310&gt;0), AND(O309&gt;0,O310&gt;0), AND(O308&gt;0,O309&gt;0)),"Choose option 1 or 2 or 3!!!","")</f>
        <v/>
      </c>
      <c r="L308" s="3396"/>
      <c r="M308" s="75">
        <v>4</v>
      </c>
      <c r="N308" s="527" t="s">
        <v>2002</v>
      </c>
      <c r="O308" s="635"/>
      <c r="P308" s="650"/>
      <c r="Q308" s="1264" t="str">
        <f>IF(OR($O308=$M308,$O308=0,$O308=""),"","*CHECK!*")</f>
        <v/>
      </c>
      <c r="R308" s="1469" t="s">
        <v>2724</v>
      </c>
    </row>
    <row r="309" spans="1:21" ht="10.5" customHeight="1">
      <c r="A309" s="719" t="s">
        <v>1365</v>
      </c>
      <c r="B309" s="721" t="s">
        <v>2004</v>
      </c>
      <c r="C309" s="718" t="s">
        <v>4098</v>
      </c>
      <c r="D309" s="34"/>
      <c r="E309" s="34"/>
      <c r="F309" s="34"/>
      <c r="G309" s="41"/>
      <c r="H309" s="1086"/>
      <c r="I309" s="41"/>
      <c r="K309" s="3396"/>
      <c r="L309" s="3396"/>
      <c r="M309" s="87">
        <v>3</v>
      </c>
      <c r="N309" s="1085" t="s">
        <v>2004</v>
      </c>
      <c r="O309" s="636"/>
      <c r="P309" s="651"/>
      <c r="Q309" s="1264" t="str">
        <f t="shared" ref="Q309:Q310" si="5">IF(OR($O309=$M309,$O309=0,$O309=""),"","*CHECK!*")</f>
        <v/>
      </c>
      <c r="R309" s="1469" t="s">
        <v>2724</v>
      </c>
    </row>
    <row r="310" spans="1:21" ht="10.5" customHeight="1">
      <c r="A310" s="719" t="s">
        <v>1365</v>
      </c>
      <c r="B310" s="721" t="s">
        <v>2551</v>
      </c>
      <c r="C310" s="532" t="s">
        <v>3640</v>
      </c>
      <c r="D310" s="34"/>
      <c r="E310" s="34"/>
      <c r="F310" s="34"/>
      <c r="G310" s="41"/>
      <c r="H310" s="62"/>
      <c r="I310" s="41"/>
      <c r="K310" s="3396"/>
      <c r="L310" s="3396"/>
      <c r="M310" s="87">
        <v>2</v>
      </c>
      <c r="N310" s="1085" t="s">
        <v>2551</v>
      </c>
      <c r="O310" s="637"/>
      <c r="P310" s="652"/>
      <c r="Q310" s="1264" t="str">
        <f t="shared" si="5"/>
        <v/>
      </c>
      <c r="R310" s="1469" t="s">
        <v>2724</v>
      </c>
    </row>
    <row r="311" spans="1:21" s="44" customFormat="1" ht="10.5" customHeight="1" thickBot="1">
      <c r="A311" s="43"/>
      <c r="B311" s="1675" t="s">
        <v>3786</v>
      </c>
      <c r="C311" s="43"/>
      <c r="D311" s="49"/>
      <c r="E311" s="49"/>
      <c r="F311" s="49"/>
      <c r="G311" s="49"/>
      <c r="H311" s="37"/>
      <c r="I311" s="37"/>
      <c r="J311" s="37"/>
      <c r="K311" s="37"/>
      <c r="M311" s="47"/>
      <c r="N311" s="63"/>
      <c r="O311" s="3"/>
      <c r="P311" s="1778"/>
    </row>
    <row r="312" spans="1:21" s="44" customFormat="1" ht="21.75" customHeight="1" thickTop="1" thickBot="1">
      <c r="A312" s="3379"/>
      <c r="B312" s="3380"/>
      <c r="C312" s="3380"/>
      <c r="D312" s="3380"/>
      <c r="E312" s="3380"/>
      <c r="F312" s="3380"/>
      <c r="G312" s="3380"/>
      <c r="H312" s="3380"/>
      <c r="I312" s="3380"/>
      <c r="J312" s="3380"/>
      <c r="K312" s="3380"/>
      <c r="L312" s="3380"/>
      <c r="M312" s="3380"/>
      <c r="N312" s="3380"/>
      <c r="O312" s="3380"/>
      <c r="P312" s="3381"/>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252"/>
      <c r="B314" s="3253"/>
      <c r="C314" s="3253"/>
      <c r="D314" s="3253"/>
      <c r="E314" s="3253"/>
      <c r="F314" s="3253"/>
      <c r="G314" s="3253"/>
      <c r="H314" s="3253"/>
      <c r="I314" s="3253"/>
      <c r="J314" s="3253"/>
      <c r="K314" s="3253"/>
      <c r="L314" s="3253"/>
      <c r="M314" s="3253"/>
      <c r="N314" s="3253"/>
      <c r="O314" s="3253"/>
      <c r="P314" s="3254"/>
      <c r="Q314" s="538"/>
    </row>
    <row r="315" spans="1:21" ht="1.5" customHeight="1" thickBot="1">
      <c r="B315" s="127"/>
      <c r="C315" s="127"/>
      <c r="D315" s="127"/>
      <c r="E315" s="127"/>
      <c r="T315" s="1418"/>
      <c r="U315" s="1418"/>
    </row>
    <row r="316" spans="1:21" s="44" customFormat="1" ht="12" customHeight="1" thickBot="1">
      <c r="A316" s="166" t="s">
        <v>1739</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4100</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252"/>
      <c r="B322" s="3253"/>
      <c r="C322" s="3253"/>
      <c r="D322" s="3253"/>
      <c r="E322" s="3253"/>
      <c r="F322" s="3253"/>
      <c r="G322" s="3253"/>
      <c r="H322" s="3253"/>
      <c r="I322" s="3253"/>
      <c r="J322" s="3253"/>
      <c r="K322" s="3253"/>
      <c r="L322" s="3253"/>
      <c r="M322" s="3253"/>
      <c r="N322" s="3253"/>
      <c r="O322" s="3253"/>
      <c r="P322" s="3254"/>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4101</v>
      </c>
      <c r="C324" s="95"/>
      <c r="D324" s="59"/>
      <c r="E324" s="53"/>
      <c r="G324" s="56"/>
      <c r="M324" s="1704">
        <v>2</v>
      </c>
      <c r="N324" s="6"/>
      <c r="O324" s="6"/>
      <c r="P324" s="1562">
        <f>P325+P330</f>
        <v>0</v>
      </c>
      <c r="Q324" s="118" t="s">
        <v>443</v>
      </c>
    </row>
    <row r="325" spans="1:18" s="44" customFormat="1" ht="12" customHeight="1">
      <c r="A325" s="150" t="s">
        <v>2001</v>
      </c>
      <c r="B325" s="196" t="s">
        <v>4102</v>
      </c>
      <c r="C325" s="95"/>
      <c r="D325" s="59"/>
      <c r="E325" s="53"/>
      <c r="G325" s="588">
        <f>'Part VIII-Threshold Criteria'!I357</f>
        <v>0</v>
      </c>
      <c r="J325" s="41" t="s">
        <v>2703</v>
      </c>
      <c r="L325" s="37"/>
      <c r="O325" s="560">
        <f>'Part I-Project Information'!$H$96</f>
        <v>0</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4121</v>
      </c>
      <c r="D327" s="34"/>
      <c r="N327" s="1085" t="s">
        <v>2004</v>
      </c>
      <c r="O327" s="445"/>
      <c r="P327" s="657"/>
      <c r="R327" s="457"/>
    </row>
    <row r="328" spans="1:18" s="111" customFormat="1" ht="10.5" customHeight="1">
      <c r="A328" s="150"/>
      <c r="B328" s="455" t="s">
        <v>2551</v>
      </c>
      <c r="C328" s="37" t="s">
        <v>4120</v>
      </c>
      <c r="D328" s="34"/>
      <c r="N328" s="1085" t="s">
        <v>2551</v>
      </c>
      <c r="O328" s="445"/>
      <c r="P328" s="657"/>
      <c r="R328" s="457"/>
    </row>
    <row r="329" spans="1:18" s="111" customFormat="1" ht="10.5" customHeight="1">
      <c r="A329" s="150"/>
      <c r="B329" s="455" t="s">
        <v>1236</v>
      </c>
      <c r="C329" s="37" t="s">
        <v>4122</v>
      </c>
      <c r="D329" s="34"/>
      <c r="N329" s="1085" t="s">
        <v>1236</v>
      </c>
      <c r="O329" s="252"/>
      <c r="P329" s="658"/>
      <c r="R329" s="457"/>
    </row>
    <row r="330" spans="1:18" s="44" customFormat="1" ht="12" customHeight="1">
      <c r="A330" s="150" t="s">
        <v>1999</v>
      </c>
      <c r="B330" s="196" t="s">
        <v>4103</v>
      </c>
      <c r="C330" s="95"/>
      <c r="D330" s="59"/>
      <c r="E330" s="53"/>
      <c r="G330" s="588">
        <f>'Part I-Project Information'!E158</f>
        <v>0</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4134</v>
      </c>
      <c r="D332" s="34"/>
      <c r="N332" s="1085" t="s">
        <v>2004</v>
      </c>
      <c r="O332" s="445"/>
      <c r="P332" s="657"/>
      <c r="R332" s="457"/>
    </row>
    <row r="333" spans="1:18" s="111" customFormat="1" ht="10.5" customHeight="1">
      <c r="A333" s="150"/>
      <c r="B333" s="455" t="s">
        <v>2551</v>
      </c>
      <c r="C333" s="37" t="s">
        <v>4122</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252"/>
      <c r="B335" s="3253"/>
      <c r="C335" s="3253"/>
      <c r="D335" s="3253"/>
      <c r="E335" s="3253"/>
      <c r="F335" s="3253"/>
      <c r="G335" s="3253"/>
      <c r="H335" s="3253"/>
      <c r="I335" s="3253"/>
      <c r="J335" s="3253"/>
      <c r="K335" s="3253"/>
      <c r="L335" s="3253"/>
      <c r="M335" s="3253"/>
      <c r="N335" s="3253"/>
      <c r="O335" s="3253"/>
      <c r="P335" s="3254"/>
      <c r="Q335" s="538"/>
    </row>
    <row r="336" spans="1:18" ht="2.25" customHeight="1" thickBot="1"/>
    <row r="337" spans="1:18" s="64" customFormat="1" ht="12.6" customHeight="1" thickBot="1">
      <c r="A337" s="165" t="s">
        <v>2267</v>
      </c>
      <c r="B337" s="114" t="s">
        <v>4104</v>
      </c>
      <c r="H337" s="37" t="s">
        <v>3602</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287" t="s">
        <v>4201</v>
      </c>
      <c r="B338" s="3287"/>
      <c r="C338" s="3287"/>
      <c r="D338" s="3287"/>
      <c r="E338" s="3287"/>
      <c r="F338" s="3287"/>
      <c r="G338" s="3287"/>
      <c r="H338" s="3287"/>
      <c r="I338" s="3556" t="s">
        <v>4202</v>
      </c>
      <c r="J338" s="3556"/>
      <c r="K338" s="3556"/>
      <c r="L338" s="3556"/>
      <c r="M338" s="3556"/>
      <c r="N338" s="3556"/>
      <c r="O338" s="3556"/>
      <c r="P338" s="3556"/>
      <c r="R338" s="457"/>
    </row>
    <row r="339" spans="1:18" s="64" customFormat="1" ht="12" customHeight="1">
      <c r="A339" s="3287"/>
      <c r="B339" s="3287"/>
      <c r="C339" s="3287"/>
      <c r="D339" s="3287"/>
      <c r="E339" s="3287"/>
      <c r="F339" s="3287"/>
      <c r="G339" s="3287"/>
      <c r="H339" s="3287"/>
      <c r="I339" s="3554">
        <v>1</v>
      </c>
      <c r="J339" s="3554"/>
      <c r="K339" s="3554"/>
      <c r="L339" s="3554">
        <v>3</v>
      </c>
      <c r="M339" s="3554"/>
      <c r="N339" s="3554"/>
      <c r="O339" s="3554"/>
      <c r="P339" s="3554"/>
      <c r="R339" s="457"/>
    </row>
    <row r="340" spans="1:18" s="64" customFormat="1" ht="12" customHeight="1">
      <c r="A340" s="3287"/>
      <c r="B340" s="3287"/>
      <c r="C340" s="3287"/>
      <c r="D340" s="3287"/>
      <c r="E340" s="3287"/>
      <c r="F340" s="3287"/>
      <c r="G340" s="3287"/>
      <c r="H340" s="3287"/>
      <c r="I340" s="3555">
        <v>2</v>
      </c>
      <c r="J340" s="3555"/>
      <c r="K340" s="3555"/>
      <c r="L340" s="3555">
        <v>4</v>
      </c>
      <c r="M340" s="3555"/>
      <c r="N340" s="3555"/>
      <c r="O340" s="3555"/>
      <c r="P340" s="3555"/>
      <c r="R340" s="457"/>
    </row>
    <row r="341" spans="1:18" s="111" customFormat="1" ht="10.5" customHeight="1" thickBot="1">
      <c r="A341" s="43"/>
      <c r="B341" s="1675" t="s">
        <v>3786</v>
      </c>
      <c r="C341" s="43"/>
      <c r="D341" s="49"/>
      <c r="E341" s="49"/>
      <c r="F341" s="49"/>
      <c r="G341" s="49"/>
      <c r="H341" s="37"/>
      <c r="I341" s="37"/>
      <c r="J341" s="37"/>
      <c r="K341" s="37"/>
      <c r="M341" s="47"/>
      <c r="N341" s="6"/>
      <c r="O341" s="3"/>
      <c r="P341" s="1704"/>
    </row>
    <row r="342" spans="1:18" s="44" customFormat="1" ht="21.75" customHeight="1" thickTop="1" thickBot="1">
      <c r="A342" s="3379"/>
      <c r="B342" s="3380"/>
      <c r="C342" s="3380"/>
      <c r="D342" s="3380"/>
      <c r="E342" s="3380"/>
      <c r="F342" s="3380"/>
      <c r="G342" s="3380"/>
      <c r="H342" s="3380"/>
      <c r="I342" s="3380"/>
      <c r="J342" s="3380"/>
      <c r="K342" s="3380"/>
      <c r="L342" s="3380"/>
      <c r="M342" s="3380"/>
      <c r="N342" s="3380"/>
      <c r="O342" s="3380"/>
      <c r="P342" s="3381"/>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252"/>
      <c r="B344" s="3253"/>
      <c r="C344" s="3253"/>
      <c r="D344" s="3253"/>
      <c r="E344" s="3253"/>
      <c r="F344" s="3253"/>
      <c r="G344" s="3253"/>
      <c r="H344" s="3253"/>
      <c r="I344" s="3253"/>
      <c r="J344" s="3253"/>
      <c r="K344" s="3253"/>
      <c r="L344" s="3253"/>
      <c r="M344" s="3253"/>
      <c r="N344" s="3253"/>
      <c r="O344" s="3253"/>
      <c r="P344" s="3254"/>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4157</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3643</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4108</v>
      </c>
      <c r="D348" s="111"/>
      <c r="E348" s="96"/>
      <c r="F348" s="53"/>
      <c r="G348" s="53"/>
      <c r="H348" s="3615" t="s">
        <v>2539</v>
      </c>
      <c r="I348" s="3584"/>
      <c r="J348" s="3584"/>
      <c r="K348" s="3616"/>
      <c r="N348" s="561" t="s">
        <v>1999</v>
      </c>
      <c r="O348" s="1638" t="s">
        <v>2527</v>
      </c>
      <c r="P348" s="1638" t="s">
        <v>2527</v>
      </c>
    </row>
    <row r="349" spans="1:18" s="128" customFormat="1" ht="10.5" customHeight="1">
      <c r="B349" s="527" t="s">
        <v>2002</v>
      </c>
      <c r="C349" s="525" t="s">
        <v>4105</v>
      </c>
      <c r="N349" s="527" t="s">
        <v>2002</v>
      </c>
      <c r="O349" s="251"/>
      <c r="P349" s="656"/>
    </row>
    <row r="350" spans="1:18" s="128" customFormat="1" ht="10.5" customHeight="1">
      <c r="B350" s="527" t="s">
        <v>2004</v>
      </c>
      <c r="C350" s="525" t="s">
        <v>4106</v>
      </c>
      <c r="N350" s="527" t="s">
        <v>2004</v>
      </c>
      <c r="O350" s="445"/>
      <c r="P350" s="657"/>
    </row>
    <row r="351" spans="1:18" s="128" customFormat="1" ht="10.5" customHeight="1">
      <c r="B351" s="527" t="s">
        <v>2551</v>
      </c>
      <c r="C351" s="525" t="s">
        <v>4107</v>
      </c>
      <c r="N351" s="527" t="s">
        <v>2551</v>
      </c>
      <c r="O351" s="252"/>
      <c r="P351" s="658"/>
    </row>
    <row r="352" spans="1:18" s="109" customFormat="1" ht="11.25" customHeight="1">
      <c r="B352" s="211" t="s">
        <v>3644</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2001</v>
      </c>
      <c r="B354" s="209" t="s">
        <v>2815</v>
      </c>
      <c r="D354" s="34"/>
      <c r="H354" s="3610" t="s">
        <v>3510</v>
      </c>
      <c r="I354" s="3610"/>
      <c r="J354" s="3610"/>
      <c r="K354" s="3610"/>
      <c r="L354" s="3610"/>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3646</v>
      </c>
      <c r="C356" s="1090" t="str">
        <f>'Part I-Project Information'!$F$38</f>
        <v>Newnan</v>
      </c>
      <c r="E356" s="146" t="s">
        <v>3509</v>
      </c>
      <c r="F356" s="1090" t="str">
        <f>'Part I-Project Information'!$J$39</f>
        <v>Coweta</v>
      </c>
      <c r="H356" s="525" t="s">
        <v>455</v>
      </c>
      <c r="I356" s="1040" t="str">
        <f>'Part I-Project Information'!$N$39</f>
        <v>Yes</v>
      </c>
      <c r="K356" s="525" t="s">
        <v>3645</v>
      </c>
      <c r="L356" s="3611" t="str">
        <f>'Part I-Project Information'!$O$38</f>
        <v>130771703.05</v>
      </c>
      <c r="M356" s="3611"/>
      <c r="N356" s="3611"/>
      <c r="O356" s="3611"/>
      <c r="P356" s="3611"/>
    </row>
    <row r="357" spans="1:19" s="111" customFormat="1" ht="10.5" customHeight="1" thickBot="1">
      <c r="A357" s="43"/>
      <c r="B357" s="1675" t="s">
        <v>3786</v>
      </c>
      <c r="C357" s="43"/>
      <c r="D357" s="49"/>
      <c r="E357" s="49"/>
      <c r="F357" s="49"/>
      <c r="G357" s="49"/>
      <c r="H357" s="37"/>
      <c r="I357" s="37"/>
      <c r="J357" s="37"/>
      <c r="K357" s="37"/>
      <c r="M357" s="47"/>
      <c r="N357" s="6"/>
      <c r="O357" s="3"/>
      <c r="P357" s="1704"/>
    </row>
    <row r="358" spans="1:19" s="44" customFormat="1" ht="21.75" customHeight="1" thickTop="1" thickBot="1">
      <c r="A358" s="3379"/>
      <c r="B358" s="3380"/>
      <c r="C358" s="3380"/>
      <c r="D358" s="3380"/>
      <c r="E358" s="3380"/>
      <c r="F358" s="3380"/>
      <c r="G358" s="3380"/>
      <c r="H358" s="3380"/>
      <c r="I358" s="3380"/>
      <c r="J358" s="3380"/>
      <c r="K358" s="3380"/>
      <c r="L358" s="3380"/>
      <c r="M358" s="3380"/>
      <c r="N358" s="3380"/>
      <c r="O358" s="3380"/>
      <c r="P358" s="3381"/>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252"/>
      <c r="B360" s="3253"/>
      <c r="C360" s="3253"/>
      <c r="D360" s="3253"/>
      <c r="E360" s="3253"/>
      <c r="F360" s="3253"/>
      <c r="G360" s="3253"/>
      <c r="H360" s="3253"/>
      <c r="I360" s="3253"/>
      <c r="J360" s="3253"/>
      <c r="K360" s="3253"/>
      <c r="L360" s="3253"/>
      <c r="M360" s="3253"/>
      <c r="N360" s="3253"/>
      <c r="O360" s="3253"/>
      <c r="P360" s="3254"/>
      <c r="Q360" s="538"/>
    </row>
    <row r="361" spans="1:19" ht="3" customHeight="1" thickBot="1"/>
    <row r="362" spans="1:19" s="44" customFormat="1" ht="12.75" customHeight="1" thickBot="1">
      <c r="A362" s="165" t="s">
        <v>4158</v>
      </c>
      <c r="B362" s="114" t="s">
        <v>4111</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612" t="str">
        <f>IF(OR(O364="No",O364="",O365="No",O365="",O366="No",O366="",O367="No",O367=""),"Unmet criterion results in no points!","")</f>
        <v>Unmet criterion results in no points!</v>
      </c>
      <c r="M364" s="3612"/>
      <c r="N364" s="456" t="s">
        <v>2451</v>
      </c>
      <c r="O364" s="251"/>
      <c r="P364" s="656"/>
      <c r="R364" s="3609" t="str">
        <f>IF(OR(P364="No",P364="",P365="No",P365="",P366="No",P366="",P367="No",P367=""),"Unmet criterion results in no points!","")</f>
        <v>Unmet criterion results in no points!</v>
      </c>
      <c r="S364" s="3609" t="e">
        <f>IF(OR(V364="No",V364="",V365="No",V365="",V366="No",V366="",V367="No",V367="",#REF!="No",#REF!="",#REF!="No",#REF!=""),"Unmet criterion results in no points!","")</f>
        <v>#REF!</v>
      </c>
    </row>
    <row r="365" spans="1:19" s="109" customFormat="1" ht="10.5" customHeight="1">
      <c r="B365" s="471" t="s">
        <v>2452</v>
      </c>
      <c r="C365" s="523" t="s">
        <v>3843</v>
      </c>
      <c r="L365" s="3612"/>
      <c r="M365" s="3612"/>
      <c r="N365" s="471" t="s">
        <v>2452</v>
      </c>
      <c r="O365" s="445"/>
      <c r="P365" s="657"/>
      <c r="R365" s="3609"/>
      <c r="S365" s="3609"/>
    </row>
    <row r="366" spans="1:19" s="109" customFormat="1" ht="10.5" customHeight="1">
      <c r="B366" s="456" t="s">
        <v>2453</v>
      </c>
      <c r="C366" s="523" t="s">
        <v>3842</v>
      </c>
      <c r="L366" s="3612"/>
      <c r="M366" s="3612"/>
      <c r="N366" s="456" t="s">
        <v>2453</v>
      </c>
      <c r="O366" s="445"/>
      <c r="P366" s="657"/>
      <c r="R366" s="3609"/>
      <c r="S366" s="3609"/>
    </row>
    <row r="367" spans="1:19" s="109" customFormat="1" ht="29.25" customHeight="1">
      <c r="B367" s="471" t="s">
        <v>2454</v>
      </c>
      <c r="C367" s="3535" t="s">
        <v>4112</v>
      </c>
      <c r="D367" s="3535"/>
      <c r="E367" s="3535"/>
      <c r="F367" s="3535"/>
      <c r="G367" s="3535"/>
      <c r="H367" s="3535"/>
      <c r="I367" s="3535"/>
      <c r="J367" s="3535"/>
      <c r="K367" s="3535"/>
      <c r="L367" s="3535"/>
      <c r="M367" s="3535"/>
      <c r="N367" s="471" t="s">
        <v>2454</v>
      </c>
      <c r="O367" s="1619"/>
      <c r="P367" s="1620"/>
    </row>
    <row r="368" spans="1:19" ht="3" customHeight="1">
      <c r="C368" s="3535"/>
      <c r="D368" s="3535"/>
      <c r="E368" s="3535"/>
      <c r="F368" s="3535"/>
      <c r="G368" s="3535"/>
      <c r="H368" s="3535"/>
      <c r="I368" s="3535"/>
      <c r="J368" s="3535"/>
      <c r="K368" s="3535"/>
      <c r="L368" s="3535"/>
      <c r="M368" s="3535"/>
    </row>
    <row r="369" spans="1:18" ht="11.25" customHeight="1">
      <c r="A369" s="1298" t="s">
        <v>1999</v>
      </c>
      <c r="B369" s="209" t="s">
        <v>4113</v>
      </c>
      <c r="L369" s="457" t="str">
        <f>IF(OR($O369=$M369,$O369=0,$O369=""),"","* * Check Score! * *")</f>
        <v/>
      </c>
      <c r="M369" s="1524">
        <v>3</v>
      </c>
      <c r="N369" s="561" t="s">
        <v>1999</v>
      </c>
      <c r="O369" s="731"/>
      <c r="P369" s="1043"/>
      <c r="Q369" s="1264" t="str">
        <f>IF(OR($O369=$M369,$O369=0,$O369=""),"","*CHECK!*")</f>
        <v/>
      </c>
      <c r="R369" s="1469" t="s">
        <v>2724</v>
      </c>
    </row>
    <row r="370" spans="1:18" ht="22.5" customHeight="1">
      <c r="A370" s="1298"/>
      <c r="B370" s="533" t="s">
        <v>2002</v>
      </c>
      <c r="C370" s="3397" t="s">
        <v>4114</v>
      </c>
      <c r="D370" s="3397"/>
      <c r="E370" s="3397"/>
      <c r="F370" s="3397"/>
      <c r="G370" s="3397"/>
      <c r="H370" s="3397"/>
      <c r="I370" s="3397"/>
      <c r="J370" s="3536" t="s">
        <v>2006</v>
      </c>
      <c r="K370" s="3536"/>
      <c r="M370" s="3536" t="s">
        <v>2006</v>
      </c>
      <c r="N370" s="3536"/>
      <c r="O370" s="3536"/>
      <c r="P370" s="3536"/>
    </row>
    <row r="371" spans="1:18" s="44" customFormat="1" ht="10.5" customHeight="1">
      <c r="A371" s="207"/>
      <c r="B371" s="456" t="s">
        <v>2451</v>
      </c>
      <c r="C371" s="37" t="s">
        <v>1494</v>
      </c>
      <c r="I371" s="456" t="s">
        <v>2451</v>
      </c>
      <c r="J371" s="3674"/>
      <c r="K371" s="3675"/>
      <c r="L371" s="456" t="s">
        <v>2451</v>
      </c>
      <c r="M371" s="3545"/>
      <c r="N371" s="3546"/>
      <c r="O371" s="3546"/>
      <c r="P371" s="3547"/>
      <c r="R371" s="457"/>
    </row>
    <row r="372" spans="1:18" ht="10.5" customHeight="1">
      <c r="A372" s="208"/>
      <c r="B372" s="471" t="s">
        <v>2452</v>
      </c>
      <c r="C372" s="37" t="s">
        <v>3650</v>
      </c>
      <c r="I372" s="471" t="s">
        <v>2452</v>
      </c>
      <c r="J372" s="3540"/>
      <c r="K372" s="3541"/>
      <c r="L372" s="471" t="s">
        <v>2452</v>
      </c>
      <c r="M372" s="3542"/>
      <c r="N372" s="3543"/>
      <c r="O372" s="3543"/>
      <c r="P372" s="3544"/>
      <c r="R372" s="457"/>
    </row>
    <row r="373" spans="1:18" ht="10.5" customHeight="1">
      <c r="B373" s="456" t="s">
        <v>2453</v>
      </c>
      <c r="C373" s="37" t="s">
        <v>2643</v>
      </c>
      <c r="I373" s="456" t="s">
        <v>2453</v>
      </c>
      <c r="J373" s="3540"/>
      <c r="K373" s="3541"/>
      <c r="L373" s="456" t="s">
        <v>2453</v>
      </c>
      <c r="M373" s="3542"/>
      <c r="N373" s="3543"/>
      <c r="O373" s="3543"/>
      <c r="P373" s="3544"/>
      <c r="R373" s="457"/>
    </row>
    <row r="374" spans="1:18" ht="10.5" customHeight="1">
      <c r="A374" s="208"/>
      <c r="B374" s="456" t="s">
        <v>2454</v>
      </c>
      <c r="C374" s="37" t="s">
        <v>3484</v>
      </c>
      <c r="I374" s="456" t="s">
        <v>2454</v>
      </c>
      <c r="J374" s="3540"/>
      <c r="K374" s="3541"/>
      <c r="L374" s="456" t="s">
        <v>2454</v>
      </c>
      <c r="M374" s="3542"/>
      <c r="N374" s="3543"/>
      <c r="O374" s="3543"/>
      <c r="P374" s="3544"/>
      <c r="R374" s="457"/>
    </row>
    <row r="375" spans="1:18" s="44" customFormat="1" ht="10.5" customHeight="1">
      <c r="A375" s="207"/>
      <c r="B375" s="471" t="s">
        <v>2455</v>
      </c>
      <c r="C375" s="37" t="s">
        <v>2749</v>
      </c>
      <c r="I375" s="471" t="s">
        <v>2455</v>
      </c>
      <c r="J375" s="3540"/>
      <c r="K375" s="3541"/>
      <c r="L375" s="471" t="s">
        <v>2455</v>
      </c>
      <c r="M375" s="3542"/>
      <c r="N375" s="3543"/>
      <c r="O375" s="3543"/>
      <c r="P375" s="3544"/>
      <c r="R375" s="457"/>
    </row>
    <row r="376" spans="1:18" ht="10.5" customHeight="1">
      <c r="B376" s="456" t="s">
        <v>2471</v>
      </c>
      <c r="C376" s="37" t="s">
        <v>1493</v>
      </c>
      <c r="I376" s="456" t="s">
        <v>2471</v>
      </c>
      <c r="J376" s="3540"/>
      <c r="K376" s="3541"/>
      <c r="L376" s="456" t="s">
        <v>2471</v>
      </c>
      <c r="M376" s="3542"/>
      <c r="N376" s="3543"/>
      <c r="O376" s="3543"/>
      <c r="P376" s="3544"/>
      <c r="R376" s="457"/>
    </row>
    <row r="377" spans="1:18" ht="10.5" customHeight="1">
      <c r="A377" s="208"/>
      <c r="B377" s="456" t="s">
        <v>2472</v>
      </c>
      <c r="C377" s="37" t="s">
        <v>3648</v>
      </c>
      <c r="I377" s="456" t="s">
        <v>2472</v>
      </c>
      <c r="J377" s="3540"/>
      <c r="K377" s="3541"/>
      <c r="L377" s="456" t="s">
        <v>2472</v>
      </c>
      <c r="M377" s="3542"/>
      <c r="N377" s="3543"/>
      <c r="O377" s="3543"/>
      <c r="P377" s="3544"/>
      <c r="R377" s="457"/>
    </row>
    <row r="378" spans="1:18" ht="10.5" customHeight="1">
      <c r="A378" s="208"/>
      <c r="B378" s="470" t="s">
        <v>2473</v>
      </c>
      <c r="C378" s="37" t="s">
        <v>4117</v>
      </c>
      <c r="I378" s="470" t="s">
        <v>2473</v>
      </c>
      <c r="J378" s="3540"/>
      <c r="K378" s="3541"/>
      <c r="L378" s="470" t="s">
        <v>2473</v>
      </c>
      <c r="M378" s="3542"/>
      <c r="N378" s="3543"/>
      <c r="O378" s="3543"/>
      <c r="P378" s="3544"/>
      <c r="R378" s="457"/>
    </row>
    <row r="379" spans="1:18" ht="10.5" customHeight="1">
      <c r="B379" s="470" t="s">
        <v>2474</v>
      </c>
      <c r="C379" s="37" t="s">
        <v>3649</v>
      </c>
      <c r="I379" s="470" t="s">
        <v>2474</v>
      </c>
      <c r="J379" s="3540"/>
      <c r="K379" s="3541"/>
      <c r="L379" s="470" t="s">
        <v>2474</v>
      </c>
      <c r="M379" s="3542"/>
      <c r="N379" s="3543"/>
      <c r="O379" s="3543"/>
      <c r="P379" s="3544"/>
      <c r="R379" s="457"/>
    </row>
    <row r="380" spans="1:18" ht="10.5" customHeight="1" thickBot="1">
      <c r="B380" s="470" t="s">
        <v>3651</v>
      </c>
      <c r="C380" s="37" t="s">
        <v>4195</v>
      </c>
      <c r="I380" s="470" t="s">
        <v>3651</v>
      </c>
      <c r="J380" s="3540"/>
      <c r="K380" s="3541"/>
      <c r="L380" s="470" t="s">
        <v>3651</v>
      </c>
      <c r="M380" s="3563"/>
      <c r="N380" s="3564"/>
      <c r="O380" s="3564"/>
      <c r="P380" s="3565"/>
      <c r="R380" s="457"/>
    </row>
    <row r="381" spans="1:18" ht="10.5" customHeight="1" thickBot="1">
      <c r="A381" s="208"/>
      <c r="B381" s="1636" t="s">
        <v>4118</v>
      </c>
      <c r="H381" s="1674" t="s">
        <v>2645</v>
      </c>
      <c r="J381" s="3566">
        <f>SUM(J371:K380)</f>
        <v>0</v>
      </c>
      <c r="K381" s="3567"/>
      <c r="M381" s="3566">
        <f>SUM($M371:$M380)</f>
        <v>0</v>
      </c>
      <c r="N381" s="3568"/>
      <c r="O381" s="3568"/>
      <c r="P381" s="3567"/>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628">
        <f>'Part IV-A-Uses of Funds'!$G$132</f>
        <v>20706223.689910028</v>
      </c>
      <c r="K383" s="3629"/>
      <c r="M383" s="610"/>
      <c r="N383" s="610"/>
      <c r="O383" s="171"/>
      <c r="P383" s="610"/>
    </row>
    <row r="384" spans="1:18" ht="10.5" customHeight="1">
      <c r="A384" s="3665" t="s">
        <v>4309</v>
      </c>
      <c r="B384" s="3665"/>
      <c r="C384" s="3665"/>
      <c r="D384" s="3665"/>
      <c r="E384" s="530" t="s">
        <v>2647</v>
      </c>
      <c r="H384" s="1555"/>
      <c r="I384" s="1517"/>
      <c r="J384" s="3558">
        <f>IF($J383=0,0,$J381/$J383)</f>
        <v>0</v>
      </c>
      <c r="K384" s="3559"/>
      <c r="M384" s="3560">
        <f>IF($J383=0,0,$M381/$J383)</f>
        <v>0</v>
      </c>
      <c r="N384" s="3561"/>
      <c r="O384" s="3561"/>
      <c r="P384" s="3562"/>
    </row>
    <row r="385" spans="1:23" s="44" customFormat="1" ht="10.5" customHeight="1">
      <c r="A385" s="3665"/>
      <c r="B385" s="3665"/>
      <c r="C385" s="3665"/>
      <c r="D385" s="3665"/>
      <c r="E385" s="1393" t="s">
        <v>4308</v>
      </c>
      <c r="H385" s="1556"/>
      <c r="I385" s="1517"/>
      <c r="J385" s="3537">
        <f>IF(L364="", IF($J384&gt;=0.1, 3,IF($J384&gt;=0.05, 2,IF($J384&gt;=0.02,1,0))),0)</f>
        <v>0</v>
      </c>
      <c r="K385" s="3539"/>
      <c r="L385" s="623"/>
      <c r="M385" s="3537">
        <f>IF(R364="", IF($M384&gt;=0.1, 3,IF($M384&gt;=0.05, 2,IF($M384&gt;=0.02,1,0))),0)</f>
        <v>0</v>
      </c>
      <c r="N385" s="3538"/>
      <c r="O385" s="3538"/>
      <c r="P385" s="3539"/>
    </row>
    <row r="386" spans="1:23" ht="3" customHeight="1" thickBot="1"/>
    <row r="387" spans="1:23" s="111" customFormat="1" ht="12.75" customHeight="1" thickBot="1">
      <c r="A387" s="150" t="s">
        <v>2001</v>
      </c>
      <c r="B387" s="211" t="s">
        <v>3652</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5" customHeight="1">
      <c r="A388" s="150"/>
      <c r="B388" s="1276" t="s">
        <v>2451</v>
      </c>
      <c r="C388" s="3287" t="s">
        <v>4115</v>
      </c>
      <c r="D388" s="3287"/>
      <c r="E388" s="3287"/>
      <c r="F388" s="3287"/>
      <c r="G388" s="3287"/>
      <c r="H388" s="3287"/>
      <c r="I388" s="3287"/>
      <c r="J388" s="3287"/>
      <c r="K388" s="3287"/>
      <c r="L388" s="3287"/>
      <c r="M388" s="3287"/>
      <c r="N388" s="471" t="s">
        <v>2451</v>
      </c>
      <c r="O388" s="1392"/>
      <c r="P388" s="1563"/>
      <c r="V388" s="1418"/>
      <c r="W388" s="1418"/>
    </row>
    <row r="389" spans="1:23" s="44" customFormat="1" ht="10.5" customHeight="1">
      <c r="A389" s="150"/>
      <c r="B389" s="456" t="s">
        <v>2452</v>
      </c>
      <c r="C389" s="53" t="s">
        <v>3835</v>
      </c>
      <c r="D389" s="53"/>
      <c r="E389" s="53"/>
      <c r="F389" s="53"/>
      <c r="G389" s="53"/>
      <c r="H389" s="53"/>
      <c r="I389" s="53"/>
      <c r="J389" s="53"/>
      <c r="K389" s="53"/>
      <c r="M389" s="53"/>
      <c r="N389" s="471" t="s">
        <v>2452</v>
      </c>
      <c r="O389" s="252"/>
      <c r="P389" s="658"/>
      <c r="V389" s="1418"/>
      <c r="W389" s="1418"/>
    </row>
    <row r="390" spans="1:23" ht="10.5" customHeight="1">
      <c r="B390" s="456" t="s">
        <v>2453</v>
      </c>
      <c r="C390" s="523" t="s">
        <v>4116</v>
      </c>
      <c r="N390" s="456" t="s">
        <v>2453</v>
      </c>
      <c r="O390" s="252"/>
      <c r="P390" s="658"/>
    </row>
    <row r="391" spans="1:23" ht="12" customHeight="1" thickBot="1">
      <c r="B391" s="1675" t="s">
        <v>3786</v>
      </c>
    </row>
    <row r="392" spans="1:23" s="44" customFormat="1" ht="21.75" customHeight="1" thickTop="1" thickBot="1">
      <c r="A392" s="3379"/>
      <c r="B392" s="3380"/>
      <c r="C392" s="3380"/>
      <c r="D392" s="3380"/>
      <c r="E392" s="3380"/>
      <c r="F392" s="3380"/>
      <c r="G392" s="3380"/>
      <c r="H392" s="3380"/>
      <c r="I392" s="3380"/>
      <c r="J392" s="3380"/>
      <c r="K392" s="3380"/>
      <c r="L392" s="3380"/>
      <c r="M392" s="3380"/>
      <c r="N392" s="3380"/>
      <c r="O392" s="3380"/>
      <c r="P392" s="3381"/>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252"/>
      <c r="B394" s="3253"/>
      <c r="C394" s="3253"/>
      <c r="D394" s="3253"/>
      <c r="E394" s="3253"/>
      <c r="F394" s="3253"/>
      <c r="G394" s="3253"/>
      <c r="H394" s="3253"/>
      <c r="I394" s="3253"/>
      <c r="J394" s="3253"/>
      <c r="K394" s="3253"/>
      <c r="L394" s="3253"/>
      <c r="M394" s="3253"/>
      <c r="N394" s="3253"/>
      <c r="O394" s="3253"/>
      <c r="P394" s="3254"/>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4156</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3678</v>
      </c>
      <c r="D397" s="34"/>
      <c r="E397" s="34"/>
      <c r="F397" s="34"/>
      <c r="J397" s="1679" t="s">
        <v>3846</v>
      </c>
      <c r="K397" s="1680"/>
      <c r="L397" s="1299">
        <f>'Part VI-Revenues &amp; Expenses'!$O$62*0.1</f>
        <v>9.6000000000000014</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360" t="s">
        <v>3845</v>
      </c>
      <c r="D398" s="3360"/>
      <c r="E398" s="3360"/>
      <c r="F398" s="3360"/>
      <c r="G398" s="3360"/>
      <c r="H398" s="3360"/>
      <c r="I398" s="3360"/>
      <c r="J398" s="1681" t="s">
        <v>3848</v>
      </c>
      <c r="K398" s="1677"/>
      <c r="L398" s="1301">
        <f>'Part VI-Revenues &amp; Expenses'!$O$58</f>
        <v>96</v>
      </c>
      <c r="M398" s="3621" t="str">
        <f>IF(L400&lt;L399,"Check 1BR LI count!","")</f>
        <v>Check 1BR LI count!</v>
      </c>
      <c r="N398" s="473" t="s">
        <v>2002</v>
      </c>
      <c r="O398" s="1592"/>
      <c r="P398" s="1593"/>
      <c r="Q398" s="627"/>
      <c r="R398" s="621"/>
    </row>
    <row r="399" spans="1:23" s="500" customFormat="1" ht="11.25" customHeight="1">
      <c r="A399" s="155"/>
      <c r="B399" s="533"/>
      <c r="C399" s="3360"/>
      <c r="D399" s="3360"/>
      <c r="E399" s="3360"/>
      <c r="F399" s="3360"/>
      <c r="G399" s="3360"/>
      <c r="H399" s="3360"/>
      <c r="I399" s="3360"/>
      <c r="J399" s="1681" t="s">
        <v>3849</v>
      </c>
      <c r="K399" s="1678"/>
      <c r="L399" s="1302">
        <f>L398*0.1</f>
        <v>9.6000000000000014</v>
      </c>
      <c r="M399" s="3621"/>
      <c r="N399" s="473"/>
      <c r="O399" s="473"/>
      <c r="P399" s="473"/>
      <c r="Q399" s="627"/>
      <c r="R399" s="621"/>
    </row>
    <row r="400" spans="1:23" s="500" customFormat="1" ht="11.25" customHeight="1">
      <c r="A400" s="155"/>
      <c r="B400" s="533"/>
      <c r="C400" s="3360"/>
      <c r="D400" s="3360"/>
      <c r="E400" s="3360"/>
      <c r="F400" s="3360"/>
      <c r="G400" s="3360"/>
      <c r="H400" s="3360"/>
      <c r="I400" s="3360"/>
      <c r="J400" s="1682" t="s">
        <v>3850</v>
      </c>
      <c r="K400" s="1683"/>
      <c r="L400" s="1303">
        <f>'Part VI-Revenues &amp; Expenses'!$K$58</f>
        <v>0</v>
      </c>
      <c r="M400" s="3621"/>
      <c r="N400" s="473"/>
      <c r="O400" s="473"/>
      <c r="P400" s="473"/>
      <c r="Q400" s="627"/>
      <c r="R400" s="621"/>
    </row>
    <row r="401" spans="1:18" s="528" customFormat="1" ht="11.25" customHeight="1">
      <c r="A401" s="647"/>
      <c r="B401" s="533" t="s">
        <v>2004</v>
      </c>
      <c r="C401" s="3620" t="s">
        <v>3416</v>
      </c>
      <c r="D401" s="3620"/>
      <c r="E401" s="3620"/>
      <c r="F401" s="3620"/>
      <c r="G401" s="3620"/>
      <c r="H401" s="3620"/>
      <c r="I401" s="3620"/>
      <c r="J401" s="3620"/>
      <c r="K401" s="3620"/>
      <c r="L401" s="3620"/>
      <c r="M401" s="3620"/>
      <c r="N401" s="473" t="s">
        <v>2004</v>
      </c>
      <c r="O401" s="251"/>
      <c r="P401" s="656"/>
    </row>
    <row r="402" spans="1:18" s="528" customFormat="1" ht="11.25" customHeight="1">
      <c r="A402" s="647"/>
      <c r="B402" s="533" t="s">
        <v>2551</v>
      </c>
      <c r="C402" s="474" t="s">
        <v>3847</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620" t="s">
        <v>3844</v>
      </c>
      <c r="D403" s="3620"/>
      <c r="E403" s="3620"/>
      <c r="F403" s="3620"/>
      <c r="G403" s="3620"/>
      <c r="H403" s="3620"/>
      <c r="I403" s="3620"/>
      <c r="J403" s="3620"/>
      <c r="K403" s="3620"/>
      <c r="L403" s="3620"/>
      <c r="M403" s="3620"/>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5" customHeight="1">
      <c r="A406" s="155"/>
      <c r="B406" s="533" t="s">
        <v>2002</v>
      </c>
      <c r="C406" s="3360" t="s">
        <v>3867</v>
      </c>
      <c r="D406" s="3360"/>
      <c r="E406" s="3360"/>
      <c r="F406" s="3360"/>
      <c r="G406" s="3360"/>
      <c r="H406" s="3360"/>
      <c r="I406" s="3360"/>
      <c r="J406" s="3360"/>
      <c r="K406" s="3360"/>
      <c r="L406" s="3360"/>
      <c r="M406" s="722"/>
      <c r="N406" s="473" t="s">
        <v>2002</v>
      </c>
      <c r="O406" s="1592"/>
      <c r="P406" s="1593"/>
      <c r="Q406" s="627"/>
      <c r="R406" s="621"/>
    </row>
    <row r="407" spans="1:18" s="500" customFormat="1" ht="11.25" customHeight="1">
      <c r="A407" s="155"/>
      <c r="B407" s="533"/>
      <c r="C407" s="575" t="s">
        <v>3683</v>
      </c>
      <c r="D407" s="1709"/>
      <c r="E407" s="1709"/>
      <c r="F407" s="1709"/>
      <c r="G407" s="3632"/>
      <c r="H407" s="3633"/>
      <c r="I407" s="3634"/>
      <c r="J407" s="1746" t="s">
        <v>3684</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3682</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3786</v>
      </c>
      <c r="C409" s="43"/>
      <c r="D409" s="49"/>
      <c r="E409" s="49"/>
      <c r="F409" s="49"/>
      <c r="G409" s="49"/>
      <c r="H409" s="37"/>
      <c r="I409" s="37"/>
      <c r="J409" s="37"/>
      <c r="K409" s="37"/>
      <c r="M409" s="47"/>
      <c r="N409" s="63"/>
      <c r="O409" s="3"/>
      <c r="P409" s="1707"/>
    </row>
    <row r="410" spans="1:18" s="44" customFormat="1" ht="21.75" customHeight="1" thickTop="1" thickBot="1">
      <c r="A410" s="3379"/>
      <c r="B410" s="3380"/>
      <c r="C410" s="3380"/>
      <c r="D410" s="3380"/>
      <c r="E410" s="3380"/>
      <c r="F410" s="3380"/>
      <c r="G410" s="3380"/>
      <c r="H410" s="3380"/>
      <c r="I410" s="3380"/>
      <c r="J410" s="3380"/>
      <c r="K410" s="3380"/>
      <c r="L410" s="3380"/>
      <c r="M410" s="3380"/>
      <c r="N410" s="3380"/>
      <c r="O410" s="3380"/>
      <c r="P410" s="3381"/>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252"/>
      <c r="B412" s="3253"/>
      <c r="C412" s="3253"/>
      <c r="D412" s="3253"/>
      <c r="E412" s="3253"/>
      <c r="F412" s="3253"/>
      <c r="G412" s="3253"/>
      <c r="H412" s="3253"/>
      <c r="I412" s="3253"/>
      <c r="J412" s="3253"/>
      <c r="K412" s="3253"/>
      <c r="L412" s="3253"/>
      <c r="M412" s="3253"/>
      <c r="N412" s="3253"/>
      <c r="O412" s="3253"/>
      <c r="P412" s="3254"/>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4159</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615" t="s">
        <v>2923</v>
      </c>
      <c r="E416" s="3584"/>
      <c r="F416" s="3584"/>
      <c r="G416" s="3584"/>
      <c r="H416" s="3584"/>
      <c r="I416" s="3616"/>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3704</v>
      </c>
      <c r="C418" s="474"/>
      <c r="D418" s="474"/>
      <c r="E418" s="474"/>
      <c r="F418" s="474"/>
      <c r="G418" s="474"/>
      <c r="H418" s="474"/>
      <c r="I418" s="474"/>
      <c r="M418" s="501">
        <v>1</v>
      </c>
      <c r="N418" s="174" t="s">
        <v>1999</v>
      </c>
      <c r="O418" s="731"/>
      <c r="P418" s="2506"/>
      <c r="Q418" s="1264" t="str">
        <f>IF(OR($O418=$M418,$O418=0,$O418=""),"","*CHECK!*")</f>
        <v/>
      </c>
      <c r="R418" s="1469" t="s">
        <v>2724</v>
      </c>
    </row>
    <row r="419" spans="1:19" s="500" customFormat="1" ht="12" customHeight="1">
      <c r="A419" s="499"/>
      <c r="B419" s="3626" t="s">
        <v>4255</v>
      </c>
      <c r="C419" s="3626"/>
      <c r="D419" s="3626"/>
      <c r="E419" s="3626"/>
      <c r="F419" s="3626"/>
      <c r="G419" s="3626"/>
      <c r="H419" s="3626"/>
      <c r="I419" s="3626"/>
      <c r="J419" s="3626"/>
      <c r="K419" s="3626"/>
      <c r="L419" s="3626"/>
      <c r="M419" s="3360" t="s">
        <v>4257</v>
      </c>
      <c r="N419" s="3360"/>
      <c r="Q419" s="204"/>
    </row>
    <row r="420" spans="1:19" s="500" customFormat="1" ht="12" customHeight="1">
      <c r="B420" s="3626"/>
      <c r="C420" s="3626"/>
      <c r="D420" s="3626"/>
      <c r="E420" s="3626"/>
      <c r="F420" s="3626"/>
      <c r="G420" s="3626"/>
      <c r="H420" s="3626"/>
      <c r="I420" s="3626"/>
      <c r="J420" s="3626"/>
      <c r="K420" s="3626"/>
      <c r="L420" s="3626"/>
      <c r="M420" s="3360"/>
      <c r="N420" s="3360"/>
      <c r="O420" s="3630">
        <f>'Part VI-Revenues &amp; Expenses'!$O$82</f>
        <v>0</v>
      </c>
      <c r="P420" s="3631"/>
      <c r="Q420" s="204"/>
    </row>
    <row r="421" spans="1:19" s="500" customFormat="1" ht="12" customHeight="1">
      <c r="B421" s="3626"/>
      <c r="C421" s="3626"/>
      <c r="D421" s="3626"/>
      <c r="E421" s="3626"/>
      <c r="F421" s="3626"/>
      <c r="G421" s="3626"/>
      <c r="H421" s="3626"/>
      <c r="I421" s="3626"/>
      <c r="J421" s="3626"/>
      <c r="K421" s="3626"/>
      <c r="L421" s="3626"/>
      <c r="M421" s="41" t="s">
        <v>2848</v>
      </c>
      <c r="N421" s="501"/>
      <c r="O421" s="3630">
        <f>'Part VI-Revenues &amp; Expenses'!$O$62</f>
        <v>96</v>
      </c>
      <c r="P421" s="3631"/>
      <c r="Q421" s="204"/>
    </row>
    <row r="422" spans="1:19" s="500" customFormat="1" ht="12" customHeight="1">
      <c r="B422" s="3627"/>
      <c r="C422" s="3627"/>
      <c r="D422" s="3627"/>
      <c r="E422" s="3627"/>
      <c r="F422" s="3627"/>
      <c r="G422" s="3627"/>
      <c r="H422" s="3627"/>
      <c r="I422" s="3627"/>
      <c r="J422" s="3627"/>
      <c r="K422" s="3627"/>
      <c r="L422" s="3627"/>
      <c r="M422" s="645" t="s">
        <v>2849</v>
      </c>
      <c r="N422" s="501"/>
      <c r="O422" s="3622">
        <f>IF(O421=0,0,O420/O421)</f>
        <v>0</v>
      </c>
      <c r="P422" s="3623"/>
      <c r="Q422" s="204"/>
    </row>
    <row r="423" spans="1:19" s="44" customFormat="1" ht="66.75" customHeight="1">
      <c r="A423" s="647"/>
      <c r="B423" s="3617" t="s">
        <v>4262</v>
      </c>
      <c r="C423" s="3618"/>
      <c r="D423" s="3618"/>
      <c r="E423" s="3618"/>
      <c r="F423" s="3618"/>
      <c r="G423" s="3618"/>
      <c r="H423" s="3618"/>
      <c r="I423" s="3618"/>
      <c r="J423" s="3618"/>
      <c r="K423" s="3618"/>
      <c r="L423" s="3618"/>
      <c r="M423" s="3618"/>
      <c r="N423" s="3618"/>
      <c r="O423" s="3618"/>
      <c r="P423" s="3619"/>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4261</v>
      </c>
      <c r="B425" s="1148" t="s">
        <v>3379</v>
      </c>
      <c r="C425" s="151"/>
      <c r="D425" s="1057"/>
      <c r="H425" s="474"/>
      <c r="M425" s="501">
        <v>1</v>
      </c>
      <c r="N425" s="174" t="s">
        <v>2001</v>
      </c>
      <c r="O425" s="731"/>
      <c r="P425" s="2506"/>
      <c r="Q425" s="1264" t="str">
        <f>IF(OR($O425=$M425,$O425=0,$O425=""),"","*CHECK!*")</f>
        <v/>
      </c>
      <c r="R425" s="1469" t="s">
        <v>2724</v>
      </c>
    </row>
    <row r="426" spans="1:19" s="500" customFormat="1" ht="11.25" customHeight="1">
      <c r="A426" s="648"/>
      <c r="B426" s="3287" t="s">
        <v>4256</v>
      </c>
      <c r="C426" s="3287"/>
      <c r="D426" s="3287"/>
      <c r="E426" s="3287"/>
      <c r="F426" s="3287"/>
      <c r="G426" s="3287"/>
      <c r="H426" s="3287"/>
      <c r="I426" s="3287"/>
      <c r="J426" s="3287"/>
      <c r="K426" s="3287"/>
      <c r="L426" s="3287"/>
      <c r="M426" s="575" t="s">
        <v>2848</v>
      </c>
      <c r="N426" s="501"/>
      <c r="O426" s="3624">
        <f>'Part VI-Revenues &amp; Expenses'!$O$62</f>
        <v>96</v>
      </c>
      <c r="P426" s="3625"/>
      <c r="Q426" s="204"/>
    </row>
    <row r="427" spans="1:19" s="500" customFormat="1" ht="11.25" customHeight="1">
      <c r="A427" s="648"/>
      <c r="B427" s="3287"/>
      <c r="C427" s="3287"/>
      <c r="D427" s="3287"/>
      <c r="E427" s="3287"/>
      <c r="F427" s="3287"/>
      <c r="G427" s="3287"/>
      <c r="H427" s="3287"/>
      <c r="I427" s="3287"/>
      <c r="J427" s="3287"/>
      <c r="K427" s="3287"/>
      <c r="L427" s="3287"/>
      <c r="M427" s="645" t="s">
        <v>2849</v>
      </c>
      <c r="N427" s="501"/>
      <c r="O427" s="3622">
        <f>IF(O426=0,0,L414/O426)</f>
        <v>0</v>
      </c>
      <c r="P427" s="3623"/>
      <c r="Q427" s="204"/>
    </row>
    <row r="428" spans="1:19" s="44" customFormat="1" ht="11.25" customHeight="1" thickBot="1">
      <c r="A428" s="43"/>
      <c r="B428" s="1675" t="s">
        <v>3786</v>
      </c>
      <c r="C428" s="43"/>
      <c r="D428" s="49"/>
      <c r="E428" s="49"/>
      <c r="F428" s="49"/>
      <c r="G428" s="49"/>
      <c r="H428" s="37"/>
      <c r="I428" s="37"/>
      <c r="J428" s="37"/>
      <c r="K428" s="37"/>
      <c r="M428" s="47"/>
      <c r="N428" s="63"/>
      <c r="O428" s="3"/>
      <c r="P428" s="1707"/>
    </row>
    <row r="429" spans="1:19" s="44" customFormat="1" ht="21.75" customHeight="1" thickTop="1" thickBot="1">
      <c r="A429" s="3379"/>
      <c r="B429" s="3380"/>
      <c r="C429" s="3380"/>
      <c r="D429" s="3380"/>
      <c r="E429" s="3380"/>
      <c r="F429" s="3380"/>
      <c r="G429" s="3380"/>
      <c r="H429" s="3380"/>
      <c r="I429" s="3380"/>
      <c r="J429" s="3380"/>
      <c r="K429" s="3380"/>
      <c r="L429" s="3380"/>
      <c r="M429" s="3380"/>
      <c r="N429" s="3380"/>
      <c r="O429" s="3380"/>
      <c r="P429" s="3381"/>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252"/>
      <c r="B431" s="3253"/>
      <c r="C431" s="3253"/>
      <c r="D431" s="3253"/>
      <c r="E431" s="3253"/>
      <c r="F431" s="3253"/>
      <c r="G431" s="3253"/>
      <c r="H431" s="3253"/>
      <c r="I431" s="3253"/>
      <c r="J431" s="3253"/>
      <c r="K431" s="3253"/>
      <c r="L431" s="3253"/>
      <c r="M431" s="3253"/>
      <c r="N431" s="3253"/>
      <c r="O431" s="3253"/>
      <c r="P431" s="3254"/>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4160</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3686</v>
      </c>
      <c r="D435" s="46"/>
      <c r="E435" s="46"/>
      <c r="F435" s="40"/>
      <c r="G435" s="37"/>
      <c r="I435" s="37"/>
      <c r="J435" s="37"/>
      <c r="K435" s="37"/>
      <c r="L435" s="457"/>
      <c r="M435" s="1704"/>
      <c r="N435" s="6"/>
      <c r="O435" s="1578">
        <v>10</v>
      </c>
      <c r="P435" s="1578">
        <v>10</v>
      </c>
      <c r="Q435" s="118"/>
    </row>
    <row r="436" spans="1:18" s="111" customFormat="1" ht="10.5" customHeight="1">
      <c r="A436" s="166"/>
      <c r="B436" s="94" t="s">
        <v>3687</v>
      </c>
      <c r="D436" s="46"/>
      <c r="E436" s="46"/>
      <c r="F436" s="40"/>
      <c r="G436" s="37"/>
      <c r="I436" s="37"/>
      <c r="J436" s="37"/>
      <c r="K436" s="37"/>
      <c r="L436" s="457"/>
      <c r="M436" s="1704"/>
      <c r="N436" s="6"/>
      <c r="O436" s="1577"/>
      <c r="P436" s="1569"/>
      <c r="Q436" s="118"/>
    </row>
    <row r="437" spans="1:18" s="111" customFormat="1" ht="10.5" customHeight="1">
      <c r="A437" s="166"/>
      <c r="B437" s="94" t="s">
        <v>3688</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252"/>
      <c r="B439" s="3253"/>
      <c r="C439" s="3253"/>
      <c r="D439" s="3253"/>
      <c r="E439" s="3253"/>
      <c r="F439" s="3253"/>
      <c r="G439" s="3253"/>
      <c r="H439" s="3253"/>
      <c r="I439" s="3253"/>
      <c r="J439" s="3253"/>
      <c r="K439" s="3253"/>
      <c r="L439" s="3253"/>
      <c r="M439" s="3253"/>
      <c r="N439" s="3253"/>
      <c r="O439" s="3253"/>
      <c r="P439" s="3254"/>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4250</v>
      </c>
      <c r="J442" s="71"/>
      <c r="K442" s="71"/>
      <c r="L442" s="44"/>
      <c r="M442" s="36"/>
      <c r="N442" s="1704"/>
      <c r="O442" s="1704"/>
      <c r="P442" s="559">
        <f>P228</f>
        <v>0</v>
      </c>
    </row>
    <row r="443" spans="1:18" s="43" customFormat="1" ht="11.25" customHeight="1">
      <c r="A443" s="55"/>
      <c r="B443" s="70"/>
      <c r="C443" s="55"/>
      <c r="D443" s="36"/>
      <c r="E443" s="36"/>
      <c r="F443" s="72"/>
      <c r="G443" s="72"/>
      <c r="H443" s="196" t="s">
        <v>4251</v>
      </c>
      <c r="J443" s="71"/>
      <c r="K443" s="71"/>
      <c r="L443" s="44"/>
      <c r="M443" s="36"/>
      <c r="N443" s="1704"/>
      <c r="O443" s="559"/>
      <c r="P443" s="559">
        <f>P324</f>
        <v>0</v>
      </c>
    </row>
    <row r="444" spans="1:18" s="44" customFormat="1" ht="11.25" customHeight="1">
      <c r="A444" s="43"/>
      <c r="D444" s="40"/>
      <c r="E444" s="37"/>
      <c r="F444" s="1078"/>
      <c r="H444" s="196" t="s">
        <v>4259</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25" t="s">
        <v>3718</v>
      </c>
      <c r="B446" s="3525"/>
      <c r="C446" s="3525"/>
      <c r="D446" s="3525"/>
      <c r="E446" s="3525"/>
      <c r="F446" s="3525"/>
      <c r="G446" s="3525"/>
      <c r="H446" s="3525"/>
      <c r="I446" s="3525"/>
      <c r="J446" s="3525"/>
      <c r="K446" s="3525"/>
      <c r="L446" s="3525"/>
      <c r="M446" s="3525"/>
      <c r="N446" s="3525"/>
      <c r="O446" s="3525"/>
      <c r="P446" s="3525"/>
    </row>
    <row r="447" spans="1:18" s="44" customFormat="1" ht="349.5" customHeight="1">
      <c r="A447" s="3193"/>
      <c r="B447" s="3194"/>
      <c r="C447" s="3194"/>
      <c r="D447" s="3194"/>
      <c r="E447" s="3194"/>
      <c r="F447" s="3194"/>
      <c r="G447" s="3194"/>
      <c r="H447" s="3194"/>
      <c r="I447" s="3194"/>
      <c r="J447" s="3194"/>
      <c r="K447" s="3194"/>
      <c r="L447" s="3194"/>
      <c r="M447" s="3194"/>
      <c r="N447" s="3194"/>
      <c r="O447" s="3194"/>
      <c r="P447" s="3195"/>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2105</v>
      </c>
      <c r="D453" s="546"/>
      <c r="E453" s="546"/>
      <c r="F453" s="546"/>
      <c r="G453" s="546"/>
      <c r="H453" s="546"/>
      <c r="I453" s="546"/>
      <c r="J453" s="546" t="s">
        <v>1784</v>
      </c>
      <c r="K453" s="546"/>
      <c r="L453" s="546"/>
      <c r="M453" s="546"/>
      <c r="N453" s="547"/>
      <c r="O453" s="1661"/>
      <c r="P453" s="1661"/>
      <c r="Q453" s="1515"/>
    </row>
    <row r="454" spans="3:19" s="582" customFormat="1">
      <c r="C454" s="546" t="s">
        <v>2561</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1664</v>
      </c>
      <c r="K455" s="546"/>
      <c r="L455" s="546"/>
      <c r="M455" s="546"/>
      <c r="N455" s="547"/>
      <c r="O455" s="1661"/>
      <c r="P455" s="1661"/>
      <c r="Q455" s="1515"/>
    </row>
    <row r="456" spans="3:19" s="582" customFormat="1">
      <c r="C456" s="546" t="s">
        <v>2107</v>
      </c>
      <c r="D456" s="546"/>
      <c r="E456" s="546"/>
      <c r="F456" s="546"/>
      <c r="G456" s="546"/>
      <c r="H456" s="546"/>
      <c r="I456" s="546"/>
      <c r="J456" s="1662" t="s">
        <v>1665</v>
      </c>
      <c r="K456" s="546"/>
      <c r="L456" s="546"/>
      <c r="M456" s="546"/>
      <c r="N456" s="547"/>
      <c r="O456" s="1661"/>
      <c r="P456" s="1661"/>
      <c r="Q456" s="1515"/>
    </row>
    <row r="457" spans="3:19" s="582" customFormat="1">
      <c r="C457" s="1663" t="s">
        <v>2108</v>
      </c>
      <c r="D457" s="546"/>
      <c r="E457" s="546"/>
      <c r="F457" s="546"/>
      <c r="G457" s="546"/>
      <c r="H457" s="546"/>
      <c r="I457" s="546"/>
      <c r="J457" s="1662" t="s">
        <v>2521</v>
      </c>
      <c r="K457" s="546"/>
      <c r="L457" s="546"/>
      <c r="M457" s="546"/>
      <c r="N457" s="547"/>
      <c r="O457" s="1661"/>
      <c r="P457" s="1661"/>
      <c r="Q457" s="1515"/>
    </row>
    <row r="458" spans="3:19" s="582" customFormat="1">
      <c r="C458" s="1663" t="s">
        <v>2109</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2149</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2144</v>
      </c>
      <c r="D466" s="546"/>
      <c r="E466" s="546"/>
      <c r="F466" s="546"/>
      <c r="G466" s="546"/>
      <c r="H466" s="546"/>
      <c r="I466" s="546"/>
      <c r="J466" s="1662" t="s">
        <v>1673</v>
      </c>
      <c r="K466" s="546"/>
      <c r="L466" s="546"/>
      <c r="M466" s="546"/>
      <c r="N466" s="547"/>
      <c r="O466" s="1661"/>
      <c r="P466" s="1661"/>
      <c r="Q466" s="1515"/>
    </row>
    <row r="467" spans="3:17" s="582" customFormat="1">
      <c r="C467" s="1516" t="s">
        <v>2145</v>
      </c>
      <c r="D467" s="546"/>
      <c r="E467" s="546"/>
      <c r="F467" s="546"/>
      <c r="G467" s="546"/>
      <c r="H467" s="546"/>
      <c r="I467" s="546"/>
      <c r="J467" s="1662" t="s">
        <v>1674</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3437</v>
      </c>
      <c r="K470" s="546"/>
      <c r="L470" s="546"/>
      <c r="M470" s="546"/>
      <c r="N470" s="547"/>
      <c r="O470" s="1665" t="s">
        <v>3800</v>
      </c>
      <c r="P470" s="1661"/>
      <c r="Q470" s="1515"/>
    </row>
    <row r="471" spans="3:17" s="582" customFormat="1">
      <c r="C471" s="1516" t="s">
        <v>1401</v>
      </c>
      <c r="D471" s="546"/>
      <c r="E471" s="546"/>
      <c r="F471" s="546"/>
      <c r="G471" s="546"/>
      <c r="H471" s="546"/>
      <c r="I471" s="546"/>
      <c r="J471" s="1662" t="s">
        <v>3438</v>
      </c>
      <c r="K471" s="546"/>
      <c r="L471" s="546"/>
      <c r="M471" s="546"/>
      <c r="N471" s="547"/>
      <c r="O471" s="1661"/>
      <c r="P471" s="1661"/>
      <c r="Q471" s="1515"/>
    </row>
    <row r="472" spans="3:17" s="582" customFormat="1">
      <c r="C472" s="1516" t="s">
        <v>2298</v>
      </c>
      <c r="D472" s="546"/>
      <c r="E472" s="546"/>
      <c r="F472" s="546"/>
      <c r="G472" s="546"/>
      <c r="H472" s="546"/>
      <c r="I472" s="546"/>
      <c r="J472" s="546" t="s">
        <v>3422</v>
      </c>
      <c r="K472" s="546"/>
      <c r="L472" s="546"/>
      <c r="M472" s="546"/>
      <c r="N472" s="547"/>
      <c r="O472" s="1661">
        <v>2</v>
      </c>
      <c r="P472" s="1661"/>
      <c r="Q472" s="1515"/>
    </row>
    <row r="473" spans="3:17" s="582" customFormat="1">
      <c r="C473" s="546"/>
      <c r="D473" s="546"/>
      <c r="E473" s="546"/>
      <c r="F473" s="546"/>
      <c r="G473" s="546"/>
      <c r="H473" s="546"/>
      <c r="I473" s="546"/>
      <c r="J473" s="546" t="s">
        <v>3423</v>
      </c>
      <c r="K473" s="546"/>
      <c r="L473" s="546"/>
      <c r="M473" s="546"/>
      <c r="N473" s="547"/>
      <c r="O473" s="1661">
        <v>2</v>
      </c>
      <c r="P473" s="1661"/>
      <c r="Q473" s="1515"/>
    </row>
    <row r="474" spans="3:17" s="582" customFormat="1">
      <c r="C474" s="546"/>
      <c r="D474" s="546"/>
      <c r="E474" s="546"/>
      <c r="F474" s="546"/>
      <c r="G474" s="546"/>
      <c r="H474" s="546"/>
      <c r="I474" s="546"/>
      <c r="J474" s="546" t="s">
        <v>3424</v>
      </c>
      <c r="K474" s="546"/>
      <c r="L474" s="546"/>
      <c r="M474" s="546"/>
      <c r="N474" s="547"/>
      <c r="O474" s="1661">
        <v>2</v>
      </c>
      <c r="P474" s="1661"/>
      <c r="Q474" s="1515"/>
    </row>
    <row r="475" spans="3:17" s="582" customFormat="1">
      <c r="C475" s="546" t="s">
        <v>2804</v>
      </c>
      <c r="D475" s="546"/>
      <c r="E475" s="546"/>
      <c r="F475" s="546"/>
      <c r="G475" s="1666" t="s">
        <v>1515</v>
      </c>
      <c r="H475" s="1667"/>
      <c r="I475" s="1666"/>
      <c r="J475" s="546" t="s">
        <v>3425</v>
      </c>
      <c r="K475" s="546"/>
      <c r="L475" s="1666"/>
      <c r="M475" s="546"/>
      <c r="N475" s="547"/>
      <c r="O475" s="1661">
        <v>2</v>
      </c>
      <c r="P475" s="1661"/>
      <c r="Q475" s="1515"/>
    </row>
    <row r="476" spans="3:17" s="582" customFormat="1">
      <c r="C476" s="1668" t="s">
        <v>2806</v>
      </c>
      <c r="D476" s="546"/>
      <c r="E476" s="546"/>
      <c r="F476" s="546"/>
      <c r="G476" s="1669" t="s">
        <v>2539</v>
      </c>
      <c r="H476" s="1667"/>
      <c r="I476" s="1669"/>
      <c r="J476" s="546" t="s">
        <v>3798</v>
      </c>
      <c r="K476" s="546"/>
      <c r="L476" s="1669"/>
      <c r="M476" s="546"/>
      <c r="N476" s="547"/>
      <c r="O476" s="1661">
        <v>2</v>
      </c>
      <c r="P476" s="1661"/>
      <c r="Q476" s="1515"/>
    </row>
    <row r="477" spans="3:17" s="582" customFormat="1">
      <c r="C477" s="1668" t="s">
        <v>2807</v>
      </c>
      <c r="D477" s="546"/>
      <c r="E477" s="546"/>
      <c r="F477" s="546"/>
      <c r="G477" s="1669" t="s">
        <v>1795</v>
      </c>
      <c r="H477" s="1667"/>
      <c r="I477" s="1670"/>
      <c r="J477" s="1667" t="s">
        <v>3426</v>
      </c>
      <c r="K477" s="546"/>
      <c r="L477" s="1670"/>
      <c r="M477" s="546"/>
      <c r="N477" s="547"/>
      <c r="O477" s="1661">
        <v>1</v>
      </c>
      <c r="P477" s="1661"/>
      <c r="Q477" s="1515"/>
    </row>
    <row r="478" spans="3:17" s="582" customFormat="1">
      <c r="C478" s="1668" t="s">
        <v>2808</v>
      </c>
      <c r="D478" s="546"/>
      <c r="E478" s="546"/>
      <c r="F478" s="546"/>
      <c r="G478" s="1669" t="s">
        <v>1649</v>
      </c>
      <c r="H478" s="1667"/>
      <c r="I478" s="1670"/>
      <c r="J478" s="1667" t="s">
        <v>3427</v>
      </c>
      <c r="K478" s="546"/>
      <c r="L478" s="1670"/>
      <c r="M478" s="546"/>
      <c r="N478" s="547"/>
      <c r="O478" s="1661">
        <v>1</v>
      </c>
      <c r="P478" s="1661"/>
      <c r="Q478" s="1515"/>
    </row>
    <row r="479" spans="3:17" s="582" customFormat="1">
      <c r="C479" s="1668" t="s">
        <v>2809</v>
      </c>
      <c r="D479" s="546"/>
      <c r="E479" s="546"/>
      <c r="F479" s="546"/>
      <c r="G479" s="1669" t="s">
        <v>1046</v>
      </c>
      <c r="H479" s="1667"/>
      <c r="I479" s="1670"/>
      <c r="J479" s="1667" t="s">
        <v>3428</v>
      </c>
      <c r="K479" s="546"/>
      <c r="L479" s="1670"/>
      <c r="M479" s="546"/>
      <c r="N479" s="547"/>
      <c r="O479" s="1661">
        <v>1</v>
      </c>
      <c r="P479" s="1661"/>
      <c r="Q479" s="1515"/>
    </row>
    <row r="480" spans="3:17" s="582" customFormat="1">
      <c r="C480" s="1668" t="s">
        <v>2810</v>
      </c>
      <c r="D480" s="546"/>
      <c r="E480" s="546"/>
      <c r="F480" s="546"/>
      <c r="G480" s="1669" t="s">
        <v>2087</v>
      </c>
      <c r="H480" s="1667"/>
      <c r="I480" s="1670"/>
      <c r="J480" s="1667" t="s">
        <v>3799</v>
      </c>
      <c r="K480" s="546"/>
      <c r="L480" s="1670"/>
      <c r="M480" s="546"/>
      <c r="N480" s="547"/>
      <c r="O480" s="1661">
        <v>1</v>
      </c>
      <c r="P480" s="1661"/>
      <c r="Q480" s="1515"/>
    </row>
    <row r="481" spans="1:17" s="582" customFormat="1">
      <c r="C481" s="1668" t="s">
        <v>2811</v>
      </c>
      <c r="D481" s="546"/>
      <c r="E481" s="546"/>
      <c r="F481" s="546"/>
      <c r="G481" s="1669" t="s">
        <v>3841</v>
      </c>
      <c r="H481" s="1667"/>
      <c r="I481" s="1670"/>
      <c r="J481" s="1667" t="s">
        <v>3436</v>
      </c>
      <c r="K481" s="546"/>
      <c r="L481" s="1670"/>
      <c r="M481" s="546"/>
      <c r="N481" s="547"/>
      <c r="O481" s="1661">
        <v>1</v>
      </c>
      <c r="P481" s="1661"/>
      <c r="Q481" s="1515"/>
    </row>
    <row r="482" spans="1:17" s="582" customFormat="1">
      <c r="C482" s="1668"/>
      <c r="D482" s="546"/>
      <c r="E482" s="546"/>
      <c r="F482" s="546"/>
      <c r="G482" s="1669" t="s">
        <v>11</v>
      </c>
      <c r="H482" s="1667"/>
      <c r="I482" s="1670"/>
      <c r="J482" s="1667" t="s">
        <v>3429</v>
      </c>
      <c r="K482" s="546"/>
      <c r="L482" s="1670"/>
      <c r="M482" s="546"/>
      <c r="N482" s="547"/>
      <c r="O482" s="1661">
        <v>1</v>
      </c>
      <c r="P482" s="1661"/>
      <c r="Q482" s="1515"/>
    </row>
    <row r="483" spans="1:17" s="582" customFormat="1">
      <c r="C483" s="1668"/>
      <c r="D483" s="546"/>
      <c r="E483" s="546"/>
      <c r="F483" s="546"/>
      <c r="G483" s="1669" t="s">
        <v>358</v>
      </c>
      <c r="H483" s="1667"/>
      <c r="I483" s="1670"/>
      <c r="J483" s="1667" t="s">
        <v>3430</v>
      </c>
      <c r="K483" s="546"/>
      <c r="L483" s="1670"/>
      <c r="M483" s="546"/>
      <c r="N483" s="547"/>
      <c r="O483" s="1661">
        <v>1</v>
      </c>
      <c r="P483" s="1661"/>
      <c r="Q483" s="1515"/>
    </row>
    <row r="484" spans="1:17" s="582" customFormat="1">
      <c r="C484" s="1668"/>
      <c r="D484" s="546"/>
      <c r="E484" s="546"/>
      <c r="F484" s="546"/>
      <c r="G484" s="1669" t="s">
        <v>1344</v>
      </c>
      <c r="H484" s="1667"/>
      <c r="I484" s="1670"/>
      <c r="J484" s="1667" t="s">
        <v>3431</v>
      </c>
      <c r="K484" s="546"/>
      <c r="L484" s="1670"/>
      <c r="M484" s="546"/>
      <c r="N484" s="547"/>
      <c r="O484" s="1661">
        <v>1</v>
      </c>
      <c r="P484" s="1661"/>
      <c r="Q484" s="1515"/>
    </row>
    <row r="485" spans="1:17" s="582" customFormat="1">
      <c r="C485" s="546"/>
      <c r="D485" s="546"/>
      <c r="E485" s="546"/>
      <c r="F485" s="546"/>
      <c r="G485" s="1669" t="s">
        <v>1516</v>
      </c>
      <c r="H485" s="1667"/>
      <c r="I485" s="1670"/>
      <c r="J485" s="1667" t="s">
        <v>3432</v>
      </c>
      <c r="K485" s="546"/>
      <c r="L485" s="1670"/>
      <c r="M485" s="546"/>
      <c r="N485" s="547"/>
      <c r="O485" s="1661">
        <v>1</v>
      </c>
      <c r="P485" s="1661"/>
      <c r="Q485" s="1515"/>
    </row>
    <row r="486" spans="1:17" s="582" customFormat="1">
      <c r="C486" s="546"/>
      <c r="D486" s="546"/>
      <c r="E486" s="546"/>
      <c r="F486" s="546"/>
      <c r="G486" s="1669" t="s">
        <v>1032</v>
      </c>
      <c r="H486" s="1667"/>
      <c r="I486" s="1670"/>
      <c r="J486" s="1667" t="s">
        <v>3435</v>
      </c>
      <c r="K486" s="546"/>
      <c r="L486" s="1670"/>
      <c r="M486" s="546"/>
      <c r="N486" s="547"/>
      <c r="O486" s="1661">
        <v>1</v>
      </c>
      <c r="P486" s="1661"/>
      <c r="Q486" s="1515"/>
    </row>
    <row r="487" spans="1:17" s="582" customFormat="1">
      <c r="A487" s="1328" t="s">
        <v>2813</v>
      </c>
      <c r="C487" s="546"/>
      <c r="D487" s="546"/>
      <c r="E487" s="546"/>
      <c r="F487" s="546"/>
      <c r="G487" s="1669" t="s">
        <v>1771</v>
      </c>
      <c r="H487" s="1667"/>
      <c r="I487" s="1670"/>
      <c r="J487" s="1667" t="s">
        <v>3433</v>
      </c>
      <c r="K487" s="546"/>
      <c r="L487" s="1670"/>
      <c r="M487" s="546"/>
      <c r="N487" s="547"/>
      <c r="O487" s="1661">
        <v>1</v>
      </c>
      <c r="P487" s="1661"/>
      <c r="Q487" s="1515"/>
    </row>
    <row r="488" spans="1:17" s="582" customFormat="1">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c r="A490" s="1340" t="s">
        <v>3399</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3400</v>
      </c>
      <c r="C491" s="546"/>
      <c r="D491" s="1668"/>
      <c r="E491" s="1668">
        <v>10</v>
      </c>
      <c r="F491" s="546"/>
      <c r="G491" s="1669" t="s">
        <v>2074</v>
      </c>
      <c r="H491" s="1667"/>
      <c r="I491" s="1670"/>
      <c r="J491" s="1671" t="s">
        <v>3809</v>
      </c>
      <c r="K491" s="546"/>
      <c r="L491" s="1670"/>
      <c r="M491" s="546"/>
      <c r="N491" s="547"/>
      <c r="O491" s="1661"/>
      <c r="P491" s="1661"/>
      <c r="Q491" s="1515"/>
    </row>
    <row r="492" spans="1:17" s="582" customFormat="1">
      <c r="A492" s="1340" t="s">
        <v>2842</v>
      </c>
      <c r="C492" s="546"/>
      <c r="D492" s="1668"/>
      <c r="E492" s="1668"/>
      <c r="F492" s="546"/>
      <c r="G492" s="1669" t="s">
        <v>607</v>
      </c>
      <c r="H492" s="1667"/>
      <c r="I492" s="1670"/>
      <c r="J492" s="1667" t="s">
        <v>4025</v>
      </c>
      <c r="K492" s="546"/>
      <c r="L492" s="1670"/>
      <c r="M492" s="546"/>
      <c r="N492" s="547"/>
      <c r="O492" s="1661"/>
      <c r="P492" s="1661"/>
      <c r="Q492" s="1515"/>
    </row>
    <row r="493" spans="1:17" s="582" customFormat="1">
      <c r="C493" s="1668"/>
      <c r="D493" s="546"/>
      <c r="E493" s="546"/>
      <c r="F493" s="546"/>
      <c r="G493" s="1669" t="s">
        <v>337</v>
      </c>
      <c r="H493" s="1667"/>
      <c r="I493" s="1670"/>
      <c r="J493" s="1667" t="s">
        <v>4020</v>
      </c>
      <c r="K493" s="546"/>
      <c r="L493" s="1670"/>
      <c r="M493" s="546"/>
      <c r="N493" s="547"/>
      <c r="O493" s="1661"/>
      <c r="P493" s="1661"/>
      <c r="Q493" s="1515"/>
    </row>
    <row r="494" spans="1:17" s="582" customFormat="1">
      <c r="C494" s="1668"/>
      <c r="D494" s="546"/>
      <c r="E494" s="546"/>
      <c r="F494" s="546"/>
      <c r="G494" s="1669" t="s">
        <v>882</v>
      </c>
      <c r="H494" s="1667"/>
      <c r="I494" s="1670"/>
      <c r="J494" s="1667" t="s">
        <v>3802</v>
      </c>
      <c r="K494" s="1667"/>
      <c r="L494" s="1670"/>
      <c r="M494" s="546"/>
      <c r="N494" s="547"/>
      <c r="O494" s="1661"/>
      <c r="P494" s="1661"/>
      <c r="Q494" s="1515"/>
    </row>
    <row r="495" spans="1:17" s="582" customFormat="1">
      <c r="C495" s="1668"/>
      <c r="D495" s="546"/>
      <c r="E495" s="546"/>
      <c r="F495" s="546"/>
      <c r="G495" s="1669" t="s">
        <v>1939</v>
      </c>
      <c r="H495" s="1670"/>
      <c r="I495" s="1667"/>
      <c r="J495" s="1667" t="s">
        <v>4013</v>
      </c>
      <c r="K495" s="546"/>
      <c r="L495" s="1670"/>
      <c r="M495" s="546"/>
      <c r="N495" s="547"/>
      <c r="O495" s="1661"/>
      <c r="P495" s="1661"/>
      <c r="Q495" s="1515"/>
    </row>
    <row r="496" spans="1:17" s="582" customFormat="1">
      <c r="C496" s="1668"/>
      <c r="D496" s="546"/>
      <c r="E496" s="546"/>
      <c r="F496" s="546"/>
      <c r="G496" s="1669" t="s">
        <v>1943</v>
      </c>
      <c r="H496" s="1670"/>
      <c r="I496" s="1667"/>
      <c r="J496" s="1667" t="s">
        <v>3803</v>
      </c>
      <c r="K496" s="1667"/>
      <c r="L496" s="1670"/>
      <c r="M496" s="546"/>
      <c r="N496" s="547"/>
      <c r="O496" s="1661"/>
      <c r="P496" s="1661"/>
      <c r="Q496" s="1515"/>
    </row>
    <row r="497" spans="3:17" s="582" customFormat="1">
      <c r="C497" s="546"/>
      <c r="D497" s="546"/>
      <c r="E497" s="546"/>
      <c r="F497" s="546"/>
      <c r="G497" s="1669" t="s">
        <v>459</v>
      </c>
      <c r="H497" s="1670"/>
      <c r="I497" s="1667"/>
      <c r="J497" s="1667" t="s">
        <v>4014</v>
      </c>
      <c r="K497" s="546"/>
      <c r="L497" s="1670"/>
      <c r="M497" s="546"/>
      <c r="N497" s="547"/>
      <c r="O497" s="1661"/>
      <c r="P497" s="1661"/>
      <c r="Q497" s="1515"/>
    </row>
    <row r="498" spans="3:17" s="582" customFormat="1">
      <c r="C498" s="546"/>
      <c r="D498" s="546"/>
      <c r="E498" s="546"/>
      <c r="F498" s="546"/>
      <c r="G498" s="1669" t="s">
        <v>3647</v>
      </c>
      <c r="H498" s="1670"/>
      <c r="I498" s="1667"/>
      <c r="J498" s="1667" t="s">
        <v>3804</v>
      </c>
      <c r="K498" s="546"/>
      <c r="L498" s="1667"/>
      <c r="M498" s="546"/>
      <c r="N498" s="547"/>
      <c r="O498" s="1661"/>
      <c r="P498" s="1661"/>
      <c r="Q498" s="1515"/>
    </row>
    <row r="499" spans="3:17" s="582" customFormat="1">
      <c r="C499" s="546"/>
      <c r="D499" s="546"/>
      <c r="E499" s="546"/>
      <c r="F499" s="546"/>
      <c r="G499" s="1669" t="s">
        <v>422</v>
      </c>
      <c r="H499" s="1670"/>
      <c r="I499" s="1667"/>
      <c r="J499" s="1667" t="s">
        <v>4016</v>
      </c>
      <c r="K499" s="546"/>
      <c r="L499" s="1670"/>
      <c r="M499" s="546"/>
      <c r="N499" s="547"/>
      <c r="O499" s="1661"/>
      <c r="P499" s="1661"/>
      <c r="Q499" s="1515"/>
    </row>
    <row r="500" spans="3:17" s="582" customFormat="1">
      <c r="C500" s="546"/>
      <c r="D500" s="546"/>
      <c r="E500" s="546"/>
      <c r="F500" s="546"/>
      <c r="G500" s="1669" t="s">
        <v>236</v>
      </c>
      <c r="H500" s="1670"/>
      <c r="I500" s="1667"/>
      <c r="J500" s="1667" t="s">
        <v>4021</v>
      </c>
      <c r="K500" s="546"/>
      <c r="L500" s="1670"/>
      <c r="M500" s="546"/>
      <c r="N500" s="547"/>
      <c r="O500" s="1661"/>
      <c r="P500" s="1661"/>
      <c r="Q500" s="1515"/>
    </row>
    <row r="501" spans="3:17" s="582" customFormat="1">
      <c r="C501" s="546"/>
      <c r="D501" s="546"/>
      <c r="E501" s="546"/>
      <c r="F501" s="546"/>
      <c r="G501" s="1669" t="s">
        <v>1233</v>
      </c>
      <c r="H501" s="1670"/>
      <c r="I501" s="1667"/>
      <c r="J501" s="1667" t="s">
        <v>4024</v>
      </c>
      <c r="K501" s="1667"/>
      <c r="L501" s="1667"/>
      <c r="M501" s="546"/>
      <c r="N501" s="547"/>
      <c r="O501" s="1661"/>
      <c r="P501" s="1661"/>
      <c r="Q501" s="1515"/>
    </row>
    <row r="502" spans="3:17" s="582" customFormat="1">
      <c r="C502" s="546"/>
      <c r="D502" s="1672"/>
      <c r="E502" s="546"/>
      <c r="F502" s="546"/>
      <c r="G502" s="1669" t="s">
        <v>1235</v>
      </c>
      <c r="H502" s="1670"/>
      <c r="I502" s="1667"/>
      <c r="J502" s="1667" t="s">
        <v>3805</v>
      </c>
      <c r="K502" s="546"/>
      <c r="L502" s="1670"/>
      <c r="M502" s="546"/>
      <c r="N502" s="547"/>
      <c r="O502" s="1661"/>
      <c r="P502" s="1661"/>
      <c r="Q502" s="1515"/>
    </row>
    <row r="503" spans="3:17" s="582" customFormat="1">
      <c r="C503" s="546"/>
      <c r="D503" s="1672"/>
      <c r="E503" s="546"/>
      <c r="F503" s="546"/>
      <c r="G503" s="1669" t="s">
        <v>1650</v>
      </c>
      <c r="H503" s="1670"/>
      <c r="I503" s="1667"/>
      <c r="J503" s="1667" t="s">
        <v>3806</v>
      </c>
      <c r="K503" s="546"/>
      <c r="L503" s="1670"/>
      <c r="M503" s="546"/>
      <c r="N503" s="547"/>
      <c r="O503" s="1661"/>
      <c r="P503" s="1661"/>
      <c r="Q503" s="1515"/>
    </row>
    <row r="504" spans="3:17" s="582" customFormat="1">
      <c r="C504" s="546"/>
      <c r="D504" s="1673"/>
      <c r="E504" s="546"/>
      <c r="F504" s="546"/>
      <c r="G504" s="1669" t="s">
        <v>994</v>
      </c>
      <c r="H504" s="1670"/>
      <c r="I504" s="1667"/>
      <c r="J504" s="1667" t="s">
        <v>4019</v>
      </c>
      <c r="K504" s="546"/>
      <c r="L504" s="1670"/>
      <c r="M504" s="546"/>
      <c r="N504" s="547"/>
      <c r="O504" s="1661"/>
      <c r="P504" s="1661"/>
      <c r="Q504" s="1515"/>
    </row>
    <row r="505" spans="3:17" s="582" customFormat="1">
      <c r="C505" s="546"/>
      <c r="D505" s="1673"/>
      <c r="E505" s="1673"/>
      <c r="F505" s="546"/>
      <c r="G505" s="1669" t="s">
        <v>579</v>
      </c>
      <c r="H505" s="1670"/>
      <c r="I505" s="1667"/>
      <c r="J505" s="1667" t="s">
        <v>4022</v>
      </c>
      <c r="K505" s="546"/>
      <c r="L505" s="1667"/>
      <c r="M505" s="546"/>
      <c r="N505" s="547"/>
      <c r="O505" s="1661"/>
      <c r="P505" s="1661"/>
      <c r="Q505" s="1515"/>
    </row>
    <row r="506" spans="3:17" s="582" customFormat="1">
      <c r="C506" s="546"/>
      <c r="D506" s="546"/>
      <c r="E506" s="546"/>
      <c r="F506" s="546"/>
      <c r="G506" s="1669" t="s">
        <v>1651</v>
      </c>
      <c r="H506" s="1670"/>
      <c r="I506" s="1667"/>
      <c r="J506" s="1667" t="s">
        <v>4023</v>
      </c>
      <c r="K506" s="546"/>
      <c r="L506" s="1670"/>
      <c r="M506" s="546"/>
      <c r="N506" s="547"/>
      <c r="O506" s="1661"/>
      <c r="P506" s="1661"/>
      <c r="Q506" s="1515"/>
    </row>
    <row r="507" spans="3:17" s="582" customFormat="1">
      <c r="C507" s="546"/>
      <c r="D507" s="546"/>
      <c r="E507" s="546"/>
      <c r="F507" s="546"/>
      <c r="G507" s="1669" t="s">
        <v>1692</v>
      </c>
      <c r="H507" s="1670"/>
      <c r="I507" s="1667"/>
      <c r="J507" s="1667" t="s">
        <v>3807</v>
      </c>
      <c r="K507" s="546"/>
      <c r="L507" s="1670"/>
      <c r="M507" s="546"/>
      <c r="N507" s="547"/>
      <c r="O507" s="1661"/>
      <c r="P507" s="1661"/>
      <c r="Q507" s="1515"/>
    </row>
    <row r="508" spans="3:17" s="582" customFormat="1">
      <c r="C508" s="1672"/>
      <c r="D508" s="546"/>
      <c r="E508" s="546"/>
      <c r="F508" s="546"/>
      <c r="G508" s="1669" t="s">
        <v>1753</v>
      </c>
      <c r="H508" s="1667"/>
      <c r="I508" s="1667"/>
      <c r="J508" s="1667" t="s">
        <v>3808</v>
      </c>
      <c r="K508" s="546"/>
      <c r="L508" s="1670"/>
      <c r="M508" s="546"/>
      <c r="N508" s="547"/>
      <c r="O508" s="1661"/>
      <c r="P508" s="1661"/>
      <c r="Q508" s="1515"/>
    </row>
    <row r="509" spans="3:17" s="582" customFormat="1">
      <c r="C509" s="1672"/>
      <c r="D509" s="546"/>
      <c r="E509" s="546"/>
      <c r="F509" s="546"/>
      <c r="G509" s="1669" t="s">
        <v>3415</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4110</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4676</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RowHeight="12.75"/>
  <cols>
    <col min="1" max="1" width="88.42578125" style="28" customWidth="1"/>
    <col min="2" max="16384" width="9.140625" style="28"/>
  </cols>
  <sheetData>
    <row r="1" spans="1:6" ht="15.75">
      <c r="A1" s="1051" t="s">
        <v>4264</v>
      </c>
    </row>
    <row r="2" spans="1:6" s="34" customFormat="1" ht="13.5" customHeight="1">
      <c r="A2" s="1050" t="str">
        <f>'Part I-Project Information'!$F$34</f>
        <v>McIntosh Woods</v>
      </c>
    </row>
    <row r="3" spans="1:6" s="34" customFormat="1" ht="13.5" customHeight="1">
      <c r="A3" s="1050" t="str">
        <f>CONCATENATE('Part I-Project Information'!$F$38,", ", 'Part I-Project Information'!$J$39," County")</f>
        <v>Newnan, Coweta County</v>
      </c>
    </row>
    <row r="4" spans="1:6" ht="6.75" customHeight="1"/>
    <row r="5" spans="1:6" ht="113.25" customHeight="1">
      <c r="A5" s="2510" t="s">
        <v>4265</v>
      </c>
      <c r="B5" s="3690" t="s">
        <v>4266</v>
      </c>
      <c r="C5" s="3690"/>
      <c r="D5" s="3690"/>
      <c r="E5" s="3690"/>
      <c r="F5" s="3690"/>
    </row>
    <row r="6" spans="1:6" ht="6.6" customHeight="1">
      <c r="A6" s="2510"/>
      <c r="B6" s="3690"/>
      <c r="C6" s="3690"/>
      <c r="D6" s="3690"/>
      <c r="E6" s="3690"/>
      <c r="F6" s="3690"/>
    </row>
    <row r="7" spans="1:6" ht="134.25" customHeight="1">
      <c r="A7" s="2510"/>
      <c r="B7" s="3690"/>
      <c r="C7" s="3690"/>
      <c r="D7" s="3690"/>
      <c r="E7" s="3690"/>
      <c r="F7" s="3690"/>
    </row>
    <row r="8" spans="1:6" ht="6.6" customHeight="1">
      <c r="A8" s="2510"/>
    </row>
    <row r="9" spans="1:6" ht="111" customHeight="1">
      <c r="A9" s="2510"/>
    </row>
    <row r="10" spans="1:6" ht="6.6" customHeight="1">
      <c r="A10" s="2510"/>
    </row>
    <row r="11" spans="1:6" ht="111" customHeight="1">
      <c r="A11" s="2510"/>
    </row>
    <row r="12" spans="1:6" ht="6.6" customHeight="1">
      <c r="A12" s="2510"/>
    </row>
    <row r="13" spans="1:6" ht="111" customHeight="1">
      <c r="A13" s="2510"/>
    </row>
    <row r="14" spans="1:6" ht="6.6" customHeight="1">
      <c r="A14" s="2510"/>
    </row>
    <row r="15" spans="1:6" ht="111" customHeight="1">
      <c r="A15" s="2510"/>
    </row>
    <row r="16" spans="1:6" ht="6.6" customHeight="1">
      <c r="A16" s="2510"/>
    </row>
    <row r="17" spans="1:1" ht="111" customHeight="1">
      <c r="A17" s="2510"/>
    </row>
    <row r="18" spans="1:1" ht="6.6" customHeight="1">
      <c r="A18" s="2510"/>
    </row>
    <row r="19" spans="1:1" ht="105.75" customHeight="1">
      <c r="A19" s="2510"/>
    </row>
    <row r="20" spans="1:1" ht="6.6" customHeight="1">
      <c r="A20" s="2510"/>
    </row>
    <row r="21" spans="1:1" ht="105.75" customHeight="1">
      <c r="A21" s="2510"/>
    </row>
    <row r="22" spans="1:1" ht="6.6" customHeight="1">
      <c r="A22" s="2510"/>
    </row>
    <row r="23" spans="1:1" ht="105.75" customHeight="1">
      <c r="A23" s="2510"/>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3" customWidth="1"/>
    <col min="2" max="11" width="10.5703125" style="1753" customWidth="1"/>
    <col min="12" max="12" width="9.7109375" style="1753" customWidth="1"/>
    <col min="13" max="21" width="10.5703125" style="1753" customWidth="1"/>
    <col min="22" max="16384" width="9.140625" style="1753"/>
  </cols>
  <sheetData>
    <row r="1" spans="1:7" ht="3" customHeight="1"/>
    <row r="2" spans="1:7">
      <c r="A2" s="1752" t="s">
        <v>4267</v>
      </c>
    </row>
    <row r="3" spans="1:7" ht="3" customHeight="1"/>
    <row r="4" spans="1:7">
      <c r="A4" s="1753" t="s">
        <v>4268</v>
      </c>
      <c r="B4" s="1754">
        <f>+'Part IV-A-Uses of Funds'!$G$132</f>
        <v>20706223.689910028</v>
      </c>
    </row>
    <row r="5" spans="1:7">
      <c r="A5" s="1753" t="s">
        <v>4299</v>
      </c>
      <c r="B5" s="1754">
        <f>+B18+B26+B38</f>
        <v>6167929.0636721011</v>
      </c>
    </row>
    <row r="6" spans="1:7">
      <c r="A6" s="1753" t="s">
        <v>4269</v>
      </c>
      <c r="B6" s="1755">
        <f>+B5-B4</f>
        <v>-14538294.626237927</v>
      </c>
    </row>
    <row r="7" spans="1:7">
      <c r="A7" s="1753" t="s">
        <v>4270</v>
      </c>
      <c r="B7" s="1756">
        <f>+B6/B4</f>
        <v>-0.70212197279228261</v>
      </c>
    </row>
    <row r="8" spans="1:7" ht="9" customHeight="1"/>
    <row r="9" spans="1:7">
      <c r="A9" s="1753" t="s">
        <v>4271</v>
      </c>
      <c r="B9" s="1754">
        <f>+B18+B26+B33</f>
        <v>6167929.0636721011</v>
      </c>
    </row>
    <row r="10" spans="1:7">
      <c r="A10" s="1753" t="s">
        <v>4269</v>
      </c>
      <c r="B10" s="1755">
        <f>+B9-B4</f>
        <v>-14538294.626237927</v>
      </c>
    </row>
    <row r="11" spans="1:7">
      <c r="A11" s="1753" t="s">
        <v>4270</v>
      </c>
      <c r="B11" s="1756">
        <f>+B10/B4</f>
        <v>-0.70212197279228261</v>
      </c>
    </row>
    <row r="12" spans="1:7" ht="24" customHeight="1"/>
    <row r="13" spans="1:7">
      <c r="A13" s="1752" t="s">
        <v>4272</v>
      </c>
      <c r="D13" s="1837" t="s">
        <v>4539</v>
      </c>
      <c r="E13" s="1838"/>
    </row>
    <row r="14" spans="1:7">
      <c r="A14" s="1753" t="s">
        <v>4273</v>
      </c>
      <c r="B14" s="1757">
        <f>+SUM('Part III-Sources of Funds'!L49:M50)</f>
        <v>11930770.799999999</v>
      </c>
      <c r="D14" s="1838"/>
      <c r="E14" s="1838"/>
    </row>
    <row r="15" spans="1:7">
      <c r="A15" s="1753" t="s">
        <v>4274</v>
      </c>
      <c r="B15" s="1758">
        <f>+'Part IV-A-Uses of Funds'!J167</f>
        <v>1219543.6689910027</v>
      </c>
      <c r="D15" s="1838" t="s">
        <v>2061</v>
      </c>
      <c r="G15" s="1839">
        <f>'Part IV-A-Uses of Funds'!J155</f>
        <v>23899781.883029338</v>
      </c>
    </row>
    <row r="16" spans="1:7" ht="12.75" customHeight="1">
      <c r="D16" s="1838" t="s">
        <v>4540</v>
      </c>
      <c r="G16" s="1843">
        <v>3.2800000000000003E-2</v>
      </c>
    </row>
    <row r="17" spans="1:7" ht="12.75" customHeight="1">
      <c r="A17" s="1753" t="s">
        <v>4275</v>
      </c>
      <c r="B17" s="1842">
        <v>1.45</v>
      </c>
      <c r="D17" s="1838" t="s">
        <v>4541</v>
      </c>
      <c r="G17" s="1844">
        <v>1.45</v>
      </c>
    </row>
    <row r="18" spans="1:7" ht="12.75" customHeight="1">
      <c r="A18" s="1753" t="s">
        <v>4276</v>
      </c>
      <c r="B18" s="1759">
        <f>+'Part IV-A-Uses of Funds'!J174*B17*10</f>
        <v>0</v>
      </c>
      <c r="D18" s="1838" t="s">
        <v>4542</v>
      </c>
      <c r="G18" s="1844">
        <v>3.28</v>
      </c>
    </row>
    <row r="19" spans="1:7" ht="12.75" customHeight="1">
      <c r="D19" s="1838" t="s">
        <v>4543</v>
      </c>
      <c r="G19" s="1840">
        <f>+G15*G16*G17*10</f>
        <v>11366736.263568753</v>
      </c>
    </row>
    <row r="20" spans="1:7">
      <c r="A20" s="1753" t="s">
        <v>4277</v>
      </c>
      <c r="B20" s="1757">
        <f>+B18-B14</f>
        <v>-11930770.799999999</v>
      </c>
      <c r="D20" s="1838" t="s">
        <v>4544</v>
      </c>
      <c r="G20" s="1841">
        <f>+B14-G19</f>
        <v>564034.53643124551</v>
      </c>
    </row>
    <row r="21" spans="1:7">
      <c r="A21" s="1753" t="s">
        <v>4278</v>
      </c>
      <c r="B21" s="1756">
        <f>+B20/B14</f>
        <v>-1</v>
      </c>
      <c r="D21" s="1838" t="s">
        <v>4545</v>
      </c>
      <c r="G21" s="1838" t="str">
        <f>+IF(G20&gt;(B28+B35),"No","Yes")</f>
        <v>No</v>
      </c>
    </row>
    <row r="22" spans="1:7" ht="24" customHeight="1"/>
    <row r="23" spans="1:7">
      <c r="A23" s="1752" t="s">
        <v>4279</v>
      </c>
    </row>
    <row r="24" spans="1:7">
      <c r="A24" s="1753" t="s">
        <v>4280</v>
      </c>
      <c r="B24" s="1760">
        <f>+SUM('Part III-Sources of Funds'!I37:J40)</f>
        <v>8510787</v>
      </c>
    </row>
    <row r="25" spans="1:7">
      <c r="A25" s="1753" t="s">
        <v>4281</v>
      </c>
      <c r="B25" s="1761">
        <f>IF('Part III-Sources of Funds'!B11="Yes","N/A",MAX(B46:P46))</f>
        <v>4.1595371440052986E-3</v>
      </c>
    </row>
    <row r="26" spans="1:7">
      <c r="A26" s="1753" t="s">
        <v>4282</v>
      </c>
      <c r="B26" s="1751">
        <f>IFERROR(PV('Part III-Sources of Funds'!K37,'Part III-Sources of Funds'!L37,B25+B45),B24)</f>
        <v>6167929.0636721011</v>
      </c>
    </row>
    <row r="27" spans="1:7" ht="9" customHeight="1">
      <c r="B27" s="1751"/>
    </row>
    <row r="28" spans="1:7">
      <c r="A28" s="1753" t="s">
        <v>4283</v>
      </c>
      <c r="B28" s="1762">
        <f>+B26-B24</f>
        <v>-2342857.9363278989</v>
      </c>
      <c r="C28" s="1763"/>
    </row>
    <row r="29" spans="1:7">
      <c r="A29" s="1753" t="s">
        <v>4278</v>
      </c>
      <c r="B29" s="1764">
        <f>+B28/B24</f>
        <v>-0.27528099767129632</v>
      </c>
    </row>
    <row r="30" spans="1:7" ht="24" customHeight="1"/>
    <row r="31" spans="1:7">
      <c r="A31" s="1752" t="s">
        <v>4136</v>
      </c>
    </row>
    <row r="32" spans="1:7">
      <c r="A32" s="1753" t="s">
        <v>4284</v>
      </c>
      <c r="B32" s="1765">
        <f>+'Part III-Sources of Funds'!I42</f>
        <v>264667</v>
      </c>
    </row>
    <row r="33" spans="1:11">
      <c r="A33" s="1753" t="s">
        <v>4285</v>
      </c>
      <c r="B33" s="1751"/>
    </row>
    <row r="34" spans="1:11" ht="9" customHeight="1">
      <c r="B34" s="1751"/>
    </row>
    <row r="35" spans="1:11">
      <c r="A35" s="1753" t="s">
        <v>4286</v>
      </c>
      <c r="B35" s="1765">
        <f>+B33-B32</f>
        <v>-264667</v>
      </c>
    </row>
    <row r="36" spans="1:11">
      <c r="A36" s="1753" t="s">
        <v>4287</v>
      </c>
      <c r="B36" s="1750">
        <f>+B35/B32</f>
        <v>-1</v>
      </c>
    </row>
    <row r="37" spans="1:11" ht="24" customHeight="1">
      <c r="B37" s="1751"/>
    </row>
    <row r="38" spans="1:11">
      <c r="A38" s="1752" t="s">
        <v>4288</v>
      </c>
      <c r="B38" s="1751">
        <f>+SUM('Part III-Sources of Funds'!I41,'Part III-Sources of Funds'!I47,'Part III-Sources of Funds'!I48,'Part III-Sources of Funds'!I51:I57)</f>
        <v>0</v>
      </c>
    </row>
    <row r="39" spans="1:11">
      <c r="B39" s="1751"/>
    </row>
    <row r="40" spans="1:11">
      <c r="B40" s="1751"/>
    </row>
    <row r="41" spans="1:11">
      <c r="B41" s="1751"/>
    </row>
    <row r="42" spans="1:11">
      <c r="A42" s="1752" t="s">
        <v>4289</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1215</v>
      </c>
      <c r="B44" s="1754">
        <f>+'Part VII-Pro Forma'!B22</f>
        <v>658142.08319999999</v>
      </c>
      <c r="C44" s="1754">
        <f>+'Part VII-Pro Forma'!C22</f>
        <v>667414.39486399991</v>
      </c>
      <c r="D44" s="1754">
        <f>+'Part VII-Pro Forma'!D22</f>
        <v>676754.12746128009</v>
      </c>
      <c r="E44" s="1754">
        <f>+'Part VII-Pro Forma'!E22</f>
        <v>686160.68705150543</v>
      </c>
      <c r="F44" s="1754">
        <f>+'Part VII-Pro Forma'!F22</f>
        <v>695631.3427447658</v>
      </c>
      <c r="G44" s="1754">
        <f>+'Part VII-Pro Forma'!G22</f>
        <v>705164.22081045795</v>
      </c>
      <c r="H44" s="1754">
        <f>+'Part VII-Pro Forma'!H22</f>
        <v>714756.29857378814</v>
      </c>
      <c r="I44" s="1754">
        <f>+'Part VII-Pro Forma'!I22</f>
        <v>724404.39809279796</v>
      </c>
      <c r="J44" s="1754">
        <f>+'Part VII-Pro Forma'!J22</f>
        <v>734106.17960861453</v>
      </c>
      <c r="K44" s="1754">
        <f>+'Part VII-Pro Forma'!K22</f>
        <v>743859.13476136618</v>
      </c>
    </row>
    <row r="45" spans="1:11">
      <c r="A45" s="1753" t="s">
        <v>4290</v>
      </c>
      <c r="B45" s="1754">
        <f>SUM('Part VII-Pro Forma'!B23:B26)</f>
        <v>-548451.74015953718</v>
      </c>
      <c r="C45" s="1754">
        <f>SUM('Part VII-Pro Forma'!C23:C26)</f>
        <v>-548451.74015953718</v>
      </c>
      <c r="D45" s="1754">
        <f>SUM('Part VII-Pro Forma'!D23:D26)</f>
        <v>-548451.74015953718</v>
      </c>
      <c r="E45" s="1754">
        <f>SUM('Part VII-Pro Forma'!E23:E26)</f>
        <v>-548451.74015953718</v>
      </c>
      <c r="F45" s="1754">
        <f>SUM('Part VII-Pro Forma'!F23:F26)</f>
        <v>-548451.74015953718</v>
      </c>
      <c r="G45" s="1754">
        <f>SUM('Part VII-Pro Forma'!G23:G26)</f>
        <v>-548451.74015953718</v>
      </c>
      <c r="H45" s="1754">
        <f>SUM('Part VII-Pro Forma'!H23:H26)</f>
        <v>-548451.74015953718</v>
      </c>
      <c r="I45" s="1754">
        <f>SUM('Part VII-Pro Forma'!I23:I26)</f>
        <v>-548451.74015953718</v>
      </c>
      <c r="J45" s="1754">
        <f>SUM('Part VII-Pro Forma'!J23:J26)</f>
        <v>-548451.74015953718</v>
      </c>
      <c r="K45" s="1754">
        <f>SUM('Part VII-Pro Forma'!K23:K26)</f>
        <v>-548451.74015953718</v>
      </c>
    </row>
    <row r="46" spans="1:11">
      <c r="A46" s="1753" t="s">
        <v>4291</v>
      </c>
      <c r="B46" s="1755">
        <f t="shared" ref="B46:K46" si="0">-B44/B48-B45</f>
        <v>4.1595371440052986E-3</v>
      </c>
      <c r="C46" s="1755">
        <f t="shared" si="0"/>
        <v>-7726.9222271294566</v>
      </c>
      <c r="D46" s="1755">
        <f t="shared" si="0"/>
        <v>-15510.032724862918</v>
      </c>
      <c r="E46" s="1755">
        <f t="shared" si="0"/>
        <v>-23348.832383383997</v>
      </c>
      <c r="F46" s="1755">
        <f t="shared" si="0"/>
        <v>-31241.045461100992</v>
      </c>
      <c r="G46" s="1755">
        <f t="shared" si="0"/>
        <v>-39185.110515844426</v>
      </c>
      <c r="H46" s="1755">
        <f t="shared" si="0"/>
        <v>-47178.508651952958</v>
      </c>
      <c r="I46" s="1755">
        <f t="shared" si="0"/>
        <v>-55218.591584461159</v>
      </c>
      <c r="J46" s="1755">
        <f t="shared" si="0"/>
        <v>-63303.409514308325</v>
      </c>
      <c r="K46" s="1755">
        <f t="shared" si="0"/>
        <v>-71430.872141601285</v>
      </c>
    </row>
    <row r="48" spans="1:11">
      <c r="A48" s="1753" t="s">
        <v>4292</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1175</v>
      </c>
    </row>
    <row r="51" spans="1:17">
      <c r="A51" s="1753" t="s">
        <v>1215</v>
      </c>
      <c r="B51" s="1755">
        <f>+B44</f>
        <v>658142.08319999999</v>
      </c>
      <c r="C51" s="1755">
        <f t="shared" ref="C51:K51" si="2">+C44</f>
        <v>667414.39486399991</v>
      </c>
      <c r="D51" s="1755">
        <f t="shared" si="2"/>
        <v>676754.12746128009</v>
      </c>
      <c r="E51" s="1755">
        <f t="shared" si="2"/>
        <v>686160.68705150543</v>
      </c>
      <c r="F51" s="1755">
        <f t="shared" si="2"/>
        <v>695631.3427447658</v>
      </c>
      <c r="G51" s="1755">
        <f t="shared" si="2"/>
        <v>705164.22081045795</v>
      </c>
      <c r="H51" s="1755">
        <f t="shared" si="2"/>
        <v>714756.29857378814</v>
      </c>
      <c r="I51" s="1755">
        <f t="shared" si="2"/>
        <v>724404.39809279796</v>
      </c>
      <c r="J51" s="1755">
        <f t="shared" si="2"/>
        <v>734106.17960861453</v>
      </c>
      <c r="K51" s="1755">
        <f t="shared" si="2"/>
        <v>743859.13476136618</v>
      </c>
    </row>
    <row r="52" spans="1:17">
      <c r="A52" s="1753" t="s">
        <v>4293</v>
      </c>
      <c r="B52" s="1755">
        <f>IF($B$25="N/A",B45,B45+$B$25)</f>
        <v>-548451.73600000003</v>
      </c>
      <c r="C52" s="1755">
        <f t="shared" ref="C52:K52" si="3">IF($B$25="N/A",C45,C45+$B$25)</f>
        <v>-548451.73600000003</v>
      </c>
      <c r="D52" s="1755">
        <f t="shared" si="3"/>
        <v>-548451.73600000003</v>
      </c>
      <c r="E52" s="1755">
        <f t="shared" si="3"/>
        <v>-548451.73600000003</v>
      </c>
      <c r="F52" s="1755">
        <f t="shared" si="3"/>
        <v>-548451.73600000003</v>
      </c>
      <c r="G52" s="1755">
        <f t="shared" si="3"/>
        <v>-548451.73600000003</v>
      </c>
      <c r="H52" s="1755">
        <f t="shared" si="3"/>
        <v>-548451.73600000003</v>
      </c>
      <c r="I52" s="1755">
        <f t="shared" si="3"/>
        <v>-548451.73600000003</v>
      </c>
      <c r="J52" s="1755">
        <f t="shared" si="3"/>
        <v>-548451.73600000003</v>
      </c>
      <c r="K52" s="1755">
        <f t="shared" si="3"/>
        <v>-548451.73600000003</v>
      </c>
    </row>
    <row r="53" spans="1:17">
      <c r="A53" s="1753" t="s">
        <v>4294</v>
      </c>
      <c r="B53" s="1754">
        <f>+'Part VII-Pro Forma'!B28</f>
        <v>0</v>
      </c>
      <c r="C53" s="1754">
        <f>+'Part VII-Pro Forma'!C28</f>
        <v>0</v>
      </c>
      <c r="D53" s="1754">
        <f>+'Part VII-Pro Forma'!D28</f>
        <v>0</v>
      </c>
      <c r="E53" s="1754">
        <f>+'Part VII-Pro Forma'!E28</f>
        <v>0</v>
      </c>
      <c r="F53" s="1754">
        <f>+'Part VII-Pro Forma'!F28</f>
        <v>0</v>
      </c>
      <c r="G53" s="1754">
        <f>+'Part VII-Pro Forma'!G28</f>
        <v>0</v>
      </c>
      <c r="H53" s="1754">
        <f>+'Part VII-Pro Forma'!H28</f>
        <v>0</v>
      </c>
      <c r="I53" s="1754">
        <f>+'Part VII-Pro Forma'!I28</f>
        <v>0</v>
      </c>
      <c r="J53" s="1754">
        <f>+'Part VII-Pro Forma'!J28</f>
        <v>0</v>
      </c>
      <c r="K53" s="1754">
        <f>+'Part VII-Pro Forma'!K28</f>
        <v>0</v>
      </c>
    </row>
    <row r="54" spans="1:17">
      <c r="A54" s="1753" t="s">
        <v>4295</v>
      </c>
      <c r="B54" s="1755">
        <f>+SUM(B51:B53)</f>
        <v>109690.34719999996</v>
      </c>
      <c r="C54" s="1755">
        <f t="shared" ref="C54:K54" si="4">+SUM(C51:C53)</f>
        <v>118962.65886399988</v>
      </c>
      <c r="D54" s="1755">
        <f t="shared" si="4"/>
        <v>128302.39146128006</v>
      </c>
      <c r="E54" s="1755">
        <f t="shared" si="4"/>
        <v>137708.9510515054</v>
      </c>
      <c r="F54" s="1755">
        <f t="shared" si="4"/>
        <v>147179.60674476577</v>
      </c>
      <c r="G54" s="1755">
        <f t="shared" si="4"/>
        <v>156712.48481045791</v>
      </c>
      <c r="H54" s="1755">
        <f t="shared" si="4"/>
        <v>166304.56257378811</v>
      </c>
      <c r="I54" s="1755">
        <f t="shared" si="4"/>
        <v>175952.66209279792</v>
      </c>
      <c r="J54" s="1755">
        <f t="shared" si="4"/>
        <v>185654.4436086145</v>
      </c>
      <c r="K54" s="1755">
        <f t="shared" si="4"/>
        <v>195407.39876136614</v>
      </c>
    </row>
    <row r="55" spans="1:17">
      <c r="A55" s="1753" t="s">
        <v>4136</v>
      </c>
      <c r="B55" s="1755">
        <f>-B54</f>
        <v>-109690.34719999996</v>
      </c>
      <c r="C55" s="1755">
        <f t="shared" ref="C55:K55" si="5">-C54</f>
        <v>-118962.65886399988</v>
      </c>
      <c r="D55" s="1755">
        <f t="shared" si="5"/>
        <v>-128302.39146128006</v>
      </c>
      <c r="E55" s="1755">
        <f t="shared" si="5"/>
        <v>-137708.9510515054</v>
      </c>
      <c r="F55" s="1755">
        <f t="shared" si="5"/>
        <v>-147179.60674476577</v>
      </c>
      <c r="G55" s="1755">
        <f t="shared" si="5"/>
        <v>-156712.48481045791</v>
      </c>
      <c r="H55" s="1755">
        <f t="shared" si="5"/>
        <v>-166304.56257378811</v>
      </c>
      <c r="I55" s="1755">
        <f t="shared" si="5"/>
        <v>-175952.66209279792</v>
      </c>
      <c r="J55" s="1755">
        <f t="shared" si="5"/>
        <v>-185654.4436086145</v>
      </c>
      <c r="K55" s="1755">
        <f t="shared" si="5"/>
        <v>-195407.39876136614</v>
      </c>
    </row>
    <row r="56" spans="1:17">
      <c r="A56" s="1753" t="s">
        <v>4296</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4297</v>
      </c>
      <c r="B58" s="1754">
        <f>IF($B$26="","",-FV('Part III-Sources of Funds'!$K$37/12,12,B52/12,B26))</f>
        <v>5953358.0369364666</v>
      </c>
      <c r="C58" s="1754">
        <f>IF($B$26="","",-FV('Part III-Sources of Funds'!$K$37/12,12,C52/12,B58))</f>
        <v>5726683.5176819479</v>
      </c>
      <c r="D58" s="1754">
        <f>IF($B$26="","",-FV('Part III-Sources of Funds'!$K$37/12,12,D52/12,C58))</f>
        <v>5487222.7737923618</v>
      </c>
      <c r="E58" s="1754">
        <f>IF($B$26="","",-FV('Part III-Sources of Funds'!$K$37/12,12,E52/12,D58))</f>
        <v>5234254.5616936348</v>
      </c>
      <c r="F58" s="1754">
        <f>IF($B$26="","",-FV('Part III-Sources of Funds'!$K$37/12,12,F52/12,E58))</f>
        <v>4967016.9540048651</v>
      </c>
      <c r="G58" s="1754">
        <f>IF($B$26="","",-FV('Part III-Sources of Funds'!$K$37/12,12,G52/12,F58))</f>
        <v>4684705.0446518222</v>
      </c>
      <c r="H58" s="1754">
        <f>IF($B$26="","",-FV('Part III-Sources of Funds'!$K$37/12,12,H52/12,G58))</f>
        <v>4386468.5245308196</v>
      </c>
      <c r="I58" s="1754">
        <f>IF($B$26="","",-FV('Part III-Sources of Funds'!$K$37/12,12,I52/12,H58))</f>
        <v>4071409.1204209635</v>
      </c>
      <c r="J58" s="1754">
        <f>IF($B$26="","",-FV('Part III-Sources of Funds'!$K$37/12,12,J52/12,I58))</f>
        <v>3738577.889430928</v>
      </c>
      <c r="K58" s="1754">
        <f>IF($B$26="","",-FV('Part III-Sources of Funds'!$K$37/12,12,K52/12,J58))</f>
        <v>3386972.3608312607</v>
      </c>
    </row>
    <row r="59" spans="1:17">
      <c r="A59" s="1753" t="s">
        <v>4137</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4289</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753658.57956399012</v>
      </c>
      <c r="C64" s="1754">
        <f>+'Part VII-Pro Forma'!C52</f>
        <v>763501.64712588803</v>
      </c>
      <c r="D64" s="1754">
        <f>+'Part VII-Pro Forma'!D52</f>
        <v>773385.28011814342</v>
      </c>
      <c r="E64" s="1754">
        <f>+'Part VII-Pro Forma'!E52</f>
        <v>783304.22297173541</v>
      </c>
      <c r="F64" s="1754">
        <f>+'Part VII-Pro Forma'!F52</f>
        <v>793256.01379993639</v>
      </c>
      <c r="G64" s="1754">
        <f>+'Part VII-Pro Forma'!G52</f>
        <v>803234.97603576351</v>
      </c>
      <c r="H64" s="1754">
        <f>+'Part VII-Pro Forma'!H52</f>
        <v>813236.20977510302</v>
      </c>
      <c r="I64" s="1754">
        <f>+'Part VII-Pro Forma'!I52</f>
        <v>823256.58281578799</v>
      </c>
      <c r="J64" s="1754">
        <f>+'Part VII-Pro Forma'!J52</f>
        <v>833289.72138264182</v>
      </c>
      <c r="K64" s="1754">
        <f>+'Part VII-Pro Forma'!K52</f>
        <v>843330.00052814896</v>
      </c>
    </row>
    <row r="65" spans="1:11">
      <c r="A65" s="1753" t="s">
        <v>4290</v>
      </c>
      <c r="B65" s="1754">
        <f>SUM('Part VII-Pro Forma'!B53:B56)</f>
        <v>-548451.74015953718</v>
      </c>
      <c r="C65" s="1754">
        <f>SUM('Part VII-Pro Forma'!C53:C56)</f>
        <v>-548451.74015953718</v>
      </c>
      <c r="D65" s="1754">
        <f>SUM('Part VII-Pro Forma'!D53:D56)</f>
        <v>-548451.74015953718</v>
      </c>
      <c r="E65" s="1754">
        <f>SUM('Part VII-Pro Forma'!E53:E56)</f>
        <v>-548451.74015953718</v>
      </c>
      <c r="F65" s="1754">
        <f>SUM('Part VII-Pro Forma'!F53:F56)</f>
        <v>-548451.74015953718</v>
      </c>
      <c r="G65" s="1754">
        <f>SUM('Part VII-Pro Forma'!G53:G56)</f>
        <v>-548451.74015953718</v>
      </c>
      <c r="H65" s="1754">
        <f>SUM('Part VII-Pro Forma'!H53:H56)</f>
        <v>-548451.74015953718</v>
      </c>
      <c r="I65" s="1754">
        <f>SUM('Part VII-Pro Forma'!I53:I56)</f>
        <v>-548451.74015953718</v>
      </c>
      <c r="J65" s="1754">
        <f>SUM('Part VII-Pro Forma'!J53:J56)</f>
        <v>-548451.74015953718</v>
      </c>
      <c r="K65" s="1754">
        <f>SUM('Part VII-Pro Forma'!K53:K56)</f>
        <v>-548451.74015953718</v>
      </c>
    </row>
    <row r="66" spans="1:11">
      <c r="A66" s="1753" t="s">
        <v>4291</v>
      </c>
      <c r="B66" s="1755">
        <f t="shared" ref="B66:K66" si="7">-B64/B68-B65</f>
        <v>-79597.076143787941</v>
      </c>
      <c r="C66" s="1755">
        <f t="shared" si="7"/>
        <v>-87799.632445369498</v>
      </c>
      <c r="D66" s="1755">
        <f t="shared" si="7"/>
        <v>-96035.993272249005</v>
      </c>
      <c r="E66" s="1755">
        <f t="shared" si="7"/>
        <v>-104301.77898357564</v>
      </c>
      <c r="F66" s="1755">
        <f t="shared" si="7"/>
        <v>-112594.9380070765</v>
      </c>
      <c r="G66" s="1755">
        <f t="shared" si="7"/>
        <v>-120910.73987026582</v>
      </c>
      <c r="H66" s="1755">
        <f t="shared" si="7"/>
        <v>-129245.10131971538</v>
      </c>
      <c r="I66" s="1755">
        <f t="shared" si="7"/>
        <v>-137595.41218695289</v>
      </c>
      <c r="J66" s="1755">
        <f t="shared" si="7"/>
        <v>-145956.36099266435</v>
      </c>
      <c r="K66" s="1755">
        <f t="shared" si="7"/>
        <v>-154323.26028058701</v>
      </c>
    </row>
    <row r="68" spans="1:11">
      <c r="A68" s="1753" t="s">
        <v>4292</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1175</v>
      </c>
    </row>
    <row r="71" spans="1:11">
      <c r="A71" s="1753" t="s">
        <v>1215</v>
      </c>
      <c r="B71" s="1755">
        <f t="shared" ref="B71:G71" si="9">+B64</f>
        <v>753658.57956399012</v>
      </c>
      <c r="C71" s="1755">
        <f t="shared" si="9"/>
        <v>763501.64712588803</v>
      </c>
      <c r="D71" s="1755">
        <f t="shared" si="9"/>
        <v>773385.28011814342</v>
      </c>
      <c r="E71" s="1755">
        <f t="shared" si="9"/>
        <v>783304.22297173541</v>
      </c>
      <c r="F71" s="1755">
        <f t="shared" si="9"/>
        <v>793256.01379993639</v>
      </c>
      <c r="G71" s="1755">
        <f t="shared" si="9"/>
        <v>803234.97603576351</v>
      </c>
      <c r="H71" s="1755">
        <f t="shared" ref="H71:K71" si="10">+H64</f>
        <v>813236.20977510302</v>
      </c>
      <c r="I71" s="1755">
        <f t="shared" si="10"/>
        <v>823256.58281578799</v>
      </c>
      <c r="J71" s="1755">
        <f t="shared" si="10"/>
        <v>833289.72138264182</v>
      </c>
      <c r="K71" s="1755">
        <f t="shared" si="10"/>
        <v>843330.00052814896</v>
      </c>
    </row>
    <row r="72" spans="1:11">
      <c r="A72" s="1753" t="s">
        <v>4293</v>
      </c>
      <c r="B72" s="1755">
        <f t="shared" ref="B72:G72" si="11">IF($B$25="N/A",B65,B65+$B$25)</f>
        <v>-548451.73600000003</v>
      </c>
      <c r="C72" s="1755">
        <f t="shared" si="11"/>
        <v>-548451.73600000003</v>
      </c>
      <c r="D72" s="1755">
        <f t="shared" si="11"/>
        <v>-548451.73600000003</v>
      </c>
      <c r="E72" s="1755">
        <f t="shared" si="11"/>
        <v>-548451.73600000003</v>
      </c>
      <c r="F72" s="1755">
        <f t="shared" si="11"/>
        <v>-548451.73600000003</v>
      </c>
      <c r="G72" s="1755">
        <f t="shared" si="11"/>
        <v>-548451.73600000003</v>
      </c>
      <c r="H72" s="1755">
        <f t="shared" ref="H72:K72" si="12">IF($B$25="N/A",H65,H65+$B$25)</f>
        <v>-548451.73600000003</v>
      </c>
      <c r="I72" s="1755">
        <f t="shared" si="12"/>
        <v>-548451.73600000003</v>
      </c>
      <c r="J72" s="1755">
        <f t="shared" si="12"/>
        <v>-548451.73600000003</v>
      </c>
      <c r="K72" s="1755">
        <f t="shared" si="12"/>
        <v>-548451.73600000003</v>
      </c>
    </row>
    <row r="73" spans="1:11">
      <c r="A73" s="1753" t="s">
        <v>4294</v>
      </c>
      <c r="B73" s="1754">
        <f>+'Part VII-Pro Forma'!B58</f>
        <v>0</v>
      </c>
      <c r="C73" s="1754">
        <f>+'Part VII-Pro Forma'!C58</f>
        <v>0</v>
      </c>
      <c r="D73" s="1754">
        <f>+'Part VII-Pro Forma'!D58</f>
        <v>0</v>
      </c>
      <c r="E73" s="1754">
        <f>+'Part VII-Pro Forma'!E58</f>
        <v>0</v>
      </c>
      <c r="F73" s="1754">
        <f>+'Part VII-Pro Forma'!F58</f>
        <v>0</v>
      </c>
      <c r="G73" s="1754">
        <f>+'Part VII-Pro Forma'!G58</f>
        <v>0</v>
      </c>
      <c r="H73" s="1754">
        <f>+'Part VII-Pro Forma'!H58</f>
        <v>0</v>
      </c>
      <c r="I73" s="1754">
        <f>+'Part VII-Pro Forma'!I58</f>
        <v>0</v>
      </c>
      <c r="J73" s="1754">
        <f>+'Part VII-Pro Forma'!J58</f>
        <v>0</v>
      </c>
      <c r="K73" s="1754">
        <f>+'Part VII-Pro Forma'!K58</f>
        <v>0</v>
      </c>
    </row>
    <row r="74" spans="1:11">
      <c r="A74" s="1753" t="s">
        <v>4295</v>
      </c>
      <c r="B74" s="1755">
        <f t="shared" ref="B74:G74" si="13">+SUM(B71:B73)</f>
        <v>205206.84356399009</v>
      </c>
      <c r="C74" s="1755">
        <f t="shared" si="13"/>
        <v>215049.911125888</v>
      </c>
      <c r="D74" s="1755">
        <f t="shared" si="13"/>
        <v>224933.54411814339</v>
      </c>
      <c r="E74" s="1755">
        <f t="shared" si="13"/>
        <v>234852.48697173537</v>
      </c>
      <c r="F74" s="1755">
        <f t="shared" si="13"/>
        <v>244804.27779993636</v>
      </c>
      <c r="G74" s="1755">
        <f t="shared" si="13"/>
        <v>254783.24003576348</v>
      </c>
      <c r="H74" s="1755">
        <f t="shared" ref="H74:K74" si="14">+SUM(H71:H73)</f>
        <v>264784.47377510299</v>
      </c>
      <c r="I74" s="1755">
        <f t="shared" si="14"/>
        <v>274804.84681578795</v>
      </c>
      <c r="J74" s="1755">
        <f t="shared" si="14"/>
        <v>284837.98538264178</v>
      </c>
      <c r="K74" s="1755">
        <f t="shared" si="14"/>
        <v>294878.26452814892</v>
      </c>
    </row>
    <row r="75" spans="1:11">
      <c r="A75" s="1753" t="s">
        <v>4136</v>
      </c>
      <c r="B75" s="1755">
        <f t="shared" ref="B75:G75" si="15">-B74</f>
        <v>-205206.84356399009</v>
      </c>
      <c r="C75" s="1755">
        <f t="shared" si="15"/>
        <v>-215049.911125888</v>
      </c>
      <c r="D75" s="1755">
        <f t="shared" si="15"/>
        <v>-224933.54411814339</v>
      </c>
      <c r="E75" s="1755">
        <f t="shared" si="15"/>
        <v>-234852.48697173537</v>
      </c>
      <c r="F75" s="1755">
        <f t="shared" si="15"/>
        <v>-244804.27779993636</v>
      </c>
      <c r="G75" s="1755">
        <f t="shared" si="15"/>
        <v>-254783.24003576348</v>
      </c>
      <c r="H75" s="1755">
        <f t="shared" ref="H75:K75" si="16">-H74</f>
        <v>-264784.47377510299</v>
      </c>
      <c r="I75" s="1755">
        <f t="shared" si="16"/>
        <v>-274804.84681578795</v>
      </c>
      <c r="J75" s="1755">
        <f t="shared" si="16"/>
        <v>-284837.98538264178</v>
      </c>
      <c r="K75" s="1755">
        <f t="shared" si="16"/>
        <v>-294878.26452814892</v>
      </c>
    </row>
    <row r="76" spans="1:11">
      <c r="A76" s="1753" t="s">
        <v>4296</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4297</v>
      </c>
      <c r="B78" s="1754">
        <f>IF($B$26="","",-FV('Part III-Sources of Funds'!$K$37/12,12,B72/12,K58))</f>
        <v>3015533.5166635616</v>
      </c>
      <c r="C78" s="1754">
        <f>IF($B$26="","",-FV('Part III-Sources of Funds'!$K$37/12,12,C72/12,B78))</f>
        <v>2623142.6020322861</v>
      </c>
      <c r="D78" s="1754">
        <f>IF($B$26="","",-FV('Part III-Sources of Funds'!$K$37/12,12,D72/12,C78))</f>
        <v>2208617.7554719364</v>
      </c>
      <c r="E78" s="1754">
        <f>IF($B$26="","",-FV('Part III-Sources of Funds'!$K$37/12,12,E72/12,D78))</f>
        <v>1770710.4492404757</v>
      </c>
      <c r="F78" s="1754">
        <f>IF($B$26="","",-FV('Part III-Sources of Funds'!$K$37/12,12,F72/12,E78))</f>
        <v>1308101.7288173046</v>
      </c>
      <c r="G78" s="1754">
        <f>IF($B$26="","",-FV('Part III-Sources of Funds'!$K$37/12,12,G72/12,F78))</f>
        <v>819398.24027937208</v>
      </c>
      <c r="H78" s="1754">
        <f>IF($B$26="","",-FV('Part III-Sources of Funds'!$K$37/12,12,H72/12,G78))</f>
        <v>303128.03359006788</v>
      </c>
      <c r="I78" s="1754">
        <f>IF($B$26="","",-FV('Part III-Sources of Funds'!$K$37/12,12,I72/12,H78))</f>
        <v>-242263.8708393781</v>
      </c>
      <c r="J78" s="1754">
        <f>IF($B$26="","",-FV('Part III-Sources of Funds'!$K$37/12,12,J72/12,I78))</f>
        <v>-818420.1656692815</v>
      </c>
      <c r="K78" s="1754">
        <f>IF($B$26="","",-FV('Part III-Sources of Funds'!$K$37/12,12,K72/12,J78))</f>
        <v>-1427076.2043381976</v>
      </c>
    </row>
    <row r="79" spans="1:11">
      <c r="A79" s="1753" t="s">
        <v>4137</v>
      </c>
    </row>
    <row r="82" spans="1:2">
      <c r="A82" s="1753" t="s">
        <v>4298</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92" t="s">
        <v>2935</v>
      </c>
      <c r="B1" s="3692"/>
      <c r="C1" s="3692"/>
      <c r="D1" s="3692"/>
      <c r="E1" s="3692"/>
      <c r="F1" s="3692"/>
      <c r="G1" s="3692"/>
      <c r="H1" s="3692"/>
      <c r="I1" s="3692"/>
      <c r="J1" s="3692"/>
    </row>
    <row r="2" spans="1:11" ht="15.75">
      <c r="A2" s="3692" t="str">
        <f>Overview!C8</f>
        <v>McIntosh Woods</v>
      </c>
      <c r="B2" s="3692"/>
      <c r="C2" s="3692"/>
      <c r="D2" s="3692"/>
      <c r="E2" s="3692"/>
      <c r="F2" s="3692"/>
      <c r="G2" s="3692"/>
      <c r="H2" s="3692"/>
      <c r="I2" s="3692"/>
      <c r="J2" s="3692"/>
    </row>
    <row r="3" spans="1:11" ht="15.75">
      <c r="A3" s="3692" t="str">
        <f>'Subsidy Layering Memo'!F14</f>
        <v>Newnan, Coweta</v>
      </c>
      <c r="B3" s="3692"/>
      <c r="C3" s="3692"/>
      <c r="D3" s="3692"/>
      <c r="E3" s="3692"/>
      <c r="F3" s="3692"/>
      <c r="G3" s="3692"/>
      <c r="H3" s="3692"/>
      <c r="I3" s="3692"/>
      <c r="J3" s="3692"/>
    </row>
    <row r="4" spans="1:11" ht="15.75">
      <c r="A4" s="3693" t="s">
        <v>2936</v>
      </c>
      <c r="B4" s="3692"/>
      <c r="C4" s="3692"/>
      <c r="D4" s="3692"/>
      <c r="E4" s="3692"/>
      <c r="F4" s="3692"/>
      <c r="G4" s="3692"/>
      <c r="H4" s="3692"/>
      <c r="I4" s="3692"/>
      <c r="J4" s="3692"/>
    </row>
    <row r="5" spans="1:11" ht="5.25" customHeight="1"/>
    <row r="6" spans="1:11" ht="5.25" customHeight="1"/>
    <row r="7" spans="1:11" ht="15.75">
      <c r="A7" s="3694" t="s">
        <v>2937</v>
      </c>
      <c r="B7" s="3694"/>
      <c r="C7" s="3695"/>
    </row>
    <row r="8" spans="1:11" ht="102.75" customHeight="1">
      <c r="A8" s="3691" t="s">
        <v>4300</v>
      </c>
      <c r="B8" s="3691"/>
      <c r="C8" s="3691"/>
      <c r="D8" s="3691"/>
      <c r="E8" s="3691"/>
      <c r="F8" s="3691"/>
      <c r="G8" s="3691"/>
      <c r="H8" s="3691"/>
      <c r="I8" s="3691"/>
      <c r="J8" s="3691"/>
      <c r="K8" s="803"/>
    </row>
    <row r="9" spans="1:11" ht="15.75">
      <c r="A9" s="804" t="s">
        <v>2938</v>
      </c>
    </row>
    <row r="10" spans="1:11" ht="21.75" customHeight="1">
      <c r="A10" s="3691" t="str">
        <f>'Subsidy Layering Memo'!A44</f>
        <v xml:space="preserve">Ownership entity:  (NAME) LP, a Georgia Limited Partnership, will be the ownership entity for the proposed project. </v>
      </c>
      <c r="B10" s="3697"/>
      <c r="C10" s="3697"/>
      <c r="D10" s="3697"/>
      <c r="E10" s="3697"/>
      <c r="F10" s="3697"/>
      <c r="G10" s="3697"/>
      <c r="H10" s="3697"/>
      <c r="I10" s="3697"/>
      <c r="J10" s="3691"/>
    </row>
    <row r="11" spans="1:11" ht="63.75" customHeight="1">
      <c r="A11" s="3691" t="s">
        <v>2968</v>
      </c>
      <c r="B11" s="3691"/>
      <c r="C11" s="3691"/>
      <c r="D11" s="3691"/>
      <c r="E11" s="3691"/>
      <c r="F11" s="3691"/>
      <c r="G11" s="3691"/>
      <c r="H11" s="3691"/>
      <c r="I11" s="3691"/>
      <c r="J11" s="3691"/>
    </row>
    <row r="12" spans="1:11" ht="48.75" customHeight="1">
      <c r="A12" s="3691" t="s">
        <v>2969</v>
      </c>
      <c r="B12" s="3691"/>
      <c r="C12" s="3691"/>
      <c r="D12" s="3691"/>
      <c r="E12" s="3691"/>
      <c r="F12" s="3691"/>
      <c r="G12" s="3691"/>
      <c r="H12" s="3691"/>
      <c r="I12" s="3691"/>
      <c r="J12" s="3691"/>
    </row>
    <row r="13" spans="1:11" ht="15.75">
      <c r="A13" s="804" t="s">
        <v>2939</v>
      </c>
      <c r="B13" s="805"/>
    </row>
    <row r="14" spans="1:11">
      <c r="A14" s="802" t="s">
        <v>2940</v>
      </c>
      <c r="E14" s="806" t="s">
        <v>2941</v>
      </c>
    </row>
    <row r="15" spans="1:11">
      <c r="A15" s="802" t="s">
        <v>2942</v>
      </c>
      <c r="D15" s="807">
        <f>Overview!C25</f>
        <v>8510787</v>
      </c>
    </row>
    <row r="16" spans="1:11">
      <c r="A16" s="808" t="s">
        <v>2943</v>
      </c>
      <c r="D16" s="809">
        <f>Overview!C13</f>
        <v>96</v>
      </c>
    </row>
    <row r="17" spans="1:11" ht="14.25" customHeight="1"/>
    <row r="18" spans="1:11" ht="15.75">
      <c r="A18" s="804" t="s">
        <v>2944</v>
      </c>
      <c r="B18" s="805"/>
      <c r="C18" s="805"/>
    </row>
    <row r="19" spans="1:11" ht="48.75" customHeight="1">
      <c r="A19" s="3698" t="s">
        <v>2971</v>
      </c>
      <c r="B19" s="3698"/>
      <c r="C19" s="3698"/>
      <c r="D19" s="3698"/>
      <c r="E19" s="3698"/>
      <c r="F19" s="3698"/>
      <c r="G19" s="3698"/>
      <c r="H19" s="3698"/>
      <c r="I19" s="3698"/>
      <c r="J19" s="3698"/>
    </row>
    <row r="20" spans="1:11" ht="72.75" customHeight="1">
      <c r="A20" s="3691" t="s">
        <v>3412</v>
      </c>
      <c r="B20" s="3691"/>
      <c r="C20" s="3691"/>
      <c r="D20" s="3691"/>
      <c r="E20" s="3691"/>
      <c r="F20" s="3691"/>
      <c r="G20" s="3691"/>
      <c r="H20" s="3691"/>
      <c r="I20" s="3691"/>
      <c r="J20" s="3691"/>
    </row>
    <row r="21" spans="1:11" ht="15.75">
      <c r="A21" s="804" t="s">
        <v>2945</v>
      </c>
      <c r="B21" s="805"/>
      <c r="C21" s="805"/>
      <c r="D21" s="805"/>
      <c r="E21" s="805"/>
      <c r="F21" s="805"/>
    </row>
    <row r="22" spans="1:11" ht="102.75" customHeight="1">
      <c r="A22" s="3699" t="s">
        <v>2964</v>
      </c>
      <c r="B22" s="3699"/>
      <c r="C22" s="3699"/>
      <c r="D22" s="3699"/>
      <c r="E22" s="3699"/>
      <c r="F22" s="3699"/>
      <c r="G22" s="3699"/>
      <c r="H22" s="3699"/>
      <c r="I22" s="3699"/>
      <c r="J22" s="3699"/>
      <c r="K22" s="2402"/>
    </row>
    <row r="23" spans="1:11" ht="15" customHeight="1">
      <c r="A23" s="3696"/>
      <c r="B23" s="3696"/>
      <c r="C23" s="3696"/>
      <c r="D23" s="3696"/>
      <c r="E23" s="3696"/>
      <c r="F23" s="3696"/>
      <c r="G23" s="3696"/>
      <c r="H23" s="3696"/>
      <c r="I23" s="3696"/>
      <c r="J23" s="3696"/>
      <c r="K23" s="802" t="s">
        <v>245</v>
      </c>
    </row>
    <row r="24" spans="1:11" ht="15" customHeight="1">
      <c r="B24" s="2401"/>
      <c r="C24" s="2401"/>
      <c r="D24" s="2401"/>
      <c r="E24" s="2401"/>
      <c r="F24" s="2401"/>
      <c r="G24" s="2401"/>
      <c r="H24" s="2401"/>
      <c r="I24" s="2401" t="s">
        <v>245</v>
      </c>
      <c r="J24" s="2401"/>
    </row>
    <row r="25" spans="1:11" ht="15.75">
      <c r="A25" s="805" t="s">
        <v>2946</v>
      </c>
    </row>
    <row r="27" spans="1:11" ht="15.75"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6" t="s">
        <v>3007</v>
      </c>
      <c r="B1" s="868"/>
      <c r="C1" s="868"/>
      <c r="D1" s="868"/>
      <c r="E1" s="868"/>
      <c r="F1" s="868"/>
      <c r="G1" s="868"/>
      <c r="H1" s="868"/>
      <c r="I1" s="868"/>
      <c r="J1" s="868"/>
      <c r="K1" s="868"/>
      <c r="L1" s="805"/>
      <c r="M1" s="805"/>
    </row>
    <row r="2" spans="1:14" s="287" customFormat="1" ht="18">
      <c r="A2" s="1766" t="str">
        <f>+"Financial Analysis for:  "&amp;E8&amp;"  "&amp;C8</f>
        <v>Financial Analysis for:  2018-0  McIntosh Woods</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3008</v>
      </c>
      <c r="B7" s="802"/>
      <c r="C7" s="842"/>
      <c r="D7" s="843"/>
      <c r="E7" s="843"/>
      <c r="F7" s="805" t="s">
        <v>3338</v>
      </c>
      <c r="G7" s="802"/>
      <c r="H7" s="370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700"/>
      <c r="J7" s="3700"/>
      <c r="K7" s="3700"/>
      <c r="L7" s="802"/>
      <c r="M7" s="802"/>
    </row>
    <row r="8" spans="1:14" ht="15.75">
      <c r="A8" s="805" t="s">
        <v>3009</v>
      </c>
      <c r="B8" s="805"/>
      <c r="C8" s="3700" t="str">
        <f>'Part I-Project Information'!F34</f>
        <v>McIntosh Woods</v>
      </c>
      <c r="D8" s="3700"/>
      <c r="E8" s="2404" t="str">
        <f>'Part I-Project Information'!O6</f>
        <v>2018-0</v>
      </c>
      <c r="F8" s="844" t="s">
        <v>3010</v>
      </c>
      <c r="G8" s="843"/>
      <c r="H8" s="3700" t="str">
        <f>CONCATENATE('Part I-Project Information'!F38,", ",'Part I-Project Information'!J39)</f>
        <v>Newnan, Coweta</v>
      </c>
      <c r="I8" s="3700"/>
      <c r="J8" s="3700"/>
      <c r="K8" s="3700"/>
      <c r="L8" s="802"/>
      <c r="M8" s="845"/>
    </row>
    <row r="9" spans="1:14" ht="15.75">
      <c r="A9" s="805" t="s">
        <v>3012</v>
      </c>
      <c r="B9" s="805"/>
      <c r="C9" s="3700" t="s">
        <v>1784</v>
      </c>
      <c r="D9" s="3700"/>
      <c r="E9" s="843"/>
      <c r="F9" s="844" t="s">
        <v>3013</v>
      </c>
      <c r="G9" s="843"/>
      <c r="H9" s="3700" t="str">
        <f>'Part II-Development Team'!H5</f>
        <v>Oracle Newnan 2018, LP</v>
      </c>
      <c r="I9" s="3700"/>
      <c r="J9" s="3700"/>
      <c r="K9" s="3700"/>
      <c r="L9" s="3700"/>
      <c r="M9" s="845"/>
    </row>
    <row r="10" spans="1:14" ht="15.75">
      <c r="A10" s="805" t="s">
        <v>3015</v>
      </c>
      <c r="B10" s="802"/>
      <c r="C10" s="2404" t="str">
        <f>'Part II-Development Team'!H14</f>
        <v>Oracle Newnan 2018 GP, LLC</v>
      </c>
      <c r="D10" s="843"/>
      <c r="E10" s="843"/>
      <c r="F10" s="844" t="s">
        <v>3585</v>
      </c>
      <c r="G10" s="843"/>
      <c r="H10" s="3700" t="str">
        <f>'Part II-Development Team'!H33</f>
        <v>PROPOSED - Bank of America Merrill Lynch</v>
      </c>
      <c r="I10" s="3700"/>
      <c r="J10" s="3700"/>
      <c r="K10" s="3700" t="str">
        <f>'Part II-Development Team'!H39</f>
        <v>Same Proposed as Federal Limited Partner</v>
      </c>
      <c r="L10" s="3700"/>
    </row>
    <row r="11" spans="1:14" ht="15.75">
      <c r="A11" s="805" t="s">
        <v>3016</v>
      </c>
      <c r="B11" s="802"/>
      <c r="C11" s="2404" t="str">
        <f>IF('Part II-Development Team'!H20="","",'Part II-Development Team'!H20)</f>
        <v/>
      </c>
      <c r="D11" s="843"/>
      <c r="E11" s="1771" t="str">
        <f>IF('Part II-Development Team'!H26="","",'Part II-Development Team'!H26)</f>
        <v/>
      </c>
      <c r="F11" s="844" t="s">
        <v>658</v>
      </c>
      <c r="G11" s="843"/>
      <c r="H11" s="3700" t="str">
        <f>'Part II-Development Team'!H54</f>
        <v>Oracle Consulting Services, LLC</v>
      </c>
      <c r="I11" s="3700"/>
      <c r="J11" s="3700"/>
      <c r="K11" s="3700">
        <f>'Part II-Development Team'!H60</f>
        <v>0</v>
      </c>
      <c r="L11" s="3700"/>
      <c r="M11" s="3700">
        <f>'Part II-Development Team'!H66</f>
        <v>0</v>
      </c>
      <c r="N11" s="3700"/>
    </row>
    <row r="12" spans="1:14" ht="15.75">
      <c r="A12" s="805" t="s">
        <v>3017</v>
      </c>
      <c r="B12" s="802"/>
      <c r="C12" s="2404" t="str">
        <f>'Part II-Development Team'!H86</f>
        <v>To be determined via negotiated bid during design phase</v>
      </c>
      <c r="D12" s="843"/>
      <c r="E12" s="843"/>
      <c r="F12" s="844" t="s">
        <v>3018</v>
      </c>
      <c r="G12" s="843"/>
      <c r="H12" s="3700" t="str">
        <f>'Part II-Development Team'!H92</f>
        <v>PROPOSED - Gateway Management Company</v>
      </c>
      <c r="I12" s="3700"/>
      <c r="J12" s="3700"/>
      <c r="K12" s="3700"/>
      <c r="L12" s="802"/>
      <c r="M12" s="802"/>
    </row>
    <row r="13" spans="1:14" ht="15.75">
      <c r="A13" s="805" t="s">
        <v>3019</v>
      </c>
      <c r="B13" s="844"/>
      <c r="C13" s="801">
        <f>'Part VI-Revenues &amp; Expenses'!$O$62</f>
        <v>96</v>
      </c>
      <c r="E13" s="1772">
        <f>'Part VI-Revenues &amp; Expenses'!$O$58</f>
        <v>96</v>
      </c>
      <c r="F13" s="844" t="s">
        <v>4310</v>
      </c>
      <c r="G13" s="843"/>
      <c r="H13" s="2405">
        <f>'Part I-Project Information'!H72</f>
        <v>17</v>
      </c>
      <c r="I13" s="1773"/>
      <c r="J13" s="1773"/>
      <c r="K13" s="2405">
        <f>'Part I-Project Information'!P71</f>
        <v>122300</v>
      </c>
      <c r="L13" s="802"/>
      <c r="M13" s="802"/>
    </row>
    <row r="14" spans="1:14" ht="15.75">
      <c r="A14" s="805" t="s">
        <v>3327</v>
      </c>
      <c r="B14" s="802"/>
      <c r="C14" s="2405" t="str">
        <f>'Part I-Project Information'!H78</f>
        <v>Family</v>
      </c>
      <c r="D14" s="3700" t="str">
        <f>IF('Part I-Project Information'!N70=0,"",'Part I-Project Information'!N70)</f>
        <v/>
      </c>
      <c r="E14" s="3700"/>
      <c r="F14" s="844" t="s">
        <v>3020</v>
      </c>
      <c r="G14" s="843"/>
      <c r="H14" s="3701" t="s">
        <v>3524</v>
      </c>
      <c r="I14" s="3701"/>
      <c r="J14" s="3701"/>
      <c r="K14" s="3701" t="s">
        <v>3524</v>
      </c>
      <c r="L14" s="3701"/>
      <c r="M14" s="802"/>
    </row>
    <row r="15" spans="1:14" ht="15.75">
      <c r="A15" s="805" t="s">
        <v>3021</v>
      </c>
      <c r="B15" s="802"/>
      <c r="C15" s="846" t="s">
        <v>1784</v>
      </c>
      <c r="D15" s="843"/>
      <c r="E15" s="843"/>
      <c r="F15" s="844" t="s">
        <v>3328</v>
      </c>
      <c r="G15" s="843"/>
      <c r="H15" s="2404" t="str">
        <f>'Part I-Project Information'!K40</f>
        <v>Urban</v>
      </c>
      <c r="I15" s="843"/>
      <c r="J15" s="843"/>
      <c r="K15" s="843"/>
      <c r="L15" s="802"/>
      <c r="M15" s="802"/>
    </row>
    <row r="16" spans="1:14" ht="15.75">
      <c r="A16" s="805" t="s">
        <v>3558</v>
      </c>
      <c r="B16" s="802"/>
      <c r="C16" s="2404">
        <f>'Part I-Project Information'!H96</f>
        <v>0</v>
      </c>
      <c r="D16" s="847" t="s">
        <v>2696</v>
      </c>
      <c r="E16" s="2404">
        <f>'Part I-Project Information'!H98</f>
        <v>0</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3330</v>
      </c>
      <c r="B18" s="802"/>
      <c r="C18" s="2407">
        <f>'Part IV-A-Uses of Funds'!G132</f>
        <v>20706223.689910028</v>
      </c>
      <c r="D18" s="1829">
        <f>IF(C18=0,"",$C$29/C18)</f>
        <v>0.41102555093844739</v>
      </c>
      <c r="E18" s="843" t="s">
        <v>3331</v>
      </c>
      <c r="F18" s="844" t="s">
        <v>3332</v>
      </c>
      <c r="G18" s="843"/>
      <c r="H18" s="3702">
        <f>'Part IV-A-Uses of Funds'!B44</f>
        <v>12959999.939999999</v>
      </c>
      <c r="I18" s="3702"/>
      <c r="J18" s="1828">
        <f>IF(H18=0,"",$C$29/H18)</f>
        <v>0.65669653081803947</v>
      </c>
      <c r="K18" s="3700" t="s">
        <v>3333</v>
      </c>
      <c r="L18" s="3700"/>
      <c r="M18" s="802"/>
    </row>
    <row r="19" spans="1:13" ht="15.75">
      <c r="A19" s="805" t="s">
        <v>3022</v>
      </c>
      <c r="B19" s="802"/>
      <c r="C19" s="2406">
        <f>C18/C13</f>
        <v>215689.83010322947</v>
      </c>
      <c r="D19" s="843"/>
      <c r="E19" s="802"/>
      <c r="F19" s="805" t="s">
        <v>3022</v>
      </c>
      <c r="G19" s="802"/>
      <c r="H19" s="3703">
        <f>H18/C13</f>
        <v>134999.99937499998</v>
      </c>
      <c r="I19" s="3703"/>
      <c r="J19" s="802"/>
      <c r="K19" s="802"/>
      <c r="L19" s="802"/>
      <c r="M19" s="802"/>
    </row>
    <row r="20" spans="1:13" ht="15.75">
      <c r="A20" s="805" t="s">
        <v>3023</v>
      </c>
      <c r="B20" s="802"/>
      <c r="C20" s="2408">
        <f>C18/K13</f>
        <v>169.30681676132485</v>
      </c>
      <c r="D20" s="848"/>
      <c r="E20" s="849"/>
      <c r="F20" s="805" t="s">
        <v>3023</v>
      </c>
      <c r="G20" s="802"/>
      <c r="H20" s="3704">
        <f>H18/K13</f>
        <v>105.96892837285364</v>
      </c>
      <c r="I20" s="3703"/>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75">
      <c r="A25" s="805" t="s">
        <v>3026</v>
      </c>
      <c r="B25" s="854" t="str">
        <f>'Part III-Sources of Funds'!E37</f>
        <v>Bank of America</v>
      </c>
      <c r="C25" s="855">
        <f>'Part III-Sources of Funds'!I37</f>
        <v>8510787</v>
      </c>
      <c r="D25" s="856" t="s">
        <v>3027</v>
      </c>
      <c r="E25" s="802"/>
      <c r="F25" s="843"/>
      <c r="G25" s="802" t="s">
        <v>3028</v>
      </c>
      <c r="H25" s="802"/>
      <c r="I25" s="802"/>
      <c r="K25" s="855"/>
      <c r="L25" s="843"/>
      <c r="M25" s="845"/>
    </row>
    <row r="26" spans="1:13" ht="15">
      <c r="A26" s="802"/>
      <c r="B26" s="854"/>
      <c r="C26" s="855"/>
      <c r="D26" s="856"/>
      <c r="E26" s="802"/>
      <c r="F26" s="843"/>
      <c r="G26" s="802" t="s">
        <v>3029</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3030</v>
      </c>
      <c r="H28" s="802"/>
      <c r="I28" s="802"/>
      <c r="K28" s="855"/>
      <c r="L28" s="843"/>
      <c r="M28" s="802"/>
    </row>
    <row r="29" spans="1:13" ht="16.5" thickBot="1">
      <c r="A29" s="802"/>
      <c r="B29" s="858" t="s">
        <v>3031</v>
      </c>
      <c r="C29" s="859">
        <f>SUM(C25:C27)</f>
        <v>8510787</v>
      </c>
      <c r="D29" s="802"/>
      <c r="E29" s="802"/>
      <c r="F29" s="843"/>
      <c r="G29" s="802" t="s">
        <v>3032</v>
      </c>
      <c r="H29" s="802"/>
      <c r="I29" s="802"/>
      <c r="K29" s="857" t="e">
        <f>C29/K28</f>
        <v>#DIV/0!</v>
      </c>
      <c r="L29" s="843"/>
      <c r="M29" s="802"/>
    </row>
    <row r="30" spans="1:13" ht="16.5" thickTop="1">
      <c r="A30" s="805" t="s">
        <v>3033</v>
      </c>
      <c r="B30" s="858"/>
      <c r="C30" s="860">
        <f>'Part III-Sources of Funds'!$I$49+'Part III-Sources of Funds'!$I$50</f>
        <v>11930770</v>
      </c>
      <c r="D30" s="802"/>
      <c r="E30" s="802"/>
      <c r="F30" s="843"/>
      <c r="G30" s="802"/>
      <c r="H30" s="802"/>
      <c r="I30" s="802"/>
      <c r="K30" s="861"/>
      <c r="L30" s="843"/>
      <c r="M30" s="802"/>
    </row>
    <row r="31" spans="1:13" ht="15">
      <c r="A31" s="862" t="s">
        <v>3034</v>
      </c>
      <c r="B31" s="854">
        <f>'Part III-Sources of Funds'!E38</f>
        <v>0</v>
      </c>
      <c r="C31" s="855">
        <f>'Part III-Sources of Funds'!I38</f>
        <v>0</v>
      </c>
      <c r="D31" s="856"/>
      <c r="E31" s="802"/>
      <c r="F31" s="843"/>
      <c r="G31" s="802"/>
      <c r="H31" s="802"/>
      <c r="I31" s="802"/>
      <c r="K31" s="802"/>
      <c r="L31" s="843"/>
      <c r="M31" s="802"/>
    </row>
    <row r="32" spans="1:13" ht="15">
      <c r="A32" s="862" t="s">
        <v>3034</v>
      </c>
      <c r="B32" s="854">
        <f>'Part III-Sources of Funds'!E39</f>
        <v>0</v>
      </c>
      <c r="C32" s="855">
        <f>'Part III-Sources of Funds'!I39</f>
        <v>0</v>
      </c>
      <c r="D32" s="856"/>
      <c r="E32" s="802" t="s">
        <v>245</v>
      </c>
      <c r="F32" s="843"/>
      <c r="G32" s="802" t="s">
        <v>3035</v>
      </c>
      <c r="H32" s="802"/>
      <c r="I32" s="802"/>
      <c r="K32" s="855"/>
      <c r="L32" s="843"/>
      <c r="M32" s="843"/>
    </row>
    <row r="33" spans="1:13" ht="15">
      <c r="A33" s="802"/>
      <c r="B33" s="843"/>
      <c r="C33" s="863"/>
      <c r="D33" s="802"/>
      <c r="E33" s="802"/>
      <c r="F33" s="843"/>
      <c r="G33" s="1776" t="s">
        <v>3036</v>
      </c>
      <c r="H33" s="1776"/>
      <c r="I33" s="1776"/>
      <c r="K33" s="857" t="e">
        <f>$C$29/K32</f>
        <v>#DIV/0!</v>
      </c>
      <c r="L33" s="843"/>
      <c r="M33" s="864"/>
    </row>
    <row r="34" spans="1:13" ht="15.75">
      <c r="A34" s="802"/>
      <c r="B34" s="858" t="s">
        <v>3037</v>
      </c>
      <c r="C34" s="863">
        <f>SUM(C31:C32)</f>
        <v>0</v>
      </c>
      <c r="D34" s="802"/>
      <c r="E34" s="802"/>
      <c r="F34" s="802"/>
      <c r="G34" s="802"/>
      <c r="H34" s="802"/>
      <c r="I34" s="802"/>
      <c r="K34" s="843"/>
      <c r="L34" s="802"/>
      <c r="M34" s="864"/>
    </row>
    <row r="35" spans="1:13" ht="15.75">
      <c r="A35" s="802"/>
      <c r="B35" s="858"/>
      <c r="C35" s="802"/>
      <c r="D35" s="802"/>
      <c r="E35" s="802"/>
      <c r="F35" s="802"/>
      <c r="G35" s="1776" t="s">
        <v>3038</v>
      </c>
      <c r="H35" s="1776"/>
      <c r="I35" s="1776"/>
      <c r="K35" s="865" t="e">
        <f>(C36)/K25</f>
        <v>#DIV/0!</v>
      </c>
      <c r="L35" s="802"/>
      <c r="M35" s="843"/>
    </row>
    <row r="36" spans="1:13" ht="15.75">
      <c r="A36" s="802"/>
      <c r="B36" s="858" t="s">
        <v>3039</v>
      </c>
      <c r="C36" s="863">
        <f>C29+C34</f>
        <v>8510787</v>
      </c>
      <c r="D36" s="802"/>
      <c r="E36" s="802"/>
      <c r="F36" s="802"/>
      <c r="G36" s="802"/>
      <c r="H36" s="802"/>
      <c r="I36" s="802"/>
      <c r="K36" s="843"/>
      <c r="L36" s="802"/>
      <c r="M36" s="843"/>
    </row>
    <row r="37" spans="1:13" ht="15.75">
      <c r="A37" s="802"/>
      <c r="B37" s="858"/>
      <c r="C37" s="866"/>
      <c r="D37" s="802"/>
      <c r="E37" s="802"/>
      <c r="F37" s="802"/>
      <c r="G37" s="1776" t="s">
        <v>3040</v>
      </c>
      <c r="H37" s="1776"/>
      <c r="I37" s="1776"/>
      <c r="K37" s="1777" t="e">
        <f>+(C36)/K32</f>
        <v>#DIV/0!</v>
      </c>
      <c r="L37" s="802"/>
      <c r="M37" s="864"/>
    </row>
    <row r="38" spans="1:13" ht="15.75">
      <c r="A38" s="802"/>
      <c r="B38" s="858" t="s">
        <v>3041</v>
      </c>
      <c r="C38" s="867">
        <f>C36/C18</f>
        <v>0.41102555093844739</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3042</v>
      </c>
      <c r="C40" s="867">
        <f>C36/H18</f>
        <v>0.65669653081803947</v>
      </c>
      <c r="D40" s="802"/>
      <c r="E40" s="802"/>
      <c r="F40" s="805"/>
      <c r="G40" s="805" t="s">
        <v>3043</v>
      </c>
      <c r="H40" s="802"/>
      <c r="I40" s="802"/>
      <c r="K40" s="857">
        <f>C30/C18</f>
        <v>0.5761924616806765</v>
      </c>
      <c r="L40" s="802"/>
      <c r="M40" s="802"/>
    </row>
    <row r="46" spans="1:13" ht="15.75">
      <c r="A46" s="868" t="s">
        <v>3044</v>
      </c>
      <c r="B46" s="838"/>
      <c r="C46" s="838"/>
      <c r="D46" s="838"/>
      <c r="E46" s="838"/>
      <c r="F46" s="838"/>
      <c r="G46" s="838"/>
      <c r="H46" s="838"/>
      <c r="I46" s="838"/>
      <c r="J46" s="838"/>
      <c r="K46" s="838"/>
      <c r="L46" s="838"/>
      <c r="M46" s="802"/>
    </row>
    <row r="47" spans="1:13" ht="15.75">
      <c r="A47" s="868" t="str">
        <f>C8</f>
        <v>McIntosh Woods</v>
      </c>
      <c r="B47" s="838"/>
      <c r="C47" s="838"/>
      <c r="D47" s="838"/>
      <c r="E47" s="838"/>
      <c r="F47" s="838"/>
      <c r="G47" s="838"/>
      <c r="H47" s="838"/>
      <c r="I47" s="838"/>
      <c r="J47" s="838"/>
      <c r="K47" s="838"/>
      <c r="L47" s="838"/>
      <c r="M47" s="802"/>
    </row>
    <row r="50" spans="1:14" s="802" customFormat="1" ht="15.75">
      <c r="A50" s="805" t="s">
        <v>3045</v>
      </c>
      <c r="C50" s="869" t="s">
        <v>3046</v>
      </c>
      <c r="E50" s="870" t="s">
        <v>3525</v>
      </c>
      <c r="F50" s="871">
        <v>0.1</v>
      </c>
      <c r="G50" s="870" t="s">
        <v>3526</v>
      </c>
      <c r="H50" s="871">
        <v>0.05</v>
      </c>
      <c r="I50" s="870" t="s">
        <v>3527</v>
      </c>
      <c r="J50" s="871">
        <v>0.03</v>
      </c>
      <c r="K50" s="3705" t="s">
        <v>3047</v>
      </c>
      <c r="L50" s="3706"/>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3048</v>
      </c>
      <c r="C52" s="874">
        <f>'Part VII-Pro Forma'!B14</f>
        <v>1174512</v>
      </c>
      <c r="D52" s="874"/>
      <c r="E52" s="874">
        <f>$C$52</f>
        <v>1174512</v>
      </c>
      <c r="F52" s="874"/>
      <c r="G52" s="874">
        <f>$C$52</f>
        <v>1174512</v>
      </c>
      <c r="H52" s="874"/>
      <c r="I52" s="874">
        <f>$C$52</f>
        <v>1174512</v>
      </c>
      <c r="J52" s="874"/>
      <c r="K52" s="874">
        <f>$C$52</f>
        <v>1174512</v>
      </c>
      <c r="L52" s="875"/>
      <c r="M52" s="28"/>
      <c r="N52" s="28"/>
    </row>
    <row r="53" spans="1:14" s="802" customFormat="1" ht="18.75" customHeight="1">
      <c r="B53" s="873" t="s">
        <v>3051</v>
      </c>
      <c r="C53" s="874">
        <f>'Part VII-Pro Forma'!B15</f>
        <v>23490.240000000002</v>
      </c>
      <c r="D53" s="874"/>
      <c r="E53" s="874">
        <f>$C$53</f>
        <v>23490.240000000002</v>
      </c>
      <c r="F53" s="874"/>
      <c r="G53" s="874">
        <f>$C$53</f>
        <v>23490.240000000002</v>
      </c>
      <c r="H53" s="874"/>
      <c r="I53" s="874">
        <f>$C$53</f>
        <v>23490.240000000002</v>
      </c>
      <c r="J53" s="874"/>
      <c r="K53" s="874">
        <f>$C$53</f>
        <v>23490.240000000002</v>
      </c>
      <c r="L53" s="875"/>
      <c r="M53" s="28"/>
      <c r="N53" s="28"/>
    </row>
    <row r="54" spans="1:14" s="802" customFormat="1" ht="18.75" customHeight="1">
      <c r="B54" s="873" t="s">
        <v>3049</v>
      </c>
      <c r="C54" s="874">
        <f>'Part VII-Pro Forma'!B16</f>
        <v>-83860.156800000012</v>
      </c>
      <c r="D54" s="874"/>
      <c r="E54" s="874">
        <f>-($C$52+E53)*F50</f>
        <v>-119800.224</v>
      </c>
      <c r="F54" s="876"/>
      <c r="G54" s="874">
        <f>-($C$52+G53)*0.07</f>
        <v>-83860.156800000012</v>
      </c>
      <c r="H54" s="874"/>
      <c r="I54" s="874">
        <f>-($C$52+I53)*0.07</f>
        <v>-83860.156800000012</v>
      </c>
      <c r="J54" s="874"/>
      <c r="K54" s="874">
        <f>-($C$52+K53)*L54</f>
        <v>-119800.224</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1114142.0832</v>
      </c>
      <c r="D56" s="874"/>
      <c r="E56" s="880">
        <f>SUM(E52:E55)</f>
        <v>1078202.0160000001</v>
      </c>
      <c r="F56" s="874"/>
      <c r="G56" s="880">
        <f>SUM(G52:G55)</f>
        <v>1114142.0832</v>
      </c>
      <c r="H56" s="874"/>
      <c r="I56" s="880">
        <f>SUM(I52:I55)</f>
        <v>1114142.0832</v>
      </c>
      <c r="J56" s="874"/>
      <c r="K56" s="880">
        <f>SUM(K52:K55)</f>
        <v>1078202.0160000001</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110900</v>
      </c>
      <c r="D58" s="874"/>
      <c r="E58" s="874">
        <f>$C$58</f>
        <v>110900</v>
      </c>
      <c r="F58" s="874"/>
      <c r="G58" s="874">
        <f>$C$58</f>
        <v>110900</v>
      </c>
      <c r="H58" s="874"/>
      <c r="I58" s="874">
        <f>$C$58</f>
        <v>110900</v>
      </c>
      <c r="J58" s="874"/>
      <c r="K58" s="874">
        <f>$C$58</f>
        <v>110900</v>
      </c>
      <c r="L58" s="875"/>
      <c r="M58" s="28"/>
      <c r="N58" s="28"/>
    </row>
    <row r="59" spans="1:14" s="802" customFormat="1" ht="18.75" customHeight="1">
      <c r="B59" s="873" t="s">
        <v>3054</v>
      </c>
      <c r="C59" s="874">
        <f>+'Part VI-Revenues &amp; Expenses'!F188</f>
        <v>59500</v>
      </c>
      <c r="D59" s="874"/>
      <c r="E59" s="874">
        <f>$C$59</f>
        <v>59500</v>
      </c>
      <c r="F59" s="874"/>
      <c r="G59" s="874">
        <f>$C$59</f>
        <v>59500</v>
      </c>
      <c r="H59" s="874"/>
      <c r="I59" s="874">
        <f>$C$59</f>
        <v>59500</v>
      </c>
      <c r="J59" s="874"/>
      <c r="K59" s="874">
        <f>$C$59*(1+$L$59)</f>
        <v>61880</v>
      </c>
      <c r="L59" s="882">
        <v>0.04</v>
      </c>
      <c r="M59" s="28"/>
      <c r="N59" s="28"/>
    </row>
    <row r="60" spans="1:14" s="802" customFormat="1" ht="18.75" customHeight="1">
      <c r="B60" s="873" t="s">
        <v>1387</v>
      </c>
      <c r="C60" s="874">
        <f>+'Part VI-Revenues &amp; Expenses'!K185</f>
        <v>26900</v>
      </c>
      <c r="D60" s="874"/>
      <c r="E60" s="874">
        <f>$C$60</f>
        <v>26900</v>
      </c>
      <c r="F60" s="874"/>
      <c r="G60" s="874">
        <f>$C$60</f>
        <v>26900</v>
      </c>
      <c r="H60" s="874"/>
      <c r="I60" s="874">
        <f>$C$60*(1+$J$50)</f>
        <v>27707</v>
      </c>
      <c r="J60" s="876"/>
      <c r="K60" s="874">
        <f>$C$60*(1+$J$50)</f>
        <v>27707</v>
      </c>
      <c r="L60" s="877">
        <v>0.03</v>
      </c>
      <c r="M60" s="28"/>
      <c r="N60" s="28"/>
    </row>
    <row r="61" spans="1:14" s="802" customFormat="1" ht="18.75" customHeight="1">
      <c r="B61" s="873" t="s">
        <v>1388</v>
      </c>
      <c r="C61" s="874">
        <f>+'Part VI-Revenues &amp; Expenses'!P167</f>
        <v>167851</v>
      </c>
      <c r="D61" s="874"/>
      <c r="E61" s="874">
        <f>$C$61</f>
        <v>167851</v>
      </c>
      <c r="F61" s="874"/>
      <c r="G61" s="874">
        <f>$C$61*(1+H50)</f>
        <v>176243.55000000002</v>
      </c>
      <c r="H61" s="876"/>
      <c r="I61" s="874">
        <f>$C$61</f>
        <v>167851</v>
      </c>
      <c r="J61" s="874"/>
      <c r="K61" s="874">
        <f>$C$61*(1+$L$61)</f>
        <v>176243.55000000002</v>
      </c>
      <c r="L61" s="877">
        <v>0.05</v>
      </c>
      <c r="M61" s="28"/>
      <c r="N61" s="28"/>
    </row>
    <row r="62" spans="1:14" s="802" customFormat="1" ht="18.75" customHeight="1">
      <c r="B62" s="879" t="s">
        <v>3055</v>
      </c>
      <c r="C62" s="880">
        <f>SUM(C58:C61)</f>
        <v>365151</v>
      </c>
      <c r="D62" s="874"/>
      <c r="E62" s="880">
        <f>SUM(E58:E61)</f>
        <v>365151</v>
      </c>
      <c r="F62" s="874"/>
      <c r="G62" s="880">
        <f>SUM(G58:G61)</f>
        <v>373543.55000000005</v>
      </c>
      <c r="H62" s="874"/>
      <c r="I62" s="880">
        <f>SUM(I58:I61)</f>
        <v>365958</v>
      </c>
      <c r="J62" s="874"/>
      <c r="K62" s="880">
        <f>SUM(K58:K61)</f>
        <v>376730.55000000005</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3056</v>
      </c>
      <c r="C64" s="886">
        <f>C56-C62</f>
        <v>748991.08319999999</v>
      </c>
      <c r="D64" s="886"/>
      <c r="E64" s="886">
        <f>E56-E62</f>
        <v>713051.01600000006</v>
      </c>
      <c r="F64" s="886"/>
      <c r="G64" s="886">
        <f>G56-G62</f>
        <v>740598.53319999995</v>
      </c>
      <c r="H64" s="886"/>
      <c r="I64" s="886">
        <f>I56-I62</f>
        <v>748184.08319999999</v>
      </c>
      <c r="J64" s="886"/>
      <c r="K64" s="886">
        <f>K56-K62</f>
        <v>701471.46600000001</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3057</v>
      </c>
      <c r="C66" s="881">
        <f>'Part VI-Revenues &amp; Expenses'!P179</f>
        <v>24000</v>
      </c>
      <c r="D66" s="881"/>
      <c r="E66" s="881">
        <f>$C$66</f>
        <v>24000</v>
      </c>
      <c r="F66" s="881"/>
      <c r="G66" s="881">
        <f>$C$66</f>
        <v>24000</v>
      </c>
      <c r="H66" s="881"/>
      <c r="I66" s="881">
        <f>$C$66</f>
        <v>24000</v>
      </c>
      <c r="J66" s="881"/>
      <c r="K66" s="881">
        <f>$C$66</f>
        <v>24000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3058</v>
      </c>
      <c r="C68" s="881">
        <f>'Part VI-Revenues &amp; Expenses'!P170</f>
        <v>66849</v>
      </c>
      <c r="D68" s="881"/>
      <c r="E68" s="881">
        <f>$C$68</f>
        <v>66849</v>
      </c>
      <c r="F68" s="881"/>
      <c r="G68" s="881">
        <f>$C$68</f>
        <v>66849</v>
      </c>
      <c r="H68" s="881"/>
      <c r="I68" s="881">
        <f>$C$68</f>
        <v>66849</v>
      </c>
      <c r="J68" s="881"/>
      <c r="K68" s="881">
        <f>$C$68</f>
        <v>66849</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3059</v>
      </c>
      <c r="C70" s="889">
        <f>C64-C66-C68</f>
        <v>658142.08319999999</v>
      </c>
      <c r="D70" s="890"/>
      <c r="E70" s="889">
        <f>E64-E66-E68</f>
        <v>622202.01600000006</v>
      </c>
      <c r="F70" s="890"/>
      <c r="G70" s="889">
        <f>G64-G66-G68</f>
        <v>649749.53319999995</v>
      </c>
      <c r="H70" s="890"/>
      <c r="I70" s="889">
        <f>I64-I66-I68</f>
        <v>657335.08319999999</v>
      </c>
      <c r="J70" s="890"/>
      <c r="K70" s="889">
        <f>K64-K66-K68</f>
        <v>610622.46600000001</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1.1999999908990266</v>
      </c>
      <c r="D72" s="892"/>
      <c r="E72" s="1830">
        <f>-E70/E75</f>
        <v>1.1344699459226986</v>
      </c>
      <c r="F72" s="892"/>
      <c r="G72" s="1830">
        <f>-G70/G75</f>
        <v>1.1846977329509367</v>
      </c>
      <c r="H72" s="892"/>
      <c r="I72" s="1830">
        <f>-I70/I75</f>
        <v>1.1985285761128046</v>
      </c>
      <c r="J72" s="892"/>
      <c r="K72" s="1830">
        <f>-K70/K75</f>
        <v>1.1133567847234438</v>
      </c>
      <c r="L72" s="893"/>
      <c r="M72" s="287"/>
      <c r="N72" s="287"/>
    </row>
    <row r="73" spans="1:14" s="802" customFormat="1" ht="18.75" customHeight="1">
      <c r="A73" s="28"/>
      <c r="B73" s="873" t="s">
        <v>3061</v>
      </c>
      <c r="C73" s="1831">
        <f>C76/C62</f>
        <v>0.30039721386621648</v>
      </c>
      <c r="D73" s="894"/>
      <c r="E73" s="1831">
        <f>E76/E62</f>
        <v>0.20197199471030583</v>
      </c>
      <c r="F73" s="894"/>
      <c r="G73" s="1831">
        <f>G76/G62</f>
        <v>0.27118067770267418</v>
      </c>
      <c r="H73" s="894"/>
      <c r="I73" s="1831">
        <f>I76/I62</f>
        <v>0.29752961553091561</v>
      </c>
      <c r="J73" s="894"/>
      <c r="K73" s="1831">
        <f>K76/K62</f>
        <v>0.16502703547791076</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-548451.74015953718</v>
      </c>
      <c r="D75" s="874"/>
      <c r="E75" s="874">
        <f>$C$75</f>
        <v>-548451.74015953718</v>
      </c>
      <c r="F75" s="874"/>
      <c r="G75" s="874">
        <f>$C$75</f>
        <v>-548451.74015953718</v>
      </c>
      <c r="H75" s="874"/>
      <c r="I75" s="874">
        <f>$C$75</f>
        <v>-548451.74015953718</v>
      </c>
      <c r="J75" s="874"/>
      <c r="K75" s="874">
        <f>$C$75</f>
        <v>-548451.74015953718</v>
      </c>
      <c r="L75" s="34"/>
      <c r="M75" s="28"/>
      <c r="N75" s="28"/>
    </row>
    <row r="76" spans="1:14" s="802" customFormat="1" ht="18.75" customHeight="1">
      <c r="A76" s="28"/>
      <c r="B76" s="873" t="s">
        <v>1175</v>
      </c>
      <c r="C76" s="874">
        <f>C70+C75</f>
        <v>109690.34304046282</v>
      </c>
      <c r="D76" s="874"/>
      <c r="E76" s="874">
        <f>E70+E75</f>
        <v>73750.275840462884</v>
      </c>
      <c r="F76" s="874"/>
      <c r="G76" s="874">
        <f>G70+G75</f>
        <v>101297.79304046277</v>
      </c>
      <c r="H76" s="874"/>
      <c r="I76" s="874">
        <f>I70+I75</f>
        <v>108883.34304046282</v>
      </c>
      <c r="J76" s="874"/>
      <c r="K76" s="874">
        <f>K70+K75</f>
        <v>62170.725840462837</v>
      </c>
      <c r="L76" s="34"/>
      <c r="M76" s="28"/>
      <c r="N76" s="28"/>
    </row>
    <row r="77" spans="1:14" s="802" customFormat="1" ht="1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3064</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2949</v>
      </c>
      <c r="B2" s="812"/>
      <c r="C2" s="812"/>
      <c r="D2" s="812"/>
      <c r="E2" s="813"/>
      <c r="F2" s="812"/>
      <c r="G2" s="812"/>
      <c r="H2" s="812"/>
      <c r="I2" s="812"/>
      <c r="J2" s="812"/>
    </row>
    <row r="3" spans="1:10" ht="15">
      <c r="A3" s="815"/>
    </row>
    <row r="4" spans="1:10" ht="15">
      <c r="A4" s="815" t="s">
        <v>2950</v>
      </c>
      <c r="D4" s="814" t="s">
        <v>2951</v>
      </c>
    </row>
    <row r="5" spans="1:10" ht="15">
      <c r="A5" s="815"/>
    </row>
    <row r="6" spans="1:10" ht="15">
      <c r="A6" s="815" t="s">
        <v>2952</v>
      </c>
      <c r="D6" s="814" t="s">
        <v>2953</v>
      </c>
    </row>
    <row r="7" spans="1:10" ht="15">
      <c r="A7" s="815"/>
    </row>
    <row r="8" spans="1:10" ht="15">
      <c r="A8" s="815" t="s">
        <v>2954</v>
      </c>
      <c r="D8" s="816" t="s">
        <v>2955</v>
      </c>
    </row>
    <row r="9" spans="1:10" ht="15">
      <c r="A9" s="815"/>
    </row>
    <row r="10" spans="1:10" ht="15">
      <c r="A10" s="815" t="s">
        <v>2956</v>
      </c>
      <c r="D10" s="816" t="s">
        <v>2957</v>
      </c>
    </row>
    <row r="11" spans="1:10" ht="15">
      <c r="A11" s="815"/>
      <c r="D11" s="2413"/>
    </row>
    <row r="12" spans="1:10" ht="15">
      <c r="A12" s="815" t="s">
        <v>2958</v>
      </c>
      <c r="D12" s="814" t="s">
        <v>623</v>
      </c>
      <c r="F12" s="2413" t="str">
        <f>Overview!$C$8</f>
        <v>McIntosh Woods</v>
      </c>
    </row>
    <row r="13" spans="1:10" ht="15">
      <c r="A13" s="815"/>
      <c r="D13" s="814" t="s">
        <v>2959</v>
      </c>
      <c r="F13" s="2413" t="str">
        <f>Overview!E8</f>
        <v>2018-0</v>
      </c>
    </row>
    <row r="14" spans="1:10" ht="15">
      <c r="A14" s="815"/>
      <c r="D14" s="814" t="s">
        <v>2960</v>
      </c>
      <c r="F14" s="2413" t="str">
        <f>Overview!H8</f>
        <v>Newnan, Coweta</v>
      </c>
    </row>
    <row r="15" spans="1:10" ht="15">
      <c r="A15" s="815"/>
      <c r="D15" s="814" t="s">
        <v>3324</v>
      </c>
      <c r="F15" s="3720">
        <f>Overview!$C$25</f>
        <v>8510787</v>
      </c>
      <c r="G15" s="3720"/>
      <c r="H15" s="3720"/>
    </row>
    <row r="16" spans="1:10" ht="15">
      <c r="A16" s="815"/>
      <c r="D16" s="817" t="s">
        <v>2961</v>
      </c>
      <c r="F16" s="818">
        <f>Overview!C13</f>
        <v>96</v>
      </c>
      <c r="G16" s="819" t="s">
        <v>3325</v>
      </c>
      <c r="H16" s="1774">
        <f>Overview!E13</f>
        <v>96</v>
      </c>
    </row>
    <row r="17" spans="1:18" ht="15">
      <c r="A17" s="815"/>
      <c r="D17" s="817" t="s">
        <v>2924</v>
      </c>
      <c r="F17" s="818" t="str">
        <f>Overview!C14</f>
        <v>Family</v>
      </c>
    </row>
    <row r="18" spans="1:18" ht="15">
      <c r="A18" s="815"/>
      <c r="D18" s="817" t="s">
        <v>3329</v>
      </c>
      <c r="F18" s="2413" t="str">
        <f>Overview!H15</f>
        <v>Urban</v>
      </c>
    </row>
    <row r="19" spans="1:18" ht="15">
      <c r="A19" s="815"/>
      <c r="D19" s="817" t="s">
        <v>3326</v>
      </c>
      <c r="F19" s="2413">
        <f>Overview!E16</f>
        <v>0</v>
      </c>
    </row>
    <row r="20" spans="1:18" ht="15">
      <c r="A20" s="815"/>
      <c r="D20" s="817"/>
    </row>
    <row r="21" spans="1:18" ht="15">
      <c r="A21" s="820" t="s">
        <v>2962</v>
      </c>
    </row>
    <row r="22" spans="1:18" ht="111.75" customHeight="1">
      <c r="A22" s="3707" t="s">
        <v>3523</v>
      </c>
      <c r="B22" s="3707"/>
      <c r="C22" s="3707"/>
      <c r="D22" s="3707"/>
      <c r="E22" s="3707"/>
      <c r="F22" s="3707"/>
      <c r="G22" s="3707"/>
      <c r="H22" s="3707"/>
      <c r="I22" s="3707"/>
      <c r="J22" s="3707"/>
      <c r="L22" s="3708" t="s">
        <v>3334</v>
      </c>
      <c r="M22" s="3708"/>
      <c r="N22" s="3708"/>
      <c r="O22" s="3708"/>
      <c r="P22" s="3708"/>
      <c r="Q22" s="3708"/>
      <c r="R22" s="3708"/>
    </row>
    <row r="23" spans="1:18" ht="0.75" hidden="1" customHeight="1">
      <c r="A23" s="2403"/>
      <c r="B23" s="2403"/>
      <c r="C23" s="2403"/>
      <c r="D23" s="2403"/>
      <c r="E23" s="2403"/>
      <c r="F23" s="2403"/>
      <c r="G23" s="2403"/>
      <c r="H23" s="2403"/>
      <c r="I23" s="2403"/>
      <c r="J23" s="2403"/>
    </row>
    <row r="24" spans="1:18" ht="9.75" hidden="1" customHeight="1">
      <c r="A24" s="3709"/>
      <c r="B24" s="3709"/>
      <c r="C24" s="3709"/>
      <c r="D24" s="3709"/>
      <c r="E24" s="3709"/>
      <c r="F24" s="3709"/>
      <c r="G24" s="3709"/>
      <c r="H24" s="3709"/>
      <c r="I24" s="3709"/>
      <c r="J24" s="3709"/>
    </row>
    <row r="25" spans="1:18" ht="10.5" hidden="1" customHeight="1">
      <c r="A25" s="3710"/>
      <c r="B25" s="3710"/>
      <c r="C25" s="3710"/>
      <c r="D25" s="3710"/>
      <c r="E25" s="3710"/>
      <c r="F25" s="3710"/>
      <c r="G25" s="3710"/>
      <c r="H25" s="3710"/>
      <c r="I25" s="3710"/>
      <c r="J25" s="3710"/>
    </row>
    <row r="26" spans="1:18" ht="15">
      <c r="A26" s="820" t="s">
        <v>2963</v>
      </c>
    </row>
    <row r="27" spans="1:18" ht="14.25" customHeight="1">
      <c r="A27" s="3711" t="s">
        <v>2964</v>
      </c>
      <c r="B27" s="3711"/>
      <c r="C27" s="3711"/>
      <c r="D27" s="3711"/>
      <c r="E27" s="3711"/>
      <c r="F27" s="3711"/>
      <c r="G27" s="3711"/>
      <c r="H27" s="3711"/>
      <c r="I27" s="3711"/>
      <c r="J27" s="3711"/>
    </row>
    <row r="28" spans="1:18" ht="14.25" customHeight="1">
      <c r="A28" s="3711"/>
      <c r="B28" s="3711"/>
      <c r="C28" s="3711"/>
      <c r="D28" s="3711"/>
      <c r="E28" s="3711"/>
      <c r="F28" s="3711"/>
      <c r="G28" s="3711"/>
      <c r="H28" s="3711"/>
      <c r="I28" s="3711"/>
      <c r="J28" s="3711"/>
    </row>
    <row r="29" spans="1:18" ht="6.75" customHeight="1">
      <c r="A29" s="3711"/>
      <c r="B29" s="3711"/>
      <c r="C29" s="3711"/>
      <c r="D29" s="3711"/>
      <c r="E29" s="3711"/>
      <c r="F29" s="3711"/>
      <c r="G29" s="3711"/>
      <c r="H29" s="3711"/>
      <c r="I29" s="3711"/>
      <c r="J29" s="3711"/>
    </row>
    <row r="30" spans="1:18" ht="14.25" customHeight="1">
      <c r="A30" s="3711"/>
      <c r="B30" s="3711"/>
      <c r="C30" s="3711"/>
      <c r="D30" s="3711"/>
      <c r="E30" s="3711"/>
      <c r="F30" s="3711"/>
      <c r="G30" s="3711"/>
      <c r="H30" s="3711"/>
      <c r="I30" s="3711"/>
      <c r="J30" s="3711"/>
    </row>
    <row r="31" spans="1:18" ht="14.25" customHeight="1">
      <c r="A31" s="3711"/>
      <c r="B31" s="3711"/>
      <c r="C31" s="3711"/>
      <c r="D31" s="3711"/>
      <c r="E31" s="3711"/>
      <c r="F31" s="3711"/>
      <c r="G31" s="3711"/>
      <c r="H31" s="3711"/>
      <c r="I31" s="3711"/>
      <c r="J31" s="3711"/>
    </row>
    <row r="32" spans="1:18" ht="54.75" customHeight="1">
      <c r="A32" s="3711"/>
      <c r="B32" s="3711"/>
      <c r="C32" s="3711"/>
      <c r="D32" s="3711"/>
      <c r="E32" s="3711"/>
      <c r="F32" s="3711"/>
      <c r="G32" s="3711"/>
      <c r="H32" s="3711"/>
      <c r="I32" s="3711"/>
      <c r="J32" s="3711"/>
    </row>
    <row r="33" spans="1:10" ht="0.75" hidden="1" customHeight="1">
      <c r="A33" s="3711"/>
      <c r="B33" s="3711"/>
      <c r="C33" s="3711"/>
      <c r="D33" s="3711"/>
      <c r="E33" s="3711"/>
      <c r="F33" s="3711"/>
      <c r="G33" s="3711"/>
      <c r="H33" s="3711"/>
      <c r="I33" s="3711"/>
      <c r="J33" s="3711"/>
    </row>
    <row r="34" spans="1:10" ht="3.75" hidden="1" customHeight="1">
      <c r="A34" s="3711"/>
      <c r="B34" s="3711"/>
      <c r="C34" s="3711"/>
      <c r="D34" s="3711"/>
      <c r="E34" s="3711"/>
      <c r="F34" s="3711"/>
      <c r="G34" s="3711"/>
      <c r="H34" s="3711"/>
      <c r="I34" s="3711"/>
      <c r="J34" s="3711"/>
    </row>
    <row r="35" spans="1:10" ht="5.25" customHeight="1">
      <c r="A35" s="2410"/>
      <c r="B35" s="2410"/>
      <c r="C35" s="2410"/>
      <c r="D35" s="2410"/>
      <c r="E35" s="2410"/>
      <c r="F35" s="2410"/>
      <c r="G35" s="2410"/>
      <c r="H35" s="2410"/>
      <c r="I35" s="2410"/>
      <c r="J35" s="2410"/>
    </row>
    <row r="36" spans="1:10" ht="19.5" customHeight="1">
      <c r="A36" s="3709" t="s">
        <v>2965</v>
      </c>
      <c r="B36" s="3709"/>
      <c r="C36" s="3709"/>
      <c r="D36" s="2403"/>
      <c r="E36" s="2403"/>
      <c r="F36" s="2403"/>
      <c r="G36" s="2403"/>
      <c r="H36" s="2403"/>
      <c r="I36" s="2403"/>
      <c r="J36" s="2403"/>
    </row>
    <row r="37" spans="1:10" ht="15" customHeight="1">
      <c r="A37" s="3691"/>
      <c r="B37" s="3691"/>
      <c r="C37" s="3691"/>
      <c r="D37" s="3691"/>
      <c r="E37" s="3691"/>
      <c r="F37" s="3691"/>
      <c r="G37" s="3691"/>
      <c r="H37" s="3691"/>
      <c r="I37" s="3691"/>
      <c r="J37" s="3691"/>
    </row>
    <row r="38" spans="1:10" ht="33.75" customHeight="1">
      <c r="A38" s="3691"/>
      <c r="B38" s="3691"/>
      <c r="C38" s="3691"/>
      <c r="D38" s="3691"/>
      <c r="E38" s="3691"/>
      <c r="F38" s="3691"/>
      <c r="G38" s="3691"/>
      <c r="H38" s="3691"/>
      <c r="I38" s="3691"/>
      <c r="J38" s="3691"/>
    </row>
    <row r="39" spans="1:10" ht="2.25" customHeight="1">
      <c r="A39" s="2403"/>
      <c r="B39" s="2403"/>
      <c r="C39" s="2403"/>
      <c r="D39" s="2403"/>
      <c r="E39" s="2403"/>
      <c r="F39" s="2403"/>
      <c r="G39" s="2403"/>
      <c r="H39" s="2403"/>
      <c r="I39" s="2403"/>
      <c r="J39" s="2403"/>
    </row>
    <row r="40" spans="1:10" ht="15">
      <c r="A40" s="820" t="s">
        <v>2966</v>
      </c>
    </row>
    <row r="41" spans="1:10" ht="135" customHeight="1">
      <c r="A41" s="3710" t="s">
        <v>4301</v>
      </c>
      <c r="B41" s="3710"/>
      <c r="C41" s="3710"/>
      <c r="D41" s="3710"/>
      <c r="E41" s="3710"/>
      <c r="F41" s="3710"/>
      <c r="G41" s="3710"/>
      <c r="H41" s="3710"/>
      <c r="I41" s="3710"/>
      <c r="J41" s="3710"/>
    </row>
    <row r="42" spans="1:10" ht="6" customHeight="1">
      <c r="A42" s="2409"/>
      <c r="B42" s="2409"/>
      <c r="C42" s="2409"/>
      <c r="D42" s="2409"/>
      <c r="E42" s="2409"/>
      <c r="F42" s="2409"/>
      <c r="G42" s="2409"/>
      <c r="H42" s="2409"/>
      <c r="I42" s="2409"/>
      <c r="J42" s="2409"/>
    </row>
    <row r="43" spans="1:10" ht="15">
      <c r="A43" s="820" t="s">
        <v>2967</v>
      </c>
    </row>
    <row r="44" spans="1:10" ht="33" customHeight="1">
      <c r="A44" s="3691" t="s">
        <v>4311</v>
      </c>
      <c r="B44" s="3697"/>
      <c r="C44" s="3697"/>
      <c r="D44" s="3697"/>
      <c r="E44" s="3697"/>
      <c r="F44" s="3697"/>
      <c r="G44" s="3697"/>
      <c r="H44" s="3697"/>
      <c r="I44" s="3697"/>
      <c r="J44" s="3691"/>
    </row>
    <row r="45" spans="1:10" ht="3" customHeight="1"/>
    <row r="46" spans="1:10" ht="72.75" customHeight="1">
      <c r="A46" s="3691" t="s">
        <v>4312</v>
      </c>
      <c r="B46" s="3691"/>
      <c r="C46" s="3691"/>
      <c r="D46" s="3691"/>
      <c r="E46" s="3691"/>
      <c r="F46" s="3691"/>
      <c r="G46" s="3691"/>
      <c r="H46" s="3691"/>
      <c r="I46" s="3691"/>
      <c r="J46" s="3691"/>
    </row>
    <row r="47" spans="1:10" ht="3" customHeight="1">
      <c r="A47" s="2403"/>
      <c r="B47" s="2403"/>
      <c r="C47" s="2403"/>
      <c r="D47" s="2403"/>
      <c r="E47" s="2403"/>
      <c r="F47" s="2403"/>
      <c r="G47" s="2403"/>
      <c r="H47" s="2403"/>
      <c r="I47" s="2403"/>
      <c r="J47" s="2403"/>
    </row>
    <row r="48" spans="1:10" ht="56.25" customHeight="1">
      <c r="A48" s="3691" t="s">
        <v>4313</v>
      </c>
      <c r="B48" s="3691"/>
      <c r="C48" s="3691"/>
      <c r="D48" s="3691"/>
      <c r="E48" s="3691"/>
      <c r="F48" s="3691"/>
      <c r="G48" s="3691"/>
      <c r="H48" s="3691"/>
      <c r="I48" s="3691"/>
      <c r="J48" s="3691"/>
    </row>
    <row r="49" spans="1:17" ht="3" customHeight="1">
      <c r="A49" s="2403"/>
      <c r="B49" s="2403"/>
      <c r="C49" s="2403"/>
      <c r="D49" s="2403"/>
      <c r="E49" s="2403"/>
      <c r="F49" s="2403"/>
      <c r="G49" s="2403"/>
      <c r="H49" s="2403"/>
      <c r="I49" s="2403"/>
      <c r="J49" s="2403"/>
    </row>
    <row r="50" spans="1:17" ht="49.5" customHeight="1">
      <c r="A50" s="3691" t="s">
        <v>4314</v>
      </c>
      <c r="B50" s="3691"/>
      <c r="C50" s="3691"/>
      <c r="D50" s="3691"/>
      <c r="E50" s="3691"/>
      <c r="F50" s="3691"/>
      <c r="G50" s="3691"/>
      <c r="H50" s="3691"/>
      <c r="I50" s="3691"/>
      <c r="J50" s="2403"/>
    </row>
    <row r="51" spans="1:17" ht="3" customHeight="1">
      <c r="A51" s="2403"/>
      <c r="B51" s="2403"/>
      <c r="C51" s="2403"/>
      <c r="D51" s="2403"/>
      <c r="E51" s="2403"/>
      <c r="F51" s="2403"/>
      <c r="G51" s="2403"/>
      <c r="H51" s="2403"/>
      <c r="I51" s="2403"/>
      <c r="J51" s="2403"/>
    </row>
    <row r="52" spans="1:17" ht="54.75" customHeight="1">
      <c r="A52" s="3725" t="s">
        <v>3335</v>
      </c>
      <c r="B52" s="3714"/>
      <c r="C52" s="3714"/>
      <c r="D52" s="3714"/>
      <c r="E52" s="3714"/>
      <c r="F52" s="3714"/>
      <c r="G52" s="3714"/>
      <c r="H52" s="3714"/>
      <c r="I52" s="3714"/>
      <c r="J52" s="2403"/>
    </row>
    <row r="53" spans="1:17" ht="3" customHeight="1">
      <c r="A53" s="2403"/>
      <c r="B53" s="2403"/>
      <c r="C53" s="2403"/>
      <c r="D53" s="2403"/>
      <c r="E53" s="2403"/>
      <c r="F53" s="2403"/>
      <c r="G53" s="2403"/>
      <c r="H53" s="2403"/>
      <c r="I53" s="2403"/>
      <c r="J53" s="2403"/>
    </row>
    <row r="54" spans="1:17" ht="62.25" customHeight="1">
      <c r="A54" s="3714" t="s">
        <v>4315</v>
      </c>
      <c r="B54" s="3714"/>
      <c r="C54" s="3714"/>
      <c r="D54" s="3714"/>
      <c r="E54" s="3714"/>
      <c r="F54" s="3714"/>
      <c r="G54" s="3714"/>
      <c r="H54" s="3714"/>
      <c r="I54" s="3714"/>
      <c r="J54" s="3714"/>
    </row>
    <row r="55" spans="1:17" ht="3" customHeight="1"/>
    <row r="56" spans="1:17" ht="73.5" customHeight="1">
      <c r="A56" s="3691" t="s">
        <v>4316</v>
      </c>
      <c r="B56" s="3691"/>
      <c r="C56" s="3691"/>
      <c r="D56" s="3691"/>
      <c r="E56" s="3691"/>
      <c r="F56" s="3691"/>
      <c r="G56" s="3691"/>
      <c r="H56" s="3691"/>
      <c r="I56" s="3691"/>
      <c r="J56" s="3691"/>
    </row>
    <row r="57" spans="1:17" ht="6" customHeight="1">
      <c r="A57" s="2403" t="s">
        <v>245</v>
      </c>
      <c r="B57" s="2403"/>
      <c r="C57" s="2403"/>
      <c r="D57" s="2403"/>
      <c r="E57" s="2403"/>
      <c r="F57" s="2403"/>
      <c r="G57" s="2403"/>
      <c r="H57" s="2403"/>
      <c r="I57" s="2403"/>
      <c r="J57" s="2403"/>
    </row>
    <row r="58" spans="1:17" ht="15">
      <c r="A58" s="820" t="s">
        <v>2970</v>
      </c>
      <c r="L58" s="821" t="s">
        <v>3515</v>
      </c>
    </row>
    <row r="59" spans="1:17" ht="73.5" customHeight="1">
      <c r="A59" s="3707" t="s">
        <v>2971</v>
      </c>
      <c r="B59" s="3707"/>
      <c r="C59" s="3707"/>
      <c r="D59" s="3707"/>
      <c r="E59" s="3707"/>
      <c r="F59" s="3707"/>
      <c r="G59" s="3707"/>
      <c r="H59" s="3707"/>
      <c r="I59" s="3707"/>
      <c r="J59" s="3707"/>
      <c r="L59" s="822">
        <f>'Closing term sheet'!C133</f>
        <v>1120147.7390598683</v>
      </c>
      <c r="M59" s="823"/>
      <c r="N59" s="823"/>
      <c r="O59" s="823"/>
    </row>
    <row r="60" spans="1:17" ht="7.5" customHeight="1">
      <c r="A60" s="2403"/>
      <c r="B60" s="2403"/>
      <c r="C60" s="2403"/>
      <c r="D60" s="2403"/>
      <c r="E60" s="2403"/>
      <c r="F60" s="2403"/>
      <c r="G60" s="2403"/>
      <c r="H60" s="2403"/>
      <c r="I60" s="2403"/>
      <c r="J60" s="2403"/>
      <c r="L60" s="824" t="s">
        <v>3516</v>
      </c>
      <c r="M60" s="825" t="s">
        <v>3521</v>
      </c>
      <c r="N60" s="826" t="s">
        <v>3518</v>
      </c>
      <c r="O60" s="824" t="s">
        <v>3517</v>
      </c>
      <c r="P60" s="825" t="s">
        <v>3520</v>
      </c>
      <c r="Q60" s="826" t="s">
        <v>3519</v>
      </c>
    </row>
    <row r="61" spans="1:17" ht="78.75" customHeight="1">
      <c r="A61" s="3714" t="s">
        <v>3412</v>
      </c>
      <c r="B61" s="3714"/>
      <c r="C61" s="3714"/>
      <c r="D61" s="3714"/>
      <c r="E61" s="3714"/>
      <c r="F61" s="3714"/>
      <c r="G61" s="3714"/>
      <c r="H61" s="3714"/>
      <c r="I61" s="3714"/>
      <c r="J61" s="827"/>
      <c r="L61" s="828">
        <f>'Part III-Sources of Funds'!I49</f>
        <v>7494971</v>
      </c>
      <c r="M61" s="829">
        <f>'Part IV-A-Uses of Funds'!$J$175</f>
        <v>764793</v>
      </c>
      <c r="N61" s="830">
        <f>'Part IV-A-Uses of Funds'!N168</f>
        <v>0.98</v>
      </c>
      <c r="O61" s="828">
        <f>'Part III-Sources of Funds'!I50</f>
        <v>4435799</v>
      </c>
      <c r="P61" s="829">
        <f>M61</f>
        <v>764793</v>
      </c>
      <c r="Q61" s="830">
        <f>'Part IV-A-Uses of Funds'!Q168</f>
        <v>0.57999999999999996</v>
      </c>
    </row>
    <row r="62" spans="1:17" ht="18.75" customHeight="1">
      <c r="A62" s="831" t="s">
        <v>2972</v>
      </c>
    </row>
    <row r="63" spans="1:17" ht="159.75" customHeight="1">
      <c r="A63" s="3714" t="s">
        <v>4317</v>
      </c>
      <c r="B63" s="3714"/>
      <c r="C63" s="3714"/>
      <c r="D63" s="3714"/>
      <c r="E63" s="3714"/>
      <c r="F63" s="3714"/>
      <c r="G63" s="3714"/>
      <c r="H63" s="3714"/>
      <c r="I63" s="3714"/>
      <c r="J63" s="3714"/>
      <c r="L63" s="832">
        <f>'Part VII-Pro Forma'!K67</f>
        <v>5593591.6241448568</v>
      </c>
      <c r="M63" s="3712" t="s">
        <v>3522</v>
      </c>
      <c r="N63" s="3713"/>
    </row>
    <row r="64" spans="1:17" ht="6" customHeight="1">
      <c r="A64" s="820"/>
    </row>
    <row r="65" spans="1:10" ht="15">
      <c r="A65" s="820" t="s">
        <v>2973</v>
      </c>
    </row>
    <row r="66" spans="1:10" ht="66.75" customHeight="1">
      <c r="A66" s="3714" t="s">
        <v>2974</v>
      </c>
      <c r="B66" s="3714"/>
      <c r="C66" s="3714"/>
      <c r="D66" s="3714"/>
      <c r="E66" s="3714"/>
      <c r="F66" s="3714"/>
      <c r="G66" s="3714"/>
      <c r="H66" s="3714"/>
      <c r="I66" s="3714"/>
      <c r="J66" s="3714"/>
    </row>
    <row r="67" spans="1:10" ht="36" customHeight="1">
      <c r="A67" s="3714" t="s">
        <v>2975</v>
      </c>
      <c r="B67" s="3714"/>
      <c r="C67" s="3714"/>
      <c r="D67" s="3714"/>
      <c r="E67" s="3714"/>
      <c r="F67" s="3714"/>
      <c r="G67" s="3714"/>
      <c r="H67" s="3714"/>
      <c r="I67" s="3714"/>
      <c r="J67" s="3714"/>
    </row>
    <row r="68" spans="1:10" ht="6" customHeight="1">
      <c r="A68" s="820"/>
    </row>
    <row r="69" spans="1:10" ht="15">
      <c r="A69" s="820" t="s">
        <v>2976</v>
      </c>
    </row>
    <row r="70" spans="1:10" ht="105.75" customHeight="1">
      <c r="A70" s="3691" t="s">
        <v>2977</v>
      </c>
      <c r="B70" s="3691"/>
      <c r="C70" s="3691"/>
      <c r="D70" s="3691"/>
      <c r="E70" s="3691"/>
      <c r="F70" s="3691"/>
      <c r="G70" s="3691"/>
      <c r="H70" s="3691"/>
      <c r="I70" s="3691"/>
      <c r="J70" s="3691"/>
    </row>
    <row r="71" spans="1:10" ht="6" customHeight="1">
      <c r="A71" s="820"/>
    </row>
    <row r="72" spans="1:10" ht="15">
      <c r="A72" s="820" t="s">
        <v>2978</v>
      </c>
    </row>
    <row r="73" spans="1:10" ht="66" customHeight="1">
      <c r="A73" s="3691" t="s">
        <v>2979</v>
      </c>
      <c r="B73" s="3691"/>
      <c r="C73" s="3691"/>
      <c r="D73" s="3691"/>
      <c r="E73" s="3691"/>
      <c r="F73" s="3691"/>
      <c r="G73" s="3691"/>
      <c r="H73" s="3691"/>
      <c r="I73" s="3691"/>
      <c r="J73" s="3691"/>
    </row>
    <row r="74" spans="1:10" s="2410" customFormat="1" ht="6" customHeight="1">
      <c r="A74" s="3691"/>
      <c r="B74" s="3691"/>
      <c r="C74" s="3691"/>
      <c r="D74" s="3691"/>
      <c r="E74" s="3691"/>
      <c r="F74" s="3691"/>
      <c r="G74" s="3691"/>
      <c r="H74" s="3691"/>
      <c r="I74" s="3691"/>
      <c r="J74" s="3691"/>
    </row>
    <row r="75" spans="1:10" ht="16.5" customHeight="1">
      <c r="A75" s="2412" t="s">
        <v>2980</v>
      </c>
      <c r="B75" s="819"/>
      <c r="C75" s="819"/>
      <c r="D75" s="2413"/>
      <c r="E75" s="819"/>
      <c r="F75" s="819"/>
      <c r="G75" s="819"/>
      <c r="H75" s="819"/>
      <c r="I75" s="819"/>
      <c r="J75" s="833"/>
    </row>
    <row r="76" spans="1:10" s="2410" customFormat="1" ht="63" customHeight="1">
      <c r="A76" s="3691" t="s">
        <v>4529</v>
      </c>
      <c r="B76" s="3691"/>
      <c r="C76" s="3691"/>
      <c r="D76" s="3691"/>
      <c r="E76" s="3691"/>
      <c r="F76" s="3691"/>
      <c r="G76" s="3691"/>
      <c r="H76" s="3691"/>
      <c r="I76" s="3691"/>
      <c r="J76" s="3691"/>
    </row>
    <row r="77" spans="1:10" s="2410" customFormat="1" ht="6" customHeight="1">
      <c r="A77" s="2403"/>
      <c r="B77" s="2403"/>
      <c r="C77" s="2403"/>
      <c r="D77" s="2403"/>
      <c r="E77" s="2403"/>
      <c r="F77" s="2403"/>
      <c r="G77" s="2403"/>
      <c r="H77" s="2403"/>
      <c r="I77" s="2403"/>
      <c r="J77" s="2403"/>
    </row>
    <row r="78" spans="1:10" ht="16.5" customHeight="1">
      <c r="A78" s="3716" t="s">
        <v>2981</v>
      </c>
      <c r="B78" s="3717"/>
      <c r="C78" s="3717"/>
      <c r="D78" s="819"/>
      <c r="E78" s="819"/>
      <c r="F78" s="819"/>
      <c r="G78" s="819"/>
      <c r="H78" s="819"/>
      <c r="I78" s="819"/>
      <c r="J78" s="833"/>
    </row>
    <row r="79" spans="1:10" ht="41.25" customHeight="1">
      <c r="A79" s="3714" t="s">
        <v>4318</v>
      </c>
      <c r="B79" s="3718"/>
      <c r="C79" s="3718"/>
      <c r="D79" s="3718"/>
      <c r="E79" s="3718"/>
      <c r="F79" s="3718"/>
      <c r="G79" s="3718"/>
      <c r="H79" s="3718"/>
      <c r="I79" s="3718"/>
      <c r="J79" s="3718"/>
    </row>
    <row r="80" spans="1:10" ht="6" customHeight="1">
      <c r="A80" s="834"/>
      <c r="B80" s="819"/>
      <c r="C80" s="819"/>
      <c r="D80" s="819"/>
      <c r="E80" s="819"/>
      <c r="F80" s="819"/>
      <c r="G80" s="819"/>
      <c r="H80" s="819"/>
      <c r="I80" s="819"/>
      <c r="J80" s="833"/>
    </row>
    <row r="81" spans="1:15" ht="15">
      <c r="A81" s="820" t="s">
        <v>2982</v>
      </c>
    </row>
    <row r="82" spans="1:15" ht="139.5" customHeight="1">
      <c r="A82" s="3714" t="s">
        <v>2983</v>
      </c>
      <c r="B82" s="3714"/>
      <c r="C82" s="3714"/>
      <c r="D82" s="3714"/>
      <c r="E82" s="3714"/>
      <c r="F82" s="3714"/>
      <c r="G82" s="3714"/>
      <c r="H82" s="3714"/>
      <c r="I82" s="3714"/>
      <c r="J82" s="3714"/>
      <c r="L82" s="3719" t="s">
        <v>2984</v>
      </c>
      <c r="M82" s="3719"/>
      <c r="N82" s="3719"/>
    </row>
    <row r="83" spans="1:15" ht="6" customHeight="1">
      <c r="A83" s="2411"/>
      <c r="B83" s="2411"/>
      <c r="C83" s="2411"/>
      <c r="D83" s="2411"/>
      <c r="E83" s="2411"/>
      <c r="F83" s="2411"/>
      <c r="G83" s="2411"/>
      <c r="H83" s="2411"/>
      <c r="I83" s="2411"/>
      <c r="J83" s="2411"/>
      <c r="L83" s="2414"/>
      <c r="M83" s="2414"/>
      <c r="N83" s="2414"/>
    </row>
    <row r="84" spans="1:15" ht="17.25" customHeight="1">
      <c r="A84" s="820" t="s">
        <v>2985</v>
      </c>
    </row>
    <row r="85" spans="1:15" ht="111" customHeight="1">
      <c r="A85" s="3714" t="s">
        <v>2986</v>
      </c>
      <c r="B85" s="3714"/>
      <c r="C85" s="3714"/>
      <c r="D85" s="3714"/>
      <c r="E85" s="3714"/>
      <c r="F85" s="3714"/>
      <c r="G85" s="3714"/>
      <c r="H85" s="3714"/>
      <c r="I85" s="3714"/>
      <c r="J85" s="3714"/>
      <c r="L85" s="3719" t="s">
        <v>2987</v>
      </c>
      <c r="M85" s="3719"/>
      <c r="N85" s="835" t="e">
        <f>'After-Tax Analysis'!G66</f>
        <v>#VALUE!</v>
      </c>
      <c r="O85" s="836" t="s">
        <v>2988</v>
      </c>
    </row>
    <row r="86" spans="1:15" ht="6" customHeight="1">
      <c r="A86" s="820"/>
    </row>
    <row r="87" spans="1:15" ht="15">
      <c r="A87" s="820" t="s">
        <v>2989</v>
      </c>
    </row>
    <row r="88" spans="1:15" ht="118.5" customHeight="1">
      <c r="A88" s="3691" t="s">
        <v>2990</v>
      </c>
      <c r="B88" s="3691"/>
      <c r="C88" s="3691"/>
      <c r="D88" s="3691"/>
      <c r="E88" s="3691"/>
      <c r="F88" s="3691"/>
      <c r="G88" s="3691"/>
      <c r="H88" s="3691"/>
      <c r="I88" s="3691"/>
      <c r="J88" s="3691"/>
    </row>
    <row r="89" spans="1:15" ht="20.25" customHeight="1">
      <c r="A89" s="3697" t="s">
        <v>2991</v>
      </c>
      <c r="B89" s="3697"/>
      <c r="C89" s="3697"/>
      <c r="D89" s="3691"/>
      <c r="E89" s="2403"/>
      <c r="F89" s="2403"/>
      <c r="G89" s="2403"/>
      <c r="H89" s="2403"/>
      <c r="I89" s="2403"/>
      <c r="J89" s="2403"/>
    </row>
    <row r="90" spans="1:15" ht="109.5" customHeight="1">
      <c r="A90" s="3722" t="s">
        <v>2992</v>
      </c>
      <c r="B90" s="3723"/>
      <c r="C90" s="3723"/>
      <c r="D90" s="3723"/>
      <c r="E90" s="3723"/>
      <c r="F90" s="3723"/>
      <c r="G90" s="3723"/>
      <c r="H90" s="3723"/>
      <c r="I90" s="3723"/>
      <c r="J90" s="3723"/>
    </row>
    <row r="91" spans="1:15" ht="11.25" customHeight="1">
      <c r="A91" s="820"/>
    </row>
    <row r="92" spans="1:15" ht="15">
      <c r="A92" s="820" t="s">
        <v>2993</v>
      </c>
    </row>
    <row r="93" spans="1:15" ht="122.25" customHeight="1">
      <c r="A93" s="3707" t="s">
        <v>2994</v>
      </c>
      <c r="B93" s="3707"/>
      <c r="C93" s="3707"/>
      <c r="D93" s="3707"/>
      <c r="E93" s="3707"/>
      <c r="F93" s="3707"/>
      <c r="G93" s="3707"/>
      <c r="H93" s="3707"/>
      <c r="I93" s="3707"/>
      <c r="J93" s="3707"/>
      <c r="L93" s="1779">
        <f>'Part VII-Pro Forma'!K67</f>
        <v>5593591.6241448568</v>
      </c>
      <c r="M93" s="3715" t="s">
        <v>2995</v>
      </c>
      <c r="N93" s="3715"/>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97" t="s">
        <v>2996</v>
      </c>
      <c r="B97" s="3697"/>
      <c r="C97" s="3697"/>
      <c r="D97" s="2403"/>
      <c r="E97" s="2403"/>
      <c r="F97" s="2403"/>
      <c r="G97" s="2403"/>
      <c r="H97" s="2403"/>
      <c r="I97" s="2403"/>
      <c r="J97" s="833"/>
    </row>
    <row r="98" spans="1:10" ht="37.5" customHeight="1">
      <c r="A98" s="3714" t="s">
        <v>2997</v>
      </c>
      <c r="B98" s="3714"/>
      <c r="C98" s="3714"/>
      <c r="D98" s="3714"/>
      <c r="E98" s="3714"/>
      <c r="F98" s="3714"/>
      <c r="G98" s="3714"/>
      <c r="H98" s="3714"/>
      <c r="I98" s="3714"/>
      <c r="J98" s="3714"/>
    </row>
    <row r="99" spans="1:10" ht="6" customHeight="1">
      <c r="A99" s="820"/>
    </row>
    <row r="100" spans="1:10" ht="15">
      <c r="A100" s="820" t="s">
        <v>2998</v>
      </c>
    </row>
    <row r="101" spans="1:10" ht="43.5" customHeight="1">
      <c r="A101" s="3691" t="s">
        <v>2999</v>
      </c>
      <c r="B101" s="3691"/>
      <c r="C101" s="3691"/>
      <c r="D101" s="3691"/>
      <c r="E101" s="3691"/>
      <c r="F101" s="3691"/>
      <c r="G101" s="3691"/>
      <c r="H101" s="3691"/>
      <c r="I101" s="3691"/>
      <c r="J101" s="3691"/>
    </row>
    <row r="102" spans="1:10" ht="6" customHeight="1">
      <c r="A102" s="2403"/>
      <c r="B102" s="2403"/>
      <c r="C102" s="2403"/>
      <c r="D102" s="2403"/>
      <c r="E102" s="2403"/>
      <c r="F102" s="2403"/>
      <c r="G102" s="2403"/>
      <c r="H102" s="2403"/>
      <c r="I102" s="2403"/>
      <c r="J102" s="2403"/>
    </row>
    <row r="103" spans="1:10" ht="15">
      <c r="A103" s="820" t="s">
        <v>3000</v>
      </c>
    </row>
    <row r="105" spans="1:10">
      <c r="A105" s="3724" t="s">
        <v>3001</v>
      </c>
      <c r="B105" s="3724"/>
      <c r="C105" s="3724"/>
      <c r="D105" s="3724"/>
      <c r="E105" s="3724"/>
      <c r="F105" s="3724"/>
      <c r="G105" s="3724"/>
      <c r="H105" s="3724"/>
      <c r="I105" s="3724"/>
      <c r="J105" s="3724"/>
    </row>
    <row r="107" spans="1:10" ht="15" thickBot="1">
      <c r="A107" s="837"/>
      <c r="B107" s="814" t="s">
        <v>3002</v>
      </c>
    </row>
    <row r="110" spans="1:10" ht="15" thickBot="1">
      <c r="A110" s="837"/>
      <c r="B110" s="814" t="s">
        <v>3003</v>
      </c>
    </row>
    <row r="112" spans="1:10">
      <c r="A112" s="814" t="s">
        <v>3004</v>
      </c>
    </row>
    <row r="115" spans="1:10" ht="15" thickBot="1">
      <c r="A115" s="837"/>
      <c r="B115" s="837"/>
      <c r="C115" s="837"/>
      <c r="D115" s="837"/>
      <c r="E115" s="837"/>
      <c r="H115" s="837"/>
      <c r="I115" s="837"/>
      <c r="J115" s="837"/>
    </row>
    <row r="116" spans="1:10">
      <c r="A116" s="3721" t="s">
        <v>4319</v>
      </c>
      <c r="B116" s="3721"/>
      <c r="C116" s="3721"/>
      <c r="D116" s="3721"/>
      <c r="E116" s="3721"/>
      <c r="H116" s="3721" t="s">
        <v>3005</v>
      </c>
      <c r="I116" s="3721"/>
      <c r="J116" s="3721"/>
    </row>
    <row r="118" spans="1:10" ht="15"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3067</v>
      </c>
      <c r="B1" s="899"/>
      <c r="C1" s="814" t="str">
        <f>Overview!C8</f>
        <v>McIntosh Woods</v>
      </c>
    </row>
    <row r="2" spans="1:15" ht="13.5" customHeight="1"/>
    <row r="3" spans="1:15" ht="13.5" customHeight="1">
      <c r="A3" s="815" t="s">
        <v>3068</v>
      </c>
      <c r="C3" s="814" t="s">
        <v>3069</v>
      </c>
      <c r="E3" s="900">
        <f>SUM('Part IV-A-Uses of Funds'!J149,'Part IV-A-Uses of Funds'!M149,'Part IV-A-Uses of Funds'!P149)</f>
        <v>18384447.60233026</v>
      </c>
      <c r="F3" s="2413" t="s">
        <v>3070</v>
      </c>
      <c r="H3" s="1832">
        <v>27.5</v>
      </c>
      <c r="I3" s="814" t="s">
        <v>2485</v>
      </c>
      <c r="K3" s="819" t="s">
        <v>3091</v>
      </c>
      <c r="M3" s="2413"/>
      <c r="O3" s="901"/>
    </row>
    <row r="4" spans="1:15" ht="13.5" customHeight="1">
      <c r="C4" s="814" t="s">
        <v>3580</v>
      </c>
      <c r="E4" s="900">
        <f>SUM('Part IV-A-Uses of Funds'!G85:H89)</f>
        <v>541816.3175</v>
      </c>
      <c r="F4" s="2413" t="s">
        <v>4531</v>
      </c>
      <c r="H4" s="815">
        <f>'Part III-Sources of Funds'!M37</f>
        <v>35</v>
      </c>
      <c r="I4" s="814" t="s">
        <v>2485</v>
      </c>
      <c r="K4" s="902" t="s">
        <v>3336</v>
      </c>
      <c r="M4" s="2413"/>
    </row>
    <row r="5" spans="1:15" ht="13.5" customHeight="1">
      <c r="C5" s="814" t="s">
        <v>3581</v>
      </c>
      <c r="E5" s="900">
        <f>SUM('Part IV-A-Uses of Funds'!G96:H102)</f>
        <v>152300.4</v>
      </c>
      <c r="F5" s="2413" t="s">
        <v>4530</v>
      </c>
      <c r="H5" s="1832">
        <v>15</v>
      </c>
      <c r="I5" s="814" t="s">
        <v>2485</v>
      </c>
      <c r="K5" s="901">
        <f>-E6</f>
        <v>-11930770</v>
      </c>
    </row>
    <row r="6" spans="1:15" ht="13.5" customHeight="1">
      <c r="C6" s="814" t="s">
        <v>3071</v>
      </c>
      <c r="E6" s="903">
        <f>'Part III-Sources of Funds'!$I$49+'Part III-Sources of Funds'!$I$50</f>
        <v>11930770</v>
      </c>
      <c r="F6" s="2413" t="s">
        <v>3072</v>
      </c>
      <c r="H6" s="904">
        <v>0.35</v>
      </c>
      <c r="K6" s="901" t="e">
        <f>C24</f>
        <v>#VALUE!</v>
      </c>
      <c r="M6" s="814" t="s">
        <v>3073</v>
      </c>
      <c r="O6" s="905">
        <f>Overview!K32</f>
        <v>0</v>
      </c>
    </row>
    <row r="7" spans="1:15" ht="13.5" customHeight="1">
      <c r="K7" s="901" t="e">
        <f>D24</f>
        <v>#VALUE!</v>
      </c>
      <c r="O7" s="906"/>
    </row>
    <row r="8" spans="1:15" ht="13.5" customHeight="1">
      <c r="A8" s="815" t="s">
        <v>2496</v>
      </c>
      <c r="C8" s="907">
        <v>1</v>
      </c>
      <c r="D8" s="907">
        <v>2</v>
      </c>
      <c r="E8" s="907">
        <v>3</v>
      </c>
      <c r="F8" s="907">
        <v>4</v>
      </c>
      <c r="G8" s="907">
        <v>5</v>
      </c>
      <c r="H8" s="907">
        <v>6</v>
      </c>
      <c r="I8" s="907">
        <v>7</v>
      </c>
      <c r="K8" s="901" t="e">
        <f>E24</f>
        <v>#VALUE!</v>
      </c>
      <c r="M8" s="814" t="s">
        <v>3074</v>
      </c>
      <c r="O8" s="1785" t="e">
        <f>'Part VII-Pro Forma'!$K$67+'Part VII-Pro Forma'!$K$68+'Part VII-Pro Forma'!$K$69</f>
        <v>#VALUE!</v>
      </c>
    </row>
    <row r="9" spans="1:15" ht="13.5" customHeight="1">
      <c r="A9" s="814" t="s">
        <v>3075</v>
      </c>
      <c r="C9" s="908">
        <f>'Part VII-Pro Forma'!B30</f>
        <v>0</v>
      </c>
      <c r="D9" s="908">
        <f>'Part VII-Pro Forma'!C30</f>
        <v>0</v>
      </c>
      <c r="E9" s="908">
        <f>'Part VII-Pro Forma'!D30</f>
        <v>92288.385046668467</v>
      </c>
      <c r="F9" s="908">
        <f>'Part VII-Pro Forma'!E30</f>
        <v>137708.94689196825</v>
      </c>
      <c r="G9" s="908">
        <f>'Part VII-Pro Forma'!F30</f>
        <v>147179.60258522863</v>
      </c>
      <c r="H9" s="908">
        <f>'Part VII-Pro Forma'!G30</f>
        <v>156712.48065092077</v>
      </c>
      <c r="I9" s="908">
        <f>'Part VII-Pro Forma'!H30</f>
        <v>166304.55841425096</v>
      </c>
      <c r="K9" s="901" t="e">
        <f>F24</f>
        <v>#VALUE!</v>
      </c>
      <c r="N9" s="909" t="s">
        <v>3077</v>
      </c>
    </row>
    <row r="10" spans="1:15" ht="13.5" customHeight="1">
      <c r="A10" s="814" t="s">
        <v>3076</v>
      </c>
      <c r="C10" s="1782">
        <f>'Part III-Sources of Funds'!I37-'Part VII-Pro Forma'!B37</f>
        <v>82415.427626118064</v>
      </c>
      <c r="D10" s="910">
        <f>'Part VII-Pro Forma'!B37-'Part VII-Pro Forma'!C37</f>
        <v>87064.305561265908</v>
      </c>
      <c r="E10" s="910">
        <f>'Part VII-Pro Forma'!C37-'Part VII-Pro Forma'!D37</f>
        <v>91975.416753929108</v>
      </c>
      <c r="F10" s="910">
        <f>'Part VII-Pro Forma'!D37-'Part VII-Pro Forma'!E37</f>
        <v>97163.55322108604</v>
      </c>
      <c r="G10" s="910">
        <f>'Part VII-Pro Forma'!E37-'Part VII-Pro Forma'!F37</f>
        <v>102644.34136574343</v>
      </c>
      <c r="H10" s="910">
        <f>'Part VII-Pro Forma'!F37-'Part VII-Pro Forma'!G37</f>
        <v>108434.28904286772</v>
      </c>
      <c r="I10" s="910">
        <f>'Part VII-Pro Forma'!G37-'Part VII-Pro Forma'!H37</f>
        <v>114550.83528020233</v>
      </c>
      <c r="K10" s="901" t="e">
        <f>G24</f>
        <v>#VALUE!</v>
      </c>
      <c r="N10" s="909" t="s">
        <v>3078</v>
      </c>
      <c r="O10" s="906"/>
    </row>
    <row r="11" spans="1:15" ht="13.5" customHeight="1">
      <c r="A11" s="814" t="s">
        <v>3076</v>
      </c>
      <c r="C11" s="1782"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3076</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3080</v>
      </c>
      <c r="N12" s="911">
        <v>0.06</v>
      </c>
      <c r="O12" s="906">
        <f>N12*O6</f>
        <v>0</v>
      </c>
    </row>
    <row r="13" spans="1:15" ht="13.5" customHeight="1">
      <c r="A13" s="912" t="s">
        <v>3583</v>
      </c>
      <c r="B13" s="913"/>
      <c r="C13" s="1783">
        <f>'Part VII-Pro Forma'!B21</f>
        <v>-24000</v>
      </c>
      <c r="D13" s="1783">
        <f>'Part VII-Pro Forma'!C21</f>
        <v>-24720</v>
      </c>
      <c r="E13" s="1783">
        <f>'Part VII-Pro Forma'!D21</f>
        <v>-25461.599999999999</v>
      </c>
      <c r="F13" s="1783">
        <f>'Part VII-Pro Forma'!E21</f>
        <v>-26225.448</v>
      </c>
      <c r="G13" s="1783">
        <f>'Part VII-Pro Forma'!F21</f>
        <v>-27012.211439999999</v>
      </c>
      <c r="H13" s="1783">
        <f>'Part VII-Pro Forma'!G21</f>
        <v>-27822.577783199995</v>
      </c>
      <c r="I13" s="1783">
        <f>'Part VII-Pro Forma'!H21</f>
        <v>-28657.255116695997</v>
      </c>
      <c r="K13" s="901" t="e">
        <f>C44</f>
        <v>#VALUE!</v>
      </c>
      <c r="O13" s="906"/>
    </row>
    <row r="14" spans="1:15" ht="13.5" customHeight="1">
      <c r="A14" s="912" t="s">
        <v>3584</v>
      </c>
      <c r="B14" s="913"/>
      <c r="C14" s="1783">
        <f>'Part VII-Pro Forma'!B29</f>
        <v>-109690.34304046282</v>
      </c>
      <c r="D14" s="1783">
        <f>'Part VII-Pro Forma'!C29</f>
        <v>-118962.65470446274</v>
      </c>
      <c r="E14" s="1783">
        <f>'Part VII-Pro Forma'!D29</f>
        <v>-36014.002255074447</v>
      </c>
      <c r="F14" s="1783">
        <f>'Part VII-Pro Forma'!E29</f>
        <v>0</v>
      </c>
      <c r="G14" s="1783">
        <f>'Part VII-Pro Forma'!F29</f>
        <v>0</v>
      </c>
      <c r="H14" s="1783">
        <f>'Part VII-Pro Forma'!G29</f>
        <v>0</v>
      </c>
      <c r="I14" s="1783">
        <f>'Part VII-Pro Forma'!H29</f>
        <v>0</v>
      </c>
      <c r="K14" s="901" t="e">
        <f>D44</f>
        <v>#VALUE!</v>
      </c>
      <c r="M14" s="814" t="s">
        <v>3083</v>
      </c>
      <c r="O14" s="906" t="e">
        <f>O6-O8-O12</f>
        <v>#VALUE!</v>
      </c>
    </row>
    <row r="15" spans="1:15" ht="13.5" customHeight="1">
      <c r="A15" s="914" t="s">
        <v>3079</v>
      </c>
      <c r="C15" s="915">
        <f t="shared" ref="C15:I15" si="0">$E$3/$H$3</f>
        <v>668525.36735746404</v>
      </c>
      <c r="D15" s="915">
        <f t="shared" si="0"/>
        <v>668525.36735746404</v>
      </c>
      <c r="E15" s="915">
        <f t="shared" si="0"/>
        <v>668525.36735746404</v>
      </c>
      <c r="F15" s="915">
        <f t="shared" si="0"/>
        <v>668525.36735746404</v>
      </c>
      <c r="G15" s="915">
        <f t="shared" si="0"/>
        <v>668525.36735746404</v>
      </c>
      <c r="H15" s="915">
        <f t="shared" si="0"/>
        <v>668525.36735746404</v>
      </c>
      <c r="I15" s="915">
        <f t="shared" si="0"/>
        <v>668525.36735746404</v>
      </c>
      <c r="K15" s="901" t="e">
        <f>E44</f>
        <v>#VALUE!</v>
      </c>
      <c r="O15" s="906"/>
    </row>
    <row r="16" spans="1:15" ht="13.5" customHeight="1">
      <c r="A16" s="914" t="s">
        <v>3081</v>
      </c>
      <c r="C16" s="915">
        <f>IF(C$8&lt;=$H$4,($E$4/$H$4),0)+IF(C$8&lt;=$H$5,($E$5/$H$5),0)</f>
        <v>25633.826214285713</v>
      </c>
      <c r="D16" s="915">
        <f t="shared" ref="D16:I16" si="1">IF(D$8&lt;=$H$4,($E$4/$H$4),0)+IF(D$8&lt;=$H$5,($E$5/$H$5),0)</f>
        <v>25633.826214285713</v>
      </c>
      <c r="E16" s="915">
        <f t="shared" si="1"/>
        <v>25633.826214285713</v>
      </c>
      <c r="F16" s="915">
        <f t="shared" si="1"/>
        <v>25633.826214285713</v>
      </c>
      <c r="G16" s="915">
        <f t="shared" si="1"/>
        <v>25633.826214285713</v>
      </c>
      <c r="H16" s="915">
        <f t="shared" si="1"/>
        <v>25633.826214285713</v>
      </c>
      <c r="I16" s="915">
        <f t="shared" si="1"/>
        <v>25633.826214285713</v>
      </c>
      <c r="K16" s="901" t="e">
        <f>F44</f>
        <v>#VALUE!</v>
      </c>
      <c r="M16" s="814" t="s">
        <v>3085</v>
      </c>
      <c r="O16" s="906">
        <f>E3</f>
        <v>18384447.60233026</v>
      </c>
    </row>
    <row r="17" spans="1:17" ht="13.5" customHeight="1">
      <c r="A17" s="914" t="s">
        <v>3082</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3079</v>
      </c>
      <c r="O17" s="906">
        <f>20*(E3/H3)</f>
        <v>13370507.347149281</v>
      </c>
    </row>
    <row r="18" spans="1:17" ht="13.5" customHeight="1">
      <c r="A18" s="914" t="s">
        <v>3084</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3089</v>
      </c>
      <c r="O19" s="906">
        <f>O16-O17</f>
        <v>5013940.2551809791</v>
      </c>
    </row>
    <row r="20" spans="1:17" ht="13.5" customHeight="1">
      <c r="A20" s="814" t="s">
        <v>3086</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3087</v>
      </c>
      <c r="C21" s="916">
        <f>'Part IV-A-Uses of Funds'!$J$175</f>
        <v>764793</v>
      </c>
      <c r="D21" s="916">
        <f t="shared" ref="D21:I21" si="5">C21</f>
        <v>764793</v>
      </c>
      <c r="E21" s="916">
        <f t="shared" si="5"/>
        <v>764793</v>
      </c>
      <c r="F21" s="916">
        <f t="shared" si="5"/>
        <v>764793</v>
      </c>
      <c r="G21" s="916">
        <f t="shared" si="5"/>
        <v>764793</v>
      </c>
      <c r="H21" s="916">
        <f t="shared" si="5"/>
        <v>764793</v>
      </c>
      <c r="I21" s="916">
        <f t="shared" si="5"/>
        <v>764793</v>
      </c>
      <c r="J21" s="814" t="s">
        <v>245</v>
      </c>
      <c r="K21" s="901" t="e">
        <f>D64</f>
        <v>#VALUE!</v>
      </c>
      <c r="O21" s="906"/>
    </row>
    <row r="22" spans="1:17" ht="13.5" customHeight="1">
      <c r="A22" s="814" t="s">
        <v>3088</v>
      </c>
      <c r="C22" s="916">
        <f>C21</f>
        <v>764793</v>
      </c>
      <c r="D22" s="916">
        <f t="shared" ref="D22:I22" si="6">D21</f>
        <v>764793</v>
      </c>
      <c r="E22" s="916">
        <f t="shared" si="6"/>
        <v>764793</v>
      </c>
      <c r="F22" s="916">
        <f t="shared" si="6"/>
        <v>764793</v>
      </c>
      <c r="G22" s="916">
        <f t="shared" si="6"/>
        <v>764793</v>
      </c>
      <c r="H22" s="916">
        <f t="shared" si="6"/>
        <v>764793</v>
      </c>
      <c r="I22" s="916">
        <f t="shared" si="6"/>
        <v>764793</v>
      </c>
      <c r="K22" s="901" t="e">
        <f>E64</f>
        <v>#VALUE!</v>
      </c>
      <c r="M22" s="814" t="s">
        <v>3073</v>
      </c>
      <c r="O22" s="906">
        <f>O6</f>
        <v>0</v>
      </c>
    </row>
    <row r="23" spans="1:17" ht="13.5" customHeight="1">
      <c r="A23" s="814" t="s">
        <v>3090</v>
      </c>
      <c r="C23" s="908">
        <v>0</v>
      </c>
      <c r="D23" s="908">
        <v>0</v>
      </c>
      <c r="E23" s="908">
        <v>0</v>
      </c>
      <c r="F23" s="908">
        <v>0</v>
      </c>
      <c r="G23" s="908">
        <v>0</v>
      </c>
      <c r="H23" s="908">
        <v>0</v>
      </c>
      <c r="I23" s="908">
        <v>0</v>
      </c>
      <c r="K23" s="901" t="e">
        <f>F64</f>
        <v>#VALUE!</v>
      </c>
      <c r="M23" s="814" t="s">
        <v>3092</v>
      </c>
      <c r="O23" s="906">
        <f>O19</f>
        <v>5013940.2551809791</v>
      </c>
    </row>
    <row r="24" spans="1:17" ht="13.5" customHeight="1">
      <c r="A24" s="814" t="s">
        <v>3091</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3093</v>
      </c>
      <c r="O25" s="906">
        <f>O22-O23</f>
        <v>-5013940.2551809791</v>
      </c>
      <c r="Q25" s="917"/>
    </row>
    <row r="26" spans="1:17" ht="13.5" customHeight="1">
      <c r="A26" s="918"/>
      <c r="B26" s="918"/>
      <c r="C26" s="918"/>
      <c r="D26" s="918"/>
      <c r="E26" s="918"/>
      <c r="F26" s="918"/>
      <c r="G26" s="918"/>
      <c r="H26" s="918"/>
      <c r="I26" s="918"/>
      <c r="K26" s="901"/>
      <c r="O26" s="906"/>
    </row>
    <row r="27" spans="1:17" ht="13.5" customHeight="1">
      <c r="K27" s="901"/>
      <c r="M27" s="814" t="s">
        <v>3094</v>
      </c>
      <c r="N27" s="919"/>
      <c r="O27" s="911">
        <v>0.2</v>
      </c>
    </row>
    <row r="28" spans="1:17" ht="13.5" customHeight="1">
      <c r="A28" s="815" t="s">
        <v>2496</v>
      </c>
      <c r="B28" s="815"/>
      <c r="C28" s="907">
        <v>8</v>
      </c>
      <c r="D28" s="907">
        <v>9</v>
      </c>
      <c r="E28" s="907">
        <v>10</v>
      </c>
      <c r="F28" s="907">
        <v>11</v>
      </c>
      <c r="G28" s="907">
        <v>12</v>
      </c>
      <c r="H28" s="907">
        <v>13</v>
      </c>
      <c r="I28" s="907">
        <v>14</v>
      </c>
      <c r="N28" s="919"/>
      <c r="O28" s="919"/>
    </row>
    <row r="29" spans="1:17" ht="13.5" customHeight="1">
      <c r="A29" s="814" t="s">
        <v>3075</v>
      </c>
      <c r="C29" s="908">
        <f>'Part VII-Pro Forma'!I30</f>
        <v>175952.65793326078</v>
      </c>
      <c r="D29" s="908">
        <f>'Part VII-Pro Forma'!J30</f>
        <v>185654.43944907736</v>
      </c>
      <c r="E29" s="908">
        <f>'Part VII-Pro Forma'!K30</f>
        <v>195407.394601829</v>
      </c>
      <c r="F29" s="908">
        <f>'Part VII-Pro Forma'!B60</f>
        <v>95516.496363990125</v>
      </c>
      <c r="G29" s="908">
        <f>'Part VII-Pro Forma'!C60</f>
        <v>105359.56392588804</v>
      </c>
      <c r="H29" s="908">
        <f>'Part VII-Pro Forma'!D60</f>
        <v>115243.19691814343</v>
      </c>
      <c r="I29" s="908">
        <f>'Part VII-Pro Forma'!E60</f>
        <v>125162.13977173541</v>
      </c>
      <c r="N29" s="919"/>
      <c r="O29" s="919"/>
    </row>
    <row r="30" spans="1:17" ht="13.5" customHeight="1">
      <c r="A30" s="814" t="s">
        <v>3076</v>
      </c>
      <c r="C30" s="910">
        <f>'Part VII-Pro Forma'!H37-'Part VII-Pro Forma'!I37</f>
        <v>121012.40280373488</v>
      </c>
      <c r="D30" s="910">
        <f>'Part VII-Pro Forma'!I37-'Part VII-Pro Forma'!J37</f>
        <v>127838.45352600608</v>
      </c>
      <c r="E30" s="910">
        <f>'Part VII-Pro Forma'!J37-'Part VII-Pro Forma'!K37</f>
        <v>135049.54716440383</v>
      </c>
      <c r="F30" s="1780">
        <f>'Part VII-Pro Forma'!K37-'Part VII-Pro Forma'!B67</f>
        <v>142667.40316598304</v>
      </c>
      <c r="G30" s="1780">
        <f>'Part VII-Pro Forma'!B67-'Part VII-Pro Forma'!C67</f>
        <v>150714.96612533741</v>
      </c>
      <c r="H30" s="1780">
        <f>'Part VII-Pro Forma'!C67-'Part VII-Pro Forma'!D67</f>
        <v>159216.47489254549</v>
      </c>
      <c r="I30" s="1780">
        <f>'Part VII-Pro Forma'!D67-'Part VII-Pro Forma'!E67</f>
        <v>168197.53557936102</v>
      </c>
    </row>
    <row r="31" spans="1:17" ht="13.5" customHeight="1">
      <c r="A31" s="814" t="s">
        <v>3076</v>
      </c>
      <c r="C31" s="910" t="e">
        <f>'Part VII-Pro Forma'!H38-'Part VII-Pro Forma'!I38</f>
        <v>#VALUE!</v>
      </c>
      <c r="D31" s="910" t="e">
        <f>'Part VII-Pro Forma'!I38-'Part VII-Pro Forma'!J38</f>
        <v>#VALUE!</v>
      </c>
      <c r="E31" s="910" t="e">
        <f>'Part VII-Pro Forma'!J38-'Part VII-Pro Forma'!K38</f>
        <v>#VALUE!</v>
      </c>
      <c r="F31" s="1780" t="e">
        <f>'Part VII-Pro Forma'!K38-'Part VII-Pro Forma'!B68</f>
        <v>#VALUE!</v>
      </c>
      <c r="G31" s="1780" t="e">
        <f>'Part VII-Pro Forma'!B68-'Part VII-Pro Forma'!C68</f>
        <v>#VALUE!</v>
      </c>
      <c r="H31" s="1780" t="e">
        <f>'Part VII-Pro Forma'!C68-'Part VII-Pro Forma'!D68</f>
        <v>#VALUE!</v>
      </c>
      <c r="I31" s="1780" t="e">
        <f>'Part VII-Pro Forma'!D68-'Part VII-Pro Forma'!E68</f>
        <v>#VALUE!</v>
      </c>
      <c r="K31" s="814" t="s">
        <v>245</v>
      </c>
      <c r="M31" s="814" t="s">
        <v>3095</v>
      </c>
      <c r="O31" s="908">
        <f>O25*O27</f>
        <v>-1002788.0510361958</v>
      </c>
    </row>
    <row r="32" spans="1:17" ht="13.5" customHeight="1">
      <c r="A32" s="814" t="s">
        <v>3076</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5" customHeight="1">
      <c r="A33" s="912" t="s">
        <v>3583</v>
      </c>
      <c r="B33" s="913"/>
      <c r="C33" s="1783">
        <f>'Part VII-Pro Forma'!I21</f>
        <v>-29516.97277019688</v>
      </c>
      <c r="D33" s="1783">
        <f>'Part VII-Pro Forma'!J21</f>
        <v>-30402.481953302784</v>
      </c>
      <c r="E33" s="1783">
        <f>'Part VII-Pro Forma'!K21</f>
        <v>-31314.556411901867</v>
      </c>
      <c r="F33" s="1783">
        <f>'Part VII-Pro Forma'!B51</f>
        <v>-32253.993104258923</v>
      </c>
      <c r="G33" s="1783">
        <f>'Part VII-Pro Forma'!C51</f>
        <v>-33221.612897386694</v>
      </c>
      <c r="H33" s="1783">
        <f>'Part VII-Pro Forma'!D51</f>
        <v>-34218.26128430829</v>
      </c>
      <c r="I33" s="1783">
        <f>'Part VII-Pro Forma'!E51</f>
        <v>-35244.809122837534</v>
      </c>
      <c r="K33" s="814" t="s">
        <v>245</v>
      </c>
      <c r="M33" s="814" t="s">
        <v>3096</v>
      </c>
      <c r="O33" s="908" t="e">
        <f>O14-O31</f>
        <v>#VALUE!</v>
      </c>
    </row>
    <row r="34" spans="1:15" ht="13.5" customHeight="1">
      <c r="A34" s="912" t="s">
        <v>3584</v>
      </c>
      <c r="B34" s="913"/>
      <c r="C34" s="1783">
        <f>'Part VII-Pro Forma'!I29</f>
        <v>0</v>
      </c>
      <c r="D34" s="1783">
        <f>'Part VII-Pro Forma'!J29</f>
        <v>0</v>
      </c>
      <c r="E34" s="1783">
        <f>'Part VII-Pro Forma'!K29</f>
        <v>0</v>
      </c>
      <c r="F34" s="1783">
        <f>'Part VII-Pro Forma'!B59</f>
        <v>-109690.34304046282</v>
      </c>
      <c r="G34" s="1783">
        <f>'Part VII-Pro Forma'!C59</f>
        <v>-109690.34304046282</v>
      </c>
      <c r="H34" s="1783">
        <f>'Part VII-Pro Forma'!D59</f>
        <v>-109690.34304046282</v>
      </c>
      <c r="I34" s="1783">
        <f>'Part VII-Pro Forma'!E59</f>
        <v>-109690.34304046282</v>
      </c>
    </row>
    <row r="35" spans="1:15" ht="13.5" customHeight="1">
      <c r="A35" s="914" t="s">
        <v>3079</v>
      </c>
      <c r="C35" s="915">
        <f t="shared" ref="C35:I35" si="8">$E$3/$H$3</f>
        <v>668525.36735746404</v>
      </c>
      <c r="D35" s="915">
        <f t="shared" si="8"/>
        <v>668525.36735746404</v>
      </c>
      <c r="E35" s="915">
        <f t="shared" si="8"/>
        <v>668525.36735746404</v>
      </c>
      <c r="F35" s="915">
        <f t="shared" si="8"/>
        <v>668525.36735746404</v>
      </c>
      <c r="G35" s="915">
        <f t="shared" si="8"/>
        <v>668525.36735746404</v>
      </c>
      <c r="H35" s="915">
        <f t="shared" si="8"/>
        <v>668525.36735746404</v>
      </c>
      <c r="I35" s="915">
        <f t="shared" si="8"/>
        <v>668525.36735746404</v>
      </c>
    </row>
    <row r="36" spans="1:15" ht="13.5" customHeight="1">
      <c r="A36" s="914" t="s">
        <v>3081</v>
      </c>
      <c r="C36" s="908">
        <f>IF(C$28&lt;=$H$4,($E$4/$H$4),0)+IF(C$28&lt;=$H$5,($E$5/$H$5),0)</f>
        <v>25633.826214285713</v>
      </c>
      <c r="D36" s="908">
        <f t="shared" ref="D36:I36" si="9">IF(D$28&lt;=$H$4,($E$4/$H$4),0)+IF(D$28&lt;=$H$5,($E$5/$H$5),0)</f>
        <v>25633.826214285713</v>
      </c>
      <c r="E36" s="908">
        <f t="shared" si="9"/>
        <v>25633.826214285713</v>
      </c>
      <c r="F36" s="908">
        <f t="shared" si="9"/>
        <v>25633.826214285713</v>
      </c>
      <c r="G36" s="908">
        <f t="shared" si="9"/>
        <v>25633.826214285713</v>
      </c>
      <c r="H36" s="908">
        <f t="shared" si="9"/>
        <v>25633.826214285713</v>
      </c>
      <c r="I36" s="908">
        <f t="shared" si="9"/>
        <v>25633.826214285713</v>
      </c>
    </row>
    <row r="37" spans="1:15" ht="13.5" customHeight="1">
      <c r="A37" s="914" t="s">
        <v>3082</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3084</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3086</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3087</v>
      </c>
      <c r="C41" s="916">
        <f>C21</f>
        <v>764793</v>
      </c>
      <c r="D41" s="916">
        <f>C41</f>
        <v>764793</v>
      </c>
      <c r="E41" s="916">
        <f>D41</f>
        <v>764793</v>
      </c>
      <c r="F41" s="916">
        <v>0</v>
      </c>
      <c r="G41" s="916">
        <v>0</v>
      </c>
      <c r="H41" s="916">
        <v>0</v>
      </c>
      <c r="I41" s="916">
        <v>0</v>
      </c>
    </row>
    <row r="42" spans="1:15" ht="13.5" customHeight="1">
      <c r="A42" s="814" t="s">
        <v>3088</v>
      </c>
      <c r="C42" s="916">
        <f>C22</f>
        <v>764793</v>
      </c>
      <c r="D42" s="916">
        <f>C42</f>
        <v>764793</v>
      </c>
      <c r="E42" s="916">
        <f>D42</f>
        <v>764793</v>
      </c>
      <c r="F42" s="916">
        <v>0</v>
      </c>
      <c r="G42" s="916">
        <v>0</v>
      </c>
      <c r="H42" s="916">
        <v>0</v>
      </c>
      <c r="I42" s="916">
        <v>0</v>
      </c>
    </row>
    <row r="43" spans="1:15" ht="13.5" customHeight="1">
      <c r="A43" s="814" t="s">
        <v>3090</v>
      </c>
      <c r="C43" s="910">
        <v>0</v>
      </c>
      <c r="D43" s="910">
        <v>0</v>
      </c>
      <c r="E43" s="910">
        <v>0</v>
      </c>
      <c r="F43" s="910">
        <v>0</v>
      </c>
      <c r="G43" s="910">
        <v>0</v>
      </c>
      <c r="H43" s="910">
        <v>0</v>
      </c>
      <c r="I43" s="910">
        <v>0</v>
      </c>
    </row>
    <row r="44" spans="1:15" ht="13.5" customHeight="1">
      <c r="A44" s="814" t="s">
        <v>3091</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2496</v>
      </c>
      <c r="B48" s="815"/>
      <c r="C48" s="907">
        <v>15</v>
      </c>
      <c r="D48" s="815">
        <v>16</v>
      </c>
      <c r="E48" s="815">
        <v>17</v>
      </c>
      <c r="F48" s="815">
        <v>18</v>
      </c>
      <c r="G48" s="815">
        <v>19</v>
      </c>
      <c r="H48" s="815">
        <v>20</v>
      </c>
    </row>
    <row r="49" spans="1:10" ht="13.5" customHeight="1">
      <c r="A49" s="814" t="s">
        <v>3075</v>
      </c>
      <c r="C49" s="908">
        <f>'Part VII-Pro Forma'!F60</f>
        <v>135113.9305999364</v>
      </c>
      <c r="D49" s="908">
        <f>'Part VII-Pro Forma'!G57</f>
        <v>0</v>
      </c>
      <c r="E49" s="908">
        <f>'Part VII-Pro Forma'!H57</f>
        <v>0</v>
      </c>
      <c r="F49" s="908">
        <f>'Part VII-Pro Forma'!I57</f>
        <v>0</v>
      </c>
      <c r="G49" s="908">
        <f>'Part VII-Pro Forma'!J57</f>
        <v>0</v>
      </c>
      <c r="H49" s="908">
        <f>'Part VII-Pro Forma'!K57</f>
        <v>0</v>
      </c>
    </row>
    <row r="50" spans="1:10" ht="13.5" customHeight="1">
      <c r="A50" s="814" t="s">
        <v>3076</v>
      </c>
      <c r="C50" s="1781">
        <f>'Part VII-Pro Forma'!E67-'Part VII-Pro Forma'!F67</f>
        <v>177685.19868351333</v>
      </c>
      <c r="D50" s="1781">
        <f>'Part VII-Pro Forma'!F67-'Part VII-Pro Forma'!G67</f>
        <v>187708.04056342877</v>
      </c>
      <c r="E50" s="1781">
        <f>'Part VII-Pro Forma'!G67-'Part VII-Pro Forma'!H67</f>
        <v>198296.24950877298</v>
      </c>
      <c r="F50" s="1781">
        <f>'Part VII-Pro Forma'!H67-'Part VII-Pro Forma'!I67</f>
        <v>209481.71666603908</v>
      </c>
      <c r="G50" s="1781">
        <f>'Part VII-Pro Forma'!I67-'Part VII-Pro Forma'!J67</f>
        <v>221298.13209305983</v>
      </c>
      <c r="H50" s="1781">
        <f>'Part VII-Pro Forma'!J67-'Part VII-Pro Forma'!K67</f>
        <v>233781.08623174485</v>
      </c>
    </row>
    <row r="51" spans="1:10" ht="13.5" customHeight="1">
      <c r="A51" s="814" t="s">
        <v>3076</v>
      </c>
      <c r="C51" s="1781" t="e">
        <f>'Part VII-Pro Forma'!E68-'Part VII-Pro Forma'!F68</f>
        <v>#VALUE!</v>
      </c>
      <c r="D51" s="1781" t="e">
        <f>'Part VII-Pro Forma'!F68-'Part VII-Pro Forma'!G68</f>
        <v>#VALUE!</v>
      </c>
      <c r="E51" s="1781" t="e">
        <f>'Part VII-Pro Forma'!G68-'Part VII-Pro Forma'!H68</f>
        <v>#VALUE!</v>
      </c>
      <c r="F51" s="1781" t="e">
        <f>'Part VII-Pro Forma'!H68-'Part VII-Pro Forma'!I68</f>
        <v>#VALUE!</v>
      </c>
      <c r="G51" s="1781" t="e">
        <f>'Part VII-Pro Forma'!I68-'Part VII-Pro Forma'!J68</f>
        <v>#VALUE!</v>
      </c>
      <c r="H51" s="1781" t="e">
        <f>'Part VII-Pro Forma'!J68-'Part VII-Pro Forma'!K68</f>
        <v>#VALUE!</v>
      </c>
    </row>
    <row r="52" spans="1:10" ht="13.5" customHeight="1">
      <c r="A52" s="814" t="s">
        <v>3076</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3583</v>
      </c>
      <c r="B53" s="913"/>
      <c r="C53" s="1783">
        <f>'Part VII-Pro Forma'!F51</f>
        <v>-36302.153396522663</v>
      </c>
      <c r="D53" s="1783">
        <f>'Part VII-Pro Forma'!G51</f>
        <v>-37391.217998418346</v>
      </c>
      <c r="E53" s="1783">
        <f>'Part VII-Pro Forma'!H51</f>
        <v>-38512.95453837089</v>
      </c>
      <c r="F53" s="1783">
        <f>'Part VII-Pro Forma'!I51</f>
        <v>-39668.343174522015</v>
      </c>
      <c r="G53" s="1783">
        <f>'Part VII-Pro Forma'!J51</f>
        <v>-40858.393469757677</v>
      </c>
      <c r="H53" s="1783">
        <f>'Part VII-Pro Forma'!K51</f>
        <v>-42084.145273850409</v>
      </c>
    </row>
    <row r="54" spans="1:10" ht="13.5" customHeight="1">
      <c r="A54" s="912" t="s">
        <v>3584</v>
      </c>
      <c r="C54" s="1784">
        <f>'Part VII-Pro Forma'!F59</f>
        <v>-109690.34304046282</v>
      </c>
      <c r="D54" s="1784">
        <f>'Part VII-Pro Forma'!G59</f>
        <v>0</v>
      </c>
      <c r="E54" s="1784">
        <f>'Part VII-Pro Forma'!H59</f>
        <v>0</v>
      </c>
      <c r="F54" s="1784">
        <f>'Part VII-Pro Forma'!I59</f>
        <v>0</v>
      </c>
      <c r="G54" s="1784">
        <f>'Part VII-Pro Forma'!J59</f>
        <v>0</v>
      </c>
      <c r="H54" s="1784">
        <f>'Part VII-Pro Forma'!K59</f>
        <v>0</v>
      </c>
    </row>
    <row r="55" spans="1:10" ht="13.5" customHeight="1">
      <c r="A55" s="914" t="s">
        <v>3079</v>
      </c>
      <c r="C55" s="915">
        <f t="shared" ref="C55:H55" si="14">$E$3/$H$3</f>
        <v>668525.36735746404</v>
      </c>
      <c r="D55" s="915">
        <f t="shared" si="14"/>
        <v>668525.36735746404</v>
      </c>
      <c r="E55" s="915">
        <f t="shared" si="14"/>
        <v>668525.36735746404</v>
      </c>
      <c r="F55" s="915">
        <f t="shared" si="14"/>
        <v>668525.36735746404</v>
      </c>
      <c r="G55" s="915">
        <f t="shared" si="14"/>
        <v>668525.36735746404</v>
      </c>
      <c r="H55" s="915">
        <f t="shared" si="14"/>
        <v>668525.36735746404</v>
      </c>
    </row>
    <row r="56" spans="1:10" ht="13.5" customHeight="1">
      <c r="A56" s="914" t="s">
        <v>3081</v>
      </c>
      <c r="C56" s="908">
        <f t="shared" ref="C56:H56" si="15">IF(C$48&lt;=$H$4,($E$4/$H$4),0)+IF(C$48&lt;=$H$5,($E$5/$H$5),0)</f>
        <v>25633.826214285713</v>
      </c>
      <c r="D56" s="908">
        <f t="shared" si="15"/>
        <v>15480.466214285714</v>
      </c>
      <c r="E56" s="908">
        <f t="shared" si="15"/>
        <v>15480.466214285714</v>
      </c>
      <c r="F56" s="908">
        <f t="shared" si="15"/>
        <v>15480.466214285714</v>
      </c>
      <c r="G56" s="908">
        <f t="shared" si="15"/>
        <v>15480.466214285714</v>
      </c>
      <c r="H56" s="908">
        <f t="shared" si="15"/>
        <v>15480.466214285714</v>
      </c>
    </row>
    <row r="57" spans="1:10" ht="13.5" customHeight="1">
      <c r="A57" s="914" t="s">
        <v>3082</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3084</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3086</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t="e">
        <f>O33</f>
        <v>#VALUE!</v>
      </c>
    </row>
    <row r="64" spans="1:10">
      <c r="A64" s="814" t="s">
        <v>3091</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3097</v>
      </c>
      <c r="G66" s="3726" t="e">
        <f>IRR(K5:K25)</f>
        <v>#VALUE!</v>
      </c>
      <c r="H66" s="3727"/>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Normal="100" workbookViewId="0">
      <selection activeCell="F21" sqref="F21:L21"/>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12" t="str">
        <f>CONCATENATE("PART ONE - PROJECT INFORMATION"," - ",$O$6," ",$F$34,", ",'Part I-Project Information'!F38,", ",'Part I-Project Information'!J39," County")</f>
        <v>PART ONE - PROJECT INFORMATION - 2018-0 McIntosh Woods, Newnan, Coweta County</v>
      </c>
      <c r="B1" s="2513"/>
      <c r="C1" s="2513"/>
      <c r="D1" s="2513"/>
      <c r="E1" s="2513"/>
      <c r="F1" s="2513"/>
      <c r="G1" s="2513"/>
      <c r="H1" s="2513"/>
      <c r="I1" s="2513"/>
      <c r="J1" s="2513"/>
      <c r="K1" s="2513"/>
      <c r="L1" s="2513"/>
      <c r="M1" s="2513"/>
      <c r="N1" s="2513"/>
      <c r="O1" s="2513"/>
      <c r="P1" s="2514"/>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41" t="s">
        <v>4527</v>
      </c>
      <c r="B3" s="2541"/>
      <c r="C3" s="2541"/>
      <c r="D3" s="2541"/>
      <c r="E3" s="2541"/>
      <c r="F3" s="2541"/>
      <c r="G3" s="2541"/>
      <c r="H3" s="2541"/>
      <c r="I3" s="2541"/>
      <c r="J3" s="2541"/>
      <c r="K3" s="2541"/>
      <c r="L3" s="2541"/>
      <c r="M3" s="2541"/>
      <c r="N3" s="2541"/>
      <c r="O3" s="2541"/>
      <c r="P3" s="2541"/>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3905</v>
      </c>
    </row>
    <row r="6" spans="1:16" s="346" customFormat="1" ht="12" customHeight="1" thickBot="1">
      <c r="B6" s="2543" t="s">
        <v>4680</v>
      </c>
      <c r="C6" s="2543"/>
      <c r="D6" s="2543"/>
      <c r="E6" s="1819"/>
      <c r="F6" s="349"/>
      <c r="G6" s="320" t="s">
        <v>446</v>
      </c>
      <c r="H6" s="1369"/>
      <c r="I6" s="1369"/>
      <c r="J6" s="1369"/>
      <c r="O6" s="2515" t="s">
        <v>3917</v>
      </c>
      <c r="P6" s="2516"/>
    </row>
    <row r="7" spans="1:16" s="346" customFormat="1" ht="12" customHeight="1">
      <c r="B7" s="2543"/>
      <c r="C7" s="2543"/>
      <c r="D7" s="2543"/>
      <c r="E7" s="1819"/>
      <c r="F7" s="640"/>
      <c r="G7" s="204" t="s">
        <v>3340</v>
      </c>
      <c r="H7" s="1369"/>
      <c r="I7" s="1369"/>
      <c r="J7" s="1369"/>
    </row>
    <row r="8" spans="1:16" s="346" customFormat="1" ht="6" customHeight="1">
      <c r="A8" s="579"/>
      <c r="B8" s="348"/>
      <c r="C8" s="348"/>
      <c r="D8" s="348"/>
      <c r="E8" s="1369"/>
      <c r="H8" s="1369"/>
      <c r="I8" s="1369"/>
      <c r="M8" s="1369"/>
    </row>
    <row r="9" spans="1:16" s="346" customFormat="1" ht="13.15" customHeight="1">
      <c r="A9" s="348" t="s">
        <v>622</v>
      </c>
      <c r="B9" s="348" t="s">
        <v>2391</v>
      </c>
      <c r="D9" s="321"/>
      <c r="E9" s="350"/>
      <c r="F9" s="351" t="s">
        <v>3832</v>
      </c>
      <c r="I9" s="2517">
        <f>'Part IV-A-Uses of Funds'!$J$175</f>
        <v>764793</v>
      </c>
      <c r="J9" s="2518"/>
      <c r="L9" s="346" t="s">
        <v>3833</v>
      </c>
      <c r="O9" s="2519">
        <f>'Part III-Sources of Funds'!$E$11</f>
        <v>0</v>
      </c>
      <c r="P9" s="2520"/>
    </row>
    <row r="10" spans="1:16" s="346" customFormat="1" ht="6" customHeight="1">
      <c r="A10" s="348"/>
      <c r="B10" s="348"/>
      <c r="D10" s="321"/>
      <c r="E10" s="350"/>
      <c r="F10" s="350"/>
      <c r="I10" s="352"/>
      <c r="N10" s="353"/>
    </row>
    <row r="11" spans="1:16" s="346" customFormat="1" ht="13.15" customHeight="1">
      <c r="A11" s="352" t="s">
        <v>748</v>
      </c>
      <c r="B11" s="348" t="s">
        <v>2056</v>
      </c>
      <c r="F11" s="2521" t="s">
        <v>4681</v>
      </c>
      <c r="G11" s="2522"/>
      <c r="H11" s="2523"/>
      <c r="I11" s="1189" t="s">
        <v>3745</v>
      </c>
      <c r="J11" s="610" t="s">
        <v>3997</v>
      </c>
      <c r="K11" s="358"/>
      <c r="L11" s="1369"/>
      <c r="O11" s="2524" t="s">
        <v>4682</v>
      </c>
      <c r="P11" s="2525"/>
    </row>
    <row r="12" spans="1:16" s="346" customFormat="1" ht="12.75" customHeight="1">
      <c r="A12" s="579"/>
      <c r="B12" s="2542" t="s">
        <v>4528</v>
      </c>
      <c r="C12" s="2542"/>
      <c r="D12" s="2542"/>
      <c r="H12" s="1369"/>
      <c r="J12" s="611" t="s">
        <v>2751</v>
      </c>
      <c r="K12" s="318"/>
      <c r="M12" s="1369"/>
      <c r="O12" s="2546" t="s">
        <v>3014</v>
      </c>
      <c r="P12" s="2547"/>
    </row>
    <row r="13" spans="1:16" s="346" customFormat="1" ht="3" customHeight="1">
      <c r="A13" s="579"/>
      <c r="B13" s="2542"/>
      <c r="C13" s="2542"/>
      <c r="D13" s="2542"/>
      <c r="H13" s="1369"/>
      <c r="J13" s="611"/>
      <c r="K13" s="318"/>
      <c r="M13" s="1369"/>
    </row>
    <row r="14" spans="1:16" s="346" customFormat="1" ht="12.75" customHeight="1">
      <c r="A14" s="579"/>
      <c r="B14" s="2542"/>
      <c r="C14" s="2542"/>
      <c r="D14" s="2542"/>
      <c r="F14" s="363" t="s">
        <v>3014</v>
      </c>
      <c r="G14" s="1351" t="s">
        <v>3830</v>
      </c>
    </row>
    <row r="15" spans="1:16" s="346" customFormat="1" ht="12.75" customHeight="1">
      <c r="A15" s="579"/>
      <c r="B15" s="346" t="s">
        <v>3906</v>
      </c>
      <c r="D15" s="358"/>
      <c r="F15" s="2548"/>
      <c r="G15" s="2549"/>
      <c r="H15" s="2549"/>
      <c r="I15" s="2549"/>
      <c r="J15" s="2549"/>
      <c r="K15" s="2550"/>
      <c r="L15" s="346" t="s">
        <v>3829</v>
      </c>
      <c r="O15" s="2551"/>
      <c r="P15" s="2552"/>
    </row>
    <row r="16" spans="1:16" s="346" customFormat="1" ht="12.75" customHeight="1">
      <c r="A16" s="579"/>
      <c r="B16" s="346" t="s">
        <v>3831</v>
      </c>
      <c r="F16" s="363"/>
      <c r="G16" s="346" t="s">
        <v>3888</v>
      </c>
      <c r="H16" s="1369"/>
      <c r="I16" s="204"/>
      <c r="J16" s="611"/>
      <c r="M16" s="2553" t="s">
        <v>2904</v>
      </c>
      <c r="N16" s="2554"/>
      <c r="O16" s="2554"/>
      <c r="P16" s="2555"/>
    </row>
    <row r="17" spans="1:16" s="346" customFormat="1" ht="6" customHeight="1">
      <c r="I17" s="200"/>
      <c r="J17" s="200"/>
      <c r="K17" s="200"/>
      <c r="L17" s="200"/>
      <c r="M17" s="200"/>
      <c r="N17" s="200"/>
      <c r="O17" s="200"/>
      <c r="P17" s="200"/>
    </row>
    <row r="18" spans="1:16" s="346" customFormat="1" ht="13.15" customHeight="1">
      <c r="A18" s="352" t="s">
        <v>750</v>
      </c>
      <c r="B18" s="348" t="s">
        <v>4547</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3918</v>
      </c>
      <c r="F20" s="2538" t="s">
        <v>4721</v>
      </c>
      <c r="G20" s="2539"/>
      <c r="H20" s="2540"/>
      <c r="I20" s="346" t="s">
        <v>1810</v>
      </c>
      <c r="J20" s="2538" t="s">
        <v>4683</v>
      </c>
      <c r="K20" s="2539"/>
      <c r="L20" s="2540"/>
      <c r="M20" s="387" t="s">
        <v>1996</v>
      </c>
      <c r="N20" s="2551" t="s">
        <v>4684</v>
      </c>
      <c r="O20" s="2556"/>
      <c r="P20" s="2552"/>
    </row>
    <row r="21" spans="1:16" s="346" customFormat="1" ht="13.15" customHeight="1">
      <c r="B21" s="351" t="s">
        <v>1997</v>
      </c>
      <c r="F21" s="2526" t="s">
        <v>4685</v>
      </c>
      <c r="G21" s="2527"/>
      <c r="H21" s="2527"/>
      <c r="I21" s="2528"/>
      <c r="J21" s="2527"/>
      <c r="K21" s="2528"/>
      <c r="L21" s="2529"/>
      <c r="M21" s="2533" t="s">
        <v>3916</v>
      </c>
      <c r="N21" s="2534"/>
      <c r="O21" s="2534"/>
      <c r="P21" s="2534"/>
    </row>
    <row r="22" spans="1:16" s="346" customFormat="1" ht="13.15" customHeight="1">
      <c r="B22" s="351" t="s">
        <v>624</v>
      </c>
      <c r="F22" s="2526" t="s">
        <v>1709</v>
      </c>
      <c r="G22" s="2527"/>
      <c r="H22" s="2532"/>
      <c r="I22" s="351" t="s">
        <v>1812</v>
      </c>
      <c r="J22" s="1453" t="s">
        <v>856</v>
      </c>
      <c r="M22" s="2533"/>
      <c r="N22" s="2533"/>
      <c r="O22" s="2533"/>
      <c r="P22" s="2533"/>
    </row>
    <row r="23" spans="1:16" s="346" customFormat="1" ht="13.15" customHeight="1">
      <c r="B23" s="1473" t="s">
        <v>2245</v>
      </c>
      <c r="F23" s="2535">
        <v>316022711</v>
      </c>
      <c r="G23" s="2536"/>
      <c r="H23" s="2537"/>
      <c r="I23" s="351" t="s">
        <v>1733</v>
      </c>
      <c r="J23" s="2558">
        <v>2292516399</v>
      </c>
      <c r="K23" s="2531"/>
      <c r="L23" s="1355" t="s">
        <v>1732</v>
      </c>
      <c r="M23" s="1025"/>
      <c r="N23" s="1351" t="s">
        <v>1734</v>
      </c>
      <c r="O23" s="2530">
        <v>2292516399</v>
      </c>
      <c r="P23" s="2531"/>
    </row>
    <row r="24" spans="1:16" s="346" customFormat="1" ht="13.15" customHeight="1">
      <c r="B24" s="1473" t="s">
        <v>2000</v>
      </c>
      <c r="F24" s="2559" t="s">
        <v>4686</v>
      </c>
      <c r="G24" s="2560"/>
      <c r="H24" s="2560"/>
      <c r="I24" s="2556"/>
      <c r="J24" s="2560"/>
      <c r="K24" s="2561"/>
      <c r="N24" s="1351" t="s">
        <v>1995</v>
      </c>
      <c r="O24" s="2544">
        <v>2292516399</v>
      </c>
      <c r="P24" s="2545"/>
    </row>
    <row r="25" spans="1:16" s="346" customFormat="1" ht="13.5" customHeight="1">
      <c r="A25" s="579"/>
      <c r="B25" s="348" t="s">
        <v>4546</v>
      </c>
      <c r="C25" s="356"/>
      <c r="D25" s="1362"/>
      <c r="E25" s="1362"/>
      <c r="F25" s="1362"/>
      <c r="H25" s="1369"/>
      <c r="I25" s="1362"/>
      <c r="J25" s="356"/>
      <c r="K25" s="1362"/>
      <c r="P25" s="357"/>
    </row>
    <row r="26" spans="1:16" s="346" customFormat="1" ht="13.15" customHeight="1">
      <c r="B26" s="346" t="s">
        <v>3918</v>
      </c>
      <c r="F26" s="2538" t="s">
        <v>4687</v>
      </c>
      <c r="G26" s="2539"/>
      <c r="H26" s="2540"/>
      <c r="I26" s="346" t="s">
        <v>1810</v>
      </c>
      <c r="J26" s="2538" t="s">
        <v>4688</v>
      </c>
      <c r="K26" s="2539"/>
      <c r="L26" s="2540"/>
      <c r="M26" s="387" t="s">
        <v>1996</v>
      </c>
      <c r="N26" s="2551" t="s">
        <v>4689</v>
      </c>
      <c r="O26" s="2556"/>
      <c r="P26" s="2552"/>
    </row>
    <row r="27" spans="1:16" s="346" customFormat="1" ht="13.15" customHeight="1">
      <c r="B27" s="351" t="s">
        <v>1997</v>
      </c>
      <c r="F27" s="2526" t="s">
        <v>4690</v>
      </c>
      <c r="G27" s="2527"/>
      <c r="H27" s="2527"/>
      <c r="I27" s="2528"/>
      <c r="J27" s="2527"/>
      <c r="K27" s="2528"/>
      <c r="L27" s="2529"/>
      <c r="M27" s="2533" t="s">
        <v>3916</v>
      </c>
      <c r="N27" s="2534"/>
      <c r="O27" s="2534"/>
      <c r="P27" s="2534"/>
    </row>
    <row r="28" spans="1:16" s="346" customFormat="1" ht="13.15" customHeight="1">
      <c r="B28" s="351" t="s">
        <v>624</v>
      </c>
      <c r="F28" s="2526" t="s">
        <v>1521</v>
      </c>
      <c r="G28" s="2527"/>
      <c r="H28" s="2532"/>
      <c r="I28" s="351" t="s">
        <v>1812</v>
      </c>
      <c r="J28" s="1453" t="s">
        <v>863</v>
      </c>
      <c r="M28" s="2533"/>
      <c r="N28" s="2533"/>
      <c r="O28" s="2533"/>
      <c r="P28" s="2533"/>
    </row>
    <row r="29" spans="1:16" s="346" customFormat="1" ht="13.15" customHeight="1">
      <c r="B29" s="1581" t="s">
        <v>2245</v>
      </c>
      <c r="F29" s="2535">
        <v>402520378</v>
      </c>
      <c r="G29" s="2536"/>
      <c r="H29" s="2537"/>
      <c r="I29" s="351" t="s">
        <v>1733</v>
      </c>
      <c r="J29" s="2558">
        <v>3174086628</v>
      </c>
      <c r="K29" s="2531"/>
      <c r="L29" s="1582" t="s">
        <v>1732</v>
      </c>
      <c r="M29" s="1025"/>
      <c r="N29" s="1581" t="s">
        <v>1734</v>
      </c>
      <c r="O29" s="2530">
        <v>3174086628</v>
      </c>
      <c r="P29" s="2531"/>
    </row>
    <row r="30" spans="1:16" s="346" customFormat="1" ht="13.15" customHeight="1">
      <c r="B30" s="1581" t="s">
        <v>2000</v>
      </c>
      <c r="F30" s="2559" t="s">
        <v>4691</v>
      </c>
      <c r="G30" s="2560"/>
      <c r="H30" s="2560"/>
      <c r="I30" s="2556"/>
      <c r="J30" s="2560"/>
      <c r="K30" s="2561"/>
      <c r="N30" s="1581" t="s">
        <v>1995</v>
      </c>
      <c r="O30" s="2544">
        <v>3174086628</v>
      </c>
      <c r="P30" s="2545"/>
    </row>
    <row r="31" spans="1:16" s="346" customFormat="1" ht="6" customHeight="1">
      <c r="A31" s="579"/>
      <c r="B31" s="579"/>
      <c r="C31" s="356"/>
      <c r="D31" s="1584"/>
      <c r="E31" s="1584"/>
      <c r="F31" s="1584"/>
      <c r="H31" s="1585"/>
      <c r="I31" s="1584"/>
      <c r="J31" s="356"/>
      <c r="K31" s="1584"/>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571" t="s">
        <v>4692</v>
      </c>
      <c r="G34" s="2572"/>
      <c r="H34" s="2572"/>
      <c r="I34" s="2572"/>
      <c r="J34" s="2572"/>
      <c r="K34" s="2573"/>
      <c r="L34" s="1351" t="s">
        <v>2208</v>
      </c>
      <c r="O34" s="2538" t="s">
        <v>3014</v>
      </c>
      <c r="P34" s="2540"/>
    </row>
    <row r="35" spans="1:16" s="346" customFormat="1" ht="13.15" customHeight="1">
      <c r="A35" s="359"/>
      <c r="B35" s="346" t="s">
        <v>2716</v>
      </c>
      <c r="D35" s="360"/>
      <c r="F35" s="2574"/>
      <c r="G35" s="2575"/>
      <c r="H35" s="2575"/>
      <c r="I35" s="2575"/>
      <c r="J35" s="2575"/>
      <c r="K35" s="2576"/>
      <c r="L35" s="346" t="s">
        <v>3711</v>
      </c>
      <c r="O35" s="2557"/>
      <c r="P35" s="2532"/>
    </row>
    <row r="36" spans="1:16" s="346" customFormat="1" ht="13.15" customHeight="1">
      <c r="A36" s="359"/>
      <c r="B36" s="346" t="s">
        <v>2752</v>
      </c>
      <c r="D36" s="360"/>
      <c r="F36" s="2557" t="s">
        <v>4693</v>
      </c>
      <c r="G36" s="2527"/>
      <c r="H36" s="2527"/>
      <c r="I36" s="2528"/>
      <c r="J36" s="2527"/>
      <c r="K36" s="2532"/>
      <c r="L36" s="1351" t="s">
        <v>2066</v>
      </c>
      <c r="N36" s="1025" t="s">
        <v>3014</v>
      </c>
      <c r="O36" s="1369" t="s">
        <v>3710</v>
      </c>
      <c r="P36" s="1496">
        <v>1</v>
      </c>
    </row>
    <row r="37" spans="1:16" s="346" customFormat="1" ht="13.15" customHeight="1">
      <c r="A37" s="359"/>
      <c r="B37" s="346" t="s">
        <v>3767</v>
      </c>
      <c r="D37" s="360"/>
      <c r="F37" s="346" t="s">
        <v>3747</v>
      </c>
      <c r="G37" s="2562" t="s">
        <v>4694</v>
      </c>
      <c r="H37" s="2563"/>
      <c r="I37" s="1355" t="s">
        <v>3748</v>
      </c>
      <c r="J37" s="2564" t="s">
        <v>4695</v>
      </c>
      <c r="K37" s="2563"/>
      <c r="L37" s="1351" t="s">
        <v>2299</v>
      </c>
      <c r="O37" s="2565">
        <v>19.850000000000001</v>
      </c>
      <c r="P37" s="2566"/>
    </row>
    <row r="38" spans="1:16" s="346" customFormat="1" ht="13.15" customHeight="1">
      <c r="A38" s="579"/>
      <c r="B38" s="346" t="s">
        <v>624</v>
      </c>
      <c r="F38" s="2538" t="s">
        <v>400</v>
      </c>
      <c r="G38" s="2567"/>
      <c r="H38" s="2568"/>
      <c r="I38" s="365" t="s">
        <v>2717</v>
      </c>
      <c r="J38" s="2535">
        <v>302638600</v>
      </c>
      <c r="K38" s="2537"/>
      <c r="L38" s="444" t="str">
        <f>IF(AND(NOT(F34=""),NOT(F38="Select from list"),J38=""),"Enter Zip!","")</f>
        <v/>
      </c>
      <c r="M38" s="362" t="s">
        <v>2926</v>
      </c>
      <c r="O38" s="2569" t="s">
        <v>4696</v>
      </c>
      <c r="P38" s="2570"/>
    </row>
    <row r="39" spans="1:16" s="346" customFormat="1" ht="13.15" customHeight="1">
      <c r="A39" s="579"/>
      <c r="B39" s="1362" t="s">
        <v>3593</v>
      </c>
      <c r="D39" s="1362"/>
      <c r="F39" s="2557" t="s">
        <v>4697</v>
      </c>
      <c r="G39" s="2528"/>
      <c r="H39" s="2529"/>
      <c r="I39" s="361" t="s">
        <v>625</v>
      </c>
      <c r="J39" s="2583" t="str">
        <f>IF($F$38="","",VLOOKUP($F$38,'DCA Underwriting Assumptions'!$T$155:$U$785,2,FALSE))</f>
        <v>Coweta</v>
      </c>
      <c r="K39" s="2584"/>
      <c r="M39" s="1351" t="s">
        <v>455</v>
      </c>
      <c r="N39" s="1825" t="s">
        <v>3011</v>
      </c>
      <c r="O39" s="1369" t="s">
        <v>456</v>
      </c>
      <c r="P39" s="1497"/>
    </row>
    <row r="40" spans="1:16" s="346" customFormat="1" ht="13.15" customHeight="1">
      <c r="A40" s="579"/>
      <c r="B40" s="348"/>
      <c r="C40" s="346" t="s">
        <v>1570</v>
      </c>
      <c r="F40" s="612" t="s">
        <v>3014</v>
      </c>
      <c r="G40" s="2585" t="s">
        <v>2799</v>
      </c>
      <c r="H40" s="2586"/>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587" t="str">
        <f>IF($F$38="","",VLOOKUP($J$39,'DCA Underwriting Assumptions'!$G$155:$L$314,3,FALSE))</f>
        <v>Atlanta-Sandy Springs-Marietta</v>
      </c>
      <c r="P40" s="2588"/>
    </row>
    <row r="41" spans="1:16" s="346" customFormat="1" ht="6" customHeight="1">
      <c r="A41" s="579"/>
      <c r="B41" s="348"/>
      <c r="C41" s="348"/>
      <c r="I41" s="351"/>
      <c r="J41" s="1362"/>
      <c r="L41" s="1373"/>
      <c r="M41" s="1373"/>
      <c r="N41" s="1373"/>
      <c r="O41" s="1373"/>
      <c r="P41" s="1373"/>
    </row>
    <row r="42" spans="1:16" s="346" customFormat="1" ht="13.15" customHeight="1">
      <c r="A42" s="579"/>
      <c r="C42" s="346" t="s">
        <v>2761</v>
      </c>
      <c r="F42" s="2589" t="s">
        <v>2780</v>
      </c>
      <c r="G42" s="2589"/>
      <c r="H42" s="2590" t="s">
        <v>744</v>
      </c>
      <c r="I42" s="2590"/>
      <c r="J42" s="2590" t="s">
        <v>745</v>
      </c>
      <c r="K42" s="2590"/>
      <c r="L42" s="603" t="s">
        <v>2718</v>
      </c>
    </row>
    <row r="43" spans="1:16" s="346" customFormat="1" ht="13.15" customHeight="1">
      <c r="A43" s="579"/>
      <c r="B43" s="346" t="s">
        <v>2779</v>
      </c>
      <c r="D43" s="348"/>
      <c r="F43" s="2577">
        <v>3</v>
      </c>
      <c r="G43" s="2578"/>
      <c r="H43" s="2577">
        <v>28</v>
      </c>
      <c r="I43" s="2578"/>
      <c r="J43" s="2577">
        <v>70</v>
      </c>
      <c r="K43" s="2578"/>
      <c r="L43" s="599" t="s">
        <v>1295</v>
      </c>
      <c r="N43" s="2579" t="s">
        <v>1296</v>
      </c>
      <c r="O43" s="2579"/>
      <c r="P43" s="2579"/>
    </row>
    <row r="44" spans="1:16" s="346" customFormat="1" ht="12.75" customHeight="1">
      <c r="A44" s="579"/>
      <c r="B44" s="351" t="s">
        <v>746</v>
      </c>
      <c r="F44" s="2580"/>
      <c r="G44" s="2581"/>
      <c r="H44" s="2580"/>
      <c r="I44" s="2581"/>
      <c r="J44" s="2580"/>
      <c r="K44" s="2581"/>
      <c r="L44" s="599" t="s">
        <v>2778</v>
      </c>
      <c r="N44" s="2582" t="s">
        <v>2777</v>
      </c>
      <c r="O44" s="2582"/>
    </row>
    <row r="45" spans="1:16" s="346" customFormat="1" ht="3" customHeight="1">
      <c r="A45" s="579"/>
      <c r="I45" s="1373"/>
      <c r="J45" s="1373"/>
      <c r="K45" s="1373"/>
      <c r="L45" s="1362"/>
      <c r="M45" s="1362"/>
      <c r="N45" s="1362"/>
      <c r="O45" s="1362"/>
      <c r="P45" s="1362"/>
    </row>
    <row r="46" spans="1:16" s="346" customFormat="1" ht="13.15" customHeight="1">
      <c r="A46" s="579"/>
      <c r="B46" s="348" t="s">
        <v>643</v>
      </c>
      <c r="F46" s="2602" t="s">
        <v>4698</v>
      </c>
      <c r="G46" s="2603"/>
      <c r="H46" s="2603"/>
      <c r="I46" s="2604"/>
      <c r="J46" s="2603"/>
      <c r="K46" s="2605"/>
      <c r="L46" s="1063" t="s">
        <v>2722</v>
      </c>
      <c r="M46" s="2551" t="s">
        <v>4699</v>
      </c>
      <c r="N46" s="2556"/>
      <c r="O46" s="2556"/>
      <c r="P46" s="2552"/>
    </row>
    <row r="47" spans="1:16" s="346" customFormat="1" ht="13.15" customHeight="1">
      <c r="A47" s="579"/>
      <c r="B47" s="346" t="s">
        <v>644</v>
      </c>
      <c r="F47" s="2606" t="s">
        <v>4700</v>
      </c>
      <c r="G47" s="2607"/>
      <c r="H47" s="2608"/>
      <c r="I47" s="1356" t="s">
        <v>1996</v>
      </c>
      <c r="J47" s="2574" t="s">
        <v>4701</v>
      </c>
      <c r="K47" s="2576"/>
      <c r="L47" s="1063"/>
    </row>
    <row r="48" spans="1:16" s="346" customFormat="1" ht="13.15" customHeight="1">
      <c r="A48" s="579"/>
      <c r="B48" s="346" t="s">
        <v>1997</v>
      </c>
      <c r="F48" s="2609" t="s">
        <v>4702</v>
      </c>
      <c r="G48" s="2610"/>
      <c r="H48" s="2611"/>
      <c r="I48" s="2603"/>
      <c r="J48" s="2610"/>
      <c r="K48" s="2612"/>
      <c r="L48" s="388" t="s">
        <v>624</v>
      </c>
      <c r="M48" s="2613" t="s">
        <v>400</v>
      </c>
      <c r="N48" s="2614"/>
      <c r="O48" s="2614"/>
      <c r="P48" s="2615"/>
    </row>
    <row r="49" spans="1:19" s="346" customFormat="1" ht="13.15" customHeight="1">
      <c r="A49" s="579"/>
      <c r="B49" s="1351" t="s">
        <v>2245</v>
      </c>
      <c r="F49" s="2591">
        <v>302632607</v>
      </c>
      <c r="G49" s="2592"/>
      <c r="H49" s="1355" t="s">
        <v>1998</v>
      </c>
      <c r="I49" s="2593">
        <v>7702532682</v>
      </c>
      <c r="J49" s="2594"/>
      <c r="K49" s="2595"/>
      <c r="L49" s="351" t="s">
        <v>1813</v>
      </c>
      <c r="M49" s="2596" t="s">
        <v>4703</v>
      </c>
      <c r="N49" s="2597"/>
      <c r="O49" s="2597"/>
      <c r="P49" s="2598"/>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15" customHeight="1">
      <c r="B55" s="579"/>
      <c r="C55" s="346" t="s">
        <v>2311</v>
      </c>
      <c r="D55" s="346"/>
      <c r="E55" s="346"/>
      <c r="H55" s="1421">
        <f>'Part VI-Revenues &amp; Expenses'!$O$74</f>
        <v>96</v>
      </c>
      <c r="K55" s="351" t="s">
        <v>3702</v>
      </c>
      <c r="L55" s="346"/>
      <c r="M55" s="1145" t="s">
        <v>3701</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15" customHeight="1">
      <c r="B57" s="579"/>
      <c r="C57" s="351" t="s">
        <v>348</v>
      </c>
      <c r="D57" s="1362"/>
      <c r="H57" s="1423">
        <f>'Part VI-Revenues &amp; Expenses'!$O$77</f>
        <v>0</v>
      </c>
      <c r="I57" s="581" t="s">
        <v>2931</v>
      </c>
      <c r="K57" s="346" t="s">
        <v>350</v>
      </c>
      <c r="P57" s="468"/>
      <c r="Q57" s="1369"/>
    </row>
    <row r="58" spans="1:19" s="346" customFormat="1" ht="3.6"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757</v>
      </c>
      <c r="C61" s="358" t="s">
        <v>2292</v>
      </c>
      <c r="D61" s="1362"/>
      <c r="I61" s="1359" t="s">
        <v>3589</v>
      </c>
      <c r="J61" s="359" t="s">
        <v>2131</v>
      </c>
      <c r="K61" s="370" t="s">
        <v>2318</v>
      </c>
      <c r="M61" s="1362"/>
      <c r="N61" s="1362"/>
      <c r="O61" s="1362"/>
      <c r="P61" s="1369"/>
      <c r="Q61" s="1369"/>
      <c r="R61" s="1369"/>
      <c r="S61" s="1362"/>
    </row>
    <row r="62" spans="1:19" s="346" customFormat="1" ht="13.15" customHeight="1">
      <c r="A62" s="579"/>
      <c r="B62" s="1357"/>
      <c r="C62" s="356" t="s">
        <v>2293</v>
      </c>
      <c r="D62" s="1362"/>
      <c r="E62" s="1362"/>
      <c r="H62" s="795">
        <f>SUM(H63:H64)</f>
        <v>96</v>
      </c>
      <c r="I62" s="795">
        <f>SUM(I63:I64)</f>
        <v>0</v>
      </c>
      <c r="J62" s="579"/>
      <c r="K62" s="356" t="s">
        <v>2791</v>
      </c>
      <c r="M62" s="1362"/>
      <c r="N62" s="1362"/>
      <c r="O62" s="1362"/>
      <c r="P62" s="1016">
        <f>'Part VI-Revenues &amp; Expenses'!$O$115</f>
        <v>119300</v>
      </c>
    </row>
    <row r="63" spans="1:19" s="346" customFormat="1" ht="13.15" customHeight="1">
      <c r="A63" s="579"/>
      <c r="B63" s="367"/>
      <c r="D63" s="372" t="s">
        <v>387</v>
      </c>
      <c r="E63" s="1362"/>
      <c r="H63" s="1016">
        <f>'Part VI-Revenues &amp; Expenses'!$O$57</f>
        <v>0</v>
      </c>
      <c r="I63" s="1016">
        <f>'Part VI-Revenues &amp; Expenses'!$O$65</f>
        <v>0</v>
      </c>
      <c r="K63" s="356" t="s">
        <v>2792</v>
      </c>
      <c r="M63" s="1362"/>
      <c r="N63" s="1362"/>
      <c r="O63" s="1362"/>
      <c r="P63" s="1424">
        <f>'Part VI-Revenues &amp; Expenses'!$O$116</f>
        <v>0</v>
      </c>
    </row>
    <row r="64" spans="1:19" s="346" customFormat="1" ht="13.15" customHeight="1">
      <c r="A64" s="579"/>
      <c r="D64" s="372" t="s">
        <v>1835</v>
      </c>
      <c r="E64" s="372"/>
      <c r="H64" s="1017">
        <f>'Part VI-Revenues &amp; Expenses'!$O$56</f>
        <v>96</v>
      </c>
      <c r="I64" s="1017">
        <f>'Part VI-Revenues &amp; Expenses'!$O$64</f>
        <v>0</v>
      </c>
      <c r="K64" s="356" t="s">
        <v>2793</v>
      </c>
      <c r="M64" s="1362"/>
      <c r="N64" s="1362"/>
      <c r="O64" s="1362"/>
      <c r="P64" s="1016">
        <f>P62+P63</f>
        <v>119300</v>
      </c>
    </row>
    <row r="65" spans="1:16" s="346" customFormat="1" ht="13.15"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15" customHeight="1">
      <c r="A66" s="579"/>
      <c r="C66" s="356" t="s">
        <v>2423</v>
      </c>
      <c r="D66" s="1362"/>
      <c r="E66" s="1362"/>
      <c r="H66" s="1016">
        <f>H62+H65</f>
        <v>96</v>
      </c>
      <c r="J66" s="579"/>
      <c r="K66" s="356" t="s">
        <v>1432</v>
      </c>
      <c r="M66" s="1362"/>
      <c r="N66" s="1362"/>
      <c r="O66" s="1362"/>
      <c r="P66" s="371">
        <f>+P64+P65</f>
        <v>119300</v>
      </c>
    </row>
    <row r="67" spans="1:16" s="346" customFormat="1" ht="13.15" customHeight="1">
      <c r="A67" s="579"/>
      <c r="C67" s="356" t="s">
        <v>2424</v>
      </c>
      <c r="D67" s="1362"/>
      <c r="E67" s="1362"/>
      <c r="H67" s="1017">
        <f>'Part VI-Revenues &amp; Expenses'!$O$61</f>
        <v>0</v>
      </c>
      <c r="J67" s="579"/>
    </row>
    <row r="68" spans="1:16" s="346" customFormat="1" ht="13.15" customHeight="1">
      <c r="A68" s="579"/>
      <c r="C68" s="356" t="s">
        <v>1806</v>
      </c>
      <c r="D68" s="1362"/>
      <c r="E68" s="1362"/>
      <c r="H68" s="371">
        <f>+H66+H67</f>
        <v>96</v>
      </c>
      <c r="J68" s="1362"/>
    </row>
    <row r="69" spans="1:16" s="346" customFormat="1" ht="3" customHeight="1">
      <c r="A69" s="579"/>
      <c r="I69" s="1369"/>
      <c r="L69" s="1369"/>
      <c r="M69" s="1369"/>
      <c r="N69" s="1362"/>
      <c r="P69" s="357"/>
    </row>
    <row r="70" spans="1:16" s="346" customFormat="1" ht="13.15" customHeight="1">
      <c r="A70" s="579"/>
      <c r="B70" s="579" t="s">
        <v>1748</v>
      </c>
      <c r="C70" s="358" t="s">
        <v>2313</v>
      </c>
      <c r="D70" s="372" t="s">
        <v>2012</v>
      </c>
      <c r="G70" s="1362"/>
      <c r="H70" s="1419">
        <v>16</v>
      </c>
      <c r="K70" s="356" t="s">
        <v>4109</v>
      </c>
      <c r="O70" s="1362"/>
      <c r="P70" s="373">
        <v>3000</v>
      </c>
    </row>
    <row r="71" spans="1:16" s="346" customFormat="1" ht="13.15" customHeight="1">
      <c r="A71" s="579"/>
      <c r="B71" s="579"/>
      <c r="D71" s="1357" t="s">
        <v>2013</v>
      </c>
      <c r="H71" s="1420">
        <v>1</v>
      </c>
      <c r="I71" s="1362"/>
      <c r="K71" s="356" t="s">
        <v>254</v>
      </c>
      <c r="O71" s="1362"/>
      <c r="P71" s="371">
        <f>+P66+P70</f>
        <v>122300</v>
      </c>
    </row>
    <row r="72" spans="1:16" s="346" customFormat="1" ht="13.15" customHeight="1">
      <c r="A72" s="579"/>
      <c r="B72" s="579"/>
      <c r="D72" s="1357" t="s">
        <v>2014</v>
      </c>
      <c r="H72" s="371">
        <f>+H70+H71</f>
        <v>17</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1749</v>
      </c>
      <c r="C74" s="358" t="s">
        <v>2861</v>
      </c>
      <c r="D74" s="1362"/>
      <c r="E74" s="1362"/>
      <c r="F74" s="1362"/>
      <c r="G74" s="1362"/>
      <c r="H74" s="373">
        <v>196</v>
      </c>
      <c r="K74" s="2616" t="s">
        <v>3889</v>
      </c>
      <c r="L74" s="2616"/>
      <c r="M74" s="2616"/>
      <c r="N74" s="2616"/>
      <c r="O74" s="2616"/>
      <c r="P74" s="2616"/>
    </row>
    <row r="75" spans="1:16" s="346" customFormat="1" ht="4.5" customHeight="1">
      <c r="A75" s="579"/>
      <c r="B75" s="579"/>
      <c r="C75" s="356"/>
      <c r="D75" s="1362"/>
      <c r="E75" s="1362"/>
      <c r="F75" s="1362"/>
      <c r="G75" s="1369"/>
      <c r="H75" s="1362"/>
      <c r="I75" s="356"/>
      <c r="J75" s="356"/>
      <c r="K75" s="2616"/>
      <c r="L75" s="2616"/>
      <c r="M75" s="2616"/>
      <c r="N75" s="2616"/>
      <c r="O75" s="2616"/>
      <c r="P75" s="2616"/>
    </row>
    <row r="76" spans="1:16" s="346" customFormat="1" ht="13.15" customHeight="1">
      <c r="A76" s="579" t="s">
        <v>535</v>
      </c>
      <c r="B76" s="374" t="s">
        <v>1202</v>
      </c>
      <c r="D76" s="374"/>
      <c r="E76" s="374"/>
      <c r="F76" s="1362"/>
      <c r="G76" s="1369"/>
      <c r="H76" s="617"/>
      <c r="K76" s="2616"/>
      <c r="L76" s="2616"/>
      <c r="M76" s="2616"/>
      <c r="N76" s="2616"/>
      <c r="O76" s="2616"/>
      <c r="P76" s="2616"/>
    </row>
    <row r="77" spans="1:16" s="346" customFormat="1" ht="3" customHeight="1">
      <c r="A77" s="579"/>
      <c r="C77" s="1352"/>
      <c r="D77" s="1352"/>
      <c r="E77" s="1352"/>
      <c r="F77" s="1362"/>
      <c r="G77" s="1369"/>
      <c r="K77" s="1362"/>
      <c r="P77" s="357"/>
    </row>
    <row r="78" spans="1:16" s="346" customFormat="1" ht="13.15" customHeight="1">
      <c r="A78" s="579"/>
      <c r="B78" s="579" t="s">
        <v>1999</v>
      </c>
      <c r="C78" s="318" t="s">
        <v>2709</v>
      </c>
      <c r="D78" s="1352"/>
      <c r="E78" s="1352"/>
      <c r="F78" s="1362"/>
      <c r="G78" s="1369"/>
      <c r="H78" s="2599" t="s">
        <v>2932</v>
      </c>
      <c r="I78" s="2600"/>
      <c r="K78" s="2601" t="s">
        <v>1785</v>
      </c>
      <c r="L78" s="2601"/>
      <c r="M78" s="2551"/>
      <c r="N78" s="2556"/>
      <c r="O78" s="2556"/>
      <c r="P78" s="2552"/>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628" t="s">
        <v>3911</v>
      </c>
      <c r="I80" s="2628"/>
      <c r="K80" s="375" t="s">
        <v>2932</v>
      </c>
      <c r="L80" s="1419">
        <v>96</v>
      </c>
      <c r="M80" s="375" t="s">
        <v>2933</v>
      </c>
      <c r="N80" s="1419"/>
      <c r="P80" s="360" t="s">
        <v>3913</v>
      </c>
    </row>
    <row r="81" spans="1:16" s="346" customFormat="1" ht="13.15" customHeight="1">
      <c r="A81" s="579"/>
      <c r="B81" s="579"/>
      <c r="D81" s="1351"/>
      <c r="E81" s="1352"/>
      <c r="H81" s="2628"/>
      <c r="I81" s="2628"/>
      <c r="K81" s="360" t="s">
        <v>2934</v>
      </c>
      <c r="L81" s="1420"/>
      <c r="M81" s="360" t="s">
        <v>3912</v>
      </c>
      <c r="N81" s="1420"/>
      <c r="P81" s="1472"/>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2001</v>
      </c>
      <c r="C83" s="358" t="s">
        <v>1423</v>
      </c>
      <c r="D83" s="1362"/>
      <c r="E83" s="372"/>
      <c r="F83" s="1357" t="s">
        <v>804</v>
      </c>
      <c r="H83" s="371">
        <f>'Part VIII-Threshold Criteria'!K301</f>
        <v>5</v>
      </c>
      <c r="K83" s="2601" t="s">
        <v>525</v>
      </c>
      <c r="L83" s="2601"/>
      <c r="N83" s="376">
        <f>IF('Part VI-Revenues &amp; Expenses'!$O$62=0,0,H83/'Part VI-Revenues &amp; Expenses'!$O$62)</f>
        <v>5.2083333333333336E-2</v>
      </c>
      <c r="O83" s="360" t="s">
        <v>3725</v>
      </c>
      <c r="P83" s="1158">
        <f>'DCA Underwriting Assumptions'!$Q$136</f>
        <v>0.05</v>
      </c>
    </row>
    <row r="84" spans="1:16" s="346" customFormat="1" ht="12.75" customHeight="1">
      <c r="A84" s="579"/>
      <c r="B84" s="579"/>
      <c r="D84" s="1357" t="s">
        <v>2859</v>
      </c>
      <c r="E84" s="1357"/>
      <c r="F84" s="1357" t="s">
        <v>804</v>
      </c>
      <c r="H84" s="371">
        <f>'Part VIII-Threshold Criteria'!K303</f>
        <v>2</v>
      </c>
      <c r="K84" s="1362" t="s">
        <v>2860</v>
      </c>
      <c r="L84" s="1362"/>
      <c r="N84" s="376">
        <f>IF(H83=0,0,H84/H83)</f>
        <v>0.4</v>
      </c>
      <c r="O84" s="360" t="s">
        <v>3725</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757</v>
      </c>
      <c r="C86" s="358" t="s">
        <v>1858</v>
      </c>
      <c r="D86" s="372"/>
      <c r="E86" s="372"/>
      <c r="F86" s="1357" t="s">
        <v>804</v>
      </c>
      <c r="H86" s="371">
        <f>'Part VIII-Threshold Criteria'!K305</f>
        <v>2</v>
      </c>
      <c r="K86" s="2601" t="s">
        <v>525</v>
      </c>
      <c r="L86" s="2601"/>
      <c r="N86" s="376">
        <f>IF('Part VI-Revenues &amp; Expenses'!$O$62=0,0,H86/'Part VI-Revenues &amp; Expenses'!$O$62)</f>
        <v>2.0833333333333332E-2</v>
      </c>
      <c r="O86" s="360" t="s">
        <v>3725</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15"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1999</v>
      </c>
      <c r="C90" s="318" t="s">
        <v>2392</v>
      </c>
      <c r="D90" s="1357"/>
      <c r="E90" s="1357"/>
      <c r="F90" s="1357"/>
      <c r="H90" s="2629" t="s">
        <v>878</v>
      </c>
      <c r="I90" s="2630"/>
      <c r="J90" s="2631"/>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2001</v>
      </c>
      <c r="C92" s="348" t="s">
        <v>1546</v>
      </c>
      <c r="K92" s="351" t="s">
        <v>877</v>
      </c>
      <c r="N92" s="379"/>
      <c r="P92" s="355"/>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2057</v>
      </c>
      <c r="D94" s="1357"/>
    </row>
    <row r="95" spans="1:16" s="346" customFormat="1" ht="3" customHeight="1">
      <c r="A95" s="579"/>
      <c r="B95" s="579"/>
      <c r="D95" s="1357"/>
      <c r="N95" s="1362"/>
      <c r="P95" s="357"/>
    </row>
    <row r="96" spans="1:16" s="346" customFormat="1" ht="13.15" customHeight="1">
      <c r="A96" s="377"/>
      <c r="B96" s="579" t="s">
        <v>1999</v>
      </c>
      <c r="C96" s="348" t="s">
        <v>2726</v>
      </c>
      <c r="F96" s="372" t="s">
        <v>2617</v>
      </c>
      <c r="H96" s="355"/>
      <c r="K96" s="372" t="s">
        <v>3936</v>
      </c>
      <c r="L96" s="355"/>
      <c r="O96" s="353" t="s">
        <v>3930</v>
      </c>
      <c r="P96" s="355"/>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2001</v>
      </c>
      <c r="C98" s="348" t="s">
        <v>2727</v>
      </c>
      <c r="F98" s="1351" t="s">
        <v>2696</v>
      </c>
      <c r="H98" s="355"/>
      <c r="I98" s="573" t="s">
        <v>2728</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2801</v>
      </c>
      <c r="D100" s="1357"/>
      <c r="H100" s="2551" t="s">
        <v>4704</v>
      </c>
      <c r="I100" s="2552"/>
      <c r="J100" s="1369"/>
    </row>
    <row r="101" spans="1:16" s="346" customFormat="1" ht="4.5" customHeight="1">
      <c r="A101" s="579"/>
      <c r="D101" s="365"/>
      <c r="E101" s="1362"/>
      <c r="I101" s="365"/>
      <c r="J101" s="356"/>
      <c r="K101" s="1362"/>
      <c r="P101" s="357"/>
    </row>
    <row r="102" spans="1:16" s="346" customFormat="1" ht="13.15"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557</v>
      </c>
      <c r="D104" s="1362"/>
      <c r="E104" s="2538" t="s">
        <v>2117</v>
      </c>
      <c r="F104" s="2539"/>
      <c r="G104" s="2539"/>
      <c r="H104" s="2539"/>
      <c r="I104" s="2539"/>
      <c r="J104" s="2539"/>
      <c r="K104" s="2539"/>
      <c r="L104" s="2540"/>
      <c r="M104" s="2617" t="s">
        <v>558</v>
      </c>
      <c r="N104" s="2617"/>
      <c r="O104" s="2618">
        <v>43122</v>
      </c>
      <c r="P104" s="2619"/>
    </row>
    <row r="105" spans="1:16" s="346" customFormat="1" ht="13.15" customHeight="1">
      <c r="C105" s="351" t="s">
        <v>1031</v>
      </c>
      <c r="D105" s="360"/>
      <c r="E105" s="2526" t="s">
        <v>4705</v>
      </c>
      <c r="F105" s="2527"/>
      <c r="G105" s="2527"/>
      <c r="H105" s="2528"/>
      <c r="I105" s="2527"/>
      <c r="J105" s="2528"/>
      <c r="K105" s="2527"/>
      <c r="L105" s="2532"/>
      <c r="M105" s="2617" t="s">
        <v>816</v>
      </c>
      <c r="N105" s="2617"/>
      <c r="O105" s="2620">
        <v>2018</v>
      </c>
      <c r="P105" s="2621"/>
    </row>
    <row r="106" spans="1:16" s="346" customFormat="1" ht="13.15" customHeight="1">
      <c r="C106" s="351" t="s">
        <v>624</v>
      </c>
      <c r="E106" s="2574" t="s">
        <v>400</v>
      </c>
      <c r="F106" s="2622"/>
      <c r="G106" s="2623"/>
      <c r="H106" s="1355" t="s">
        <v>1812</v>
      </c>
      <c r="I106" s="1814" t="s">
        <v>856</v>
      </c>
      <c r="J106" s="380" t="s">
        <v>2245</v>
      </c>
      <c r="K106" s="2624">
        <v>302632307</v>
      </c>
      <c r="L106" s="2625"/>
      <c r="M106" s="321" t="s">
        <v>3692</v>
      </c>
      <c r="N106" s="321"/>
      <c r="O106" s="2626">
        <v>18000000</v>
      </c>
      <c r="P106" s="2627"/>
    </row>
    <row r="107" spans="1:16" s="346" customFormat="1" ht="13.15" customHeight="1">
      <c r="C107" s="346" t="s">
        <v>2210</v>
      </c>
      <c r="E107" s="2574" t="s">
        <v>4706</v>
      </c>
      <c r="F107" s="2622"/>
      <c r="G107" s="2623"/>
      <c r="H107" s="1208" t="s">
        <v>1996</v>
      </c>
      <c r="I107" s="2642" t="s">
        <v>4707</v>
      </c>
      <c r="J107" s="2643"/>
      <c r="K107" s="2644"/>
      <c r="L107" s="1377" t="s">
        <v>2000</v>
      </c>
      <c r="M107" s="2538"/>
      <c r="N107" s="2645"/>
      <c r="O107" s="2646"/>
      <c r="P107" s="2647"/>
    </row>
    <row r="108" spans="1:16" s="346" customFormat="1" ht="13.15" customHeight="1">
      <c r="C108" s="351" t="s">
        <v>2209</v>
      </c>
      <c r="E108" s="2544">
        <v>7702536461</v>
      </c>
      <c r="F108" s="2648"/>
      <c r="G108" s="2545"/>
      <c r="H108" s="1208" t="s">
        <v>1815</v>
      </c>
      <c r="I108" s="2544">
        <v>7706838237</v>
      </c>
      <c r="J108" s="2649"/>
      <c r="K108" s="1355" t="s">
        <v>2722</v>
      </c>
      <c r="L108" s="2548"/>
      <c r="M108" s="2650"/>
      <c r="N108" s="2650"/>
      <c r="O108" s="2650"/>
      <c r="P108" s="2651"/>
    </row>
    <row r="109" spans="1:16" s="346" customFormat="1" ht="3" customHeight="1">
      <c r="A109" s="579"/>
      <c r="B109" s="579"/>
      <c r="G109" s="365"/>
      <c r="H109" s="1369"/>
      <c r="I109" s="1369"/>
      <c r="M109" s="357"/>
    </row>
    <row r="110" spans="1:16" s="346" customFormat="1" ht="13.15"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2169</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1999</v>
      </c>
      <c r="C114" s="1352" t="s">
        <v>1424</v>
      </c>
      <c r="D114" s="1357"/>
      <c r="E114" s="1357"/>
      <c r="F114" s="1369"/>
      <c r="G114" s="1369"/>
      <c r="H114" s="383"/>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2001</v>
      </c>
      <c r="C116" s="1352" t="s">
        <v>418</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2" t="s">
        <v>304</v>
      </c>
      <c r="D118" s="1357"/>
      <c r="E118" s="1357"/>
      <c r="F118" s="1369"/>
      <c r="G118" s="1369"/>
      <c r="H118" s="1369"/>
      <c r="I118" s="1369"/>
      <c r="J118" s="365"/>
      <c r="K118" s="1369"/>
      <c r="L118" s="1369"/>
      <c r="N118" s="1362"/>
      <c r="O118" s="1362"/>
    </row>
    <row r="119" spans="1:16" s="346" customFormat="1" ht="13.15"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15" customHeight="1">
      <c r="A120" s="579"/>
      <c r="B120" s="579"/>
      <c r="C120" s="2632">
        <v>1</v>
      </c>
      <c r="D120" s="2633"/>
      <c r="E120" s="2633"/>
      <c r="F120" s="2634"/>
      <c r="G120" s="2635"/>
      <c r="H120" s="2636"/>
      <c r="I120" s="1824"/>
      <c r="J120" s="2632">
        <v>7</v>
      </c>
      <c r="K120" s="2633"/>
      <c r="L120" s="2633"/>
      <c r="M120" s="2634"/>
      <c r="N120" s="2635"/>
      <c r="O120" s="2636"/>
      <c r="P120" s="1824"/>
    </row>
    <row r="121" spans="1:16" s="346" customFormat="1" ht="13.15" customHeight="1">
      <c r="A121" s="579"/>
      <c r="B121" s="579"/>
      <c r="C121" s="2637">
        <v>2</v>
      </c>
      <c r="D121" s="2638"/>
      <c r="E121" s="2638"/>
      <c r="F121" s="2639"/>
      <c r="G121" s="2640"/>
      <c r="H121" s="2641"/>
      <c r="I121" s="1823"/>
      <c r="J121" s="2637">
        <v>8</v>
      </c>
      <c r="K121" s="2638"/>
      <c r="L121" s="2638"/>
      <c r="M121" s="2639"/>
      <c r="N121" s="2640"/>
      <c r="O121" s="2641"/>
      <c r="P121" s="1823"/>
    </row>
    <row r="122" spans="1:16" s="346" customFormat="1" ht="13.15" customHeight="1">
      <c r="A122" s="579"/>
      <c r="B122" s="579"/>
      <c r="C122" s="2637">
        <v>3</v>
      </c>
      <c r="D122" s="2638"/>
      <c r="E122" s="2638"/>
      <c r="F122" s="2639"/>
      <c r="G122" s="2640"/>
      <c r="H122" s="2641"/>
      <c r="I122" s="1823"/>
      <c r="J122" s="2637">
        <v>9</v>
      </c>
      <c r="K122" s="2638"/>
      <c r="L122" s="2638"/>
      <c r="M122" s="2639"/>
      <c r="N122" s="2640"/>
      <c r="O122" s="2641"/>
      <c r="P122" s="1823"/>
    </row>
    <row r="123" spans="1:16" s="346" customFormat="1" ht="13.15" customHeight="1">
      <c r="A123" s="579"/>
      <c r="B123" s="579"/>
      <c r="C123" s="2637">
        <v>4</v>
      </c>
      <c r="D123" s="2638"/>
      <c r="E123" s="2638"/>
      <c r="F123" s="2639"/>
      <c r="G123" s="2640"/>
      <c r="H123" s="2641"/>
      <c r="I123" s="1823"/>
      <c r="J123" s="2637">
        <v>10</v>
      </c>
      <c r="K123" s="2638"/>
      <c r="L123" s="2638"/>
      <c r="M123" s="2639"/>
      <c r="N123" s="2640"/>
      <c r="O123" s="2641"/>
      <c r="P123" s="1823"/>
    </row>
    <row r="124" spans="1:16" s="346" customFormat="1" ht="13.15" customHeight="1">
      <c r="A124" s="579"/>
      <c r="B124" s="579"/>
      <c r="C124" s="2637">
        <v>5</v>
      </c>
      <c r="D124" s="2638"/>
      <c r="E124" s="2638"/>
      <c r="F124" s="2639"/>
      <c r="G124" s="2640"/>
      <c r="H124" s="2641"/>
      <c r="I124" s="1823"/>
      <c r="J124" s="2637">
        <v>11</v>
      </c>
      <c r="K124" s="2638"/>
      <c r="L124" s="2638"/>
      <c r="M124" s="2639"/>
      <c r="N124" s="2640"/>
      <c r="O124" s="2641"/>
      <c r="P124" s="1823"/>
    </row>
    <row r="125" spans="1:16" s="346" customFormat="1" ht="13.15" customHeight="1">
      <c r="A125" s="579"/>
      <c r="B125" s="579"/>
      <c r="C125" s="2652">
        <v>6</v>
      </c>
      <c r="D125" s="2653"/>
      <c r="E125" s="2653"/>
      <c r="F125" s="2654"/>
      <c r="G125" s="2655"/>
      <c r="H125" s="2656"/>
      <c r="I125" s="1822"/>
      <c r="J125" s="2652">
        <v>12</v>
      </c>
      <c r="K125" s="2653"/>
      <c r="L125" s="2653"/>
      <c r="M125" s="2654"/>
      <c r="N125" s="2655"/>
      <c r="O125" s="2656"/>
      <c r="P125" s="1822"/>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2131</v>
      </c>
      <c r="C127" s="2658" t="s">
        <v>1861</v>
      </c>
      <c r="D127" s="2658"/>
      <c r="E127" s="2658"/>
      <c r="F127" s="2658"/>
      <c r="G127" s="2658"/>
      <c r="H127" s="2658"/>
      <c r="I127" s="2658"/>
      <c r="J127" s="2658"/>
      <c r="K127" s="2658"/>
      <c r="L127" s="2658"/>
      <c r="M127" s="2658"/>
      <c r="N127" s="2658"/>
      <c r="O127" s="2658"/>
      <c r="P127" s="2658"/>
    </row>
    <row r="128" spans="1:16" s="346" customFormat="1" ht="13.15" customHeight="1">
      <c r="A128" s="579"/>
      <c r="B128" s="579"/>
      <c r="C128" s="2658"/>
      <c r="D128" s="2658"/>
      <c r="E128" s="2658"/>
      <c r="F128" s="2658"/>
      <c r="G128" s="2658"/>
      <c r="H128" s="2658"/>
      <c r="I128" s="2658"/>
      <c r="J128" s="2658"/>
      <c r="K128" s="2658"/>
      <c r="L128" s="2658"/>
      <c r="M128" s="2658"/>
      <c r="N128" s="2658"/>
      <c r="O128" s="2658"/>
      <c r="P128" s="2658"/>
    </row>
    <row r="129" spans="1:16" s="346" customFormat="1" ht="13.15"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15" customHeight="1">
      <c r="A130" s="579"/>
      <c r="B130" s="579"/>
      <c r="C130" s="2632">
        <v>1</v>
      </c>
      <c r="D130" s="2633"/>
      <c r="E130" s="2633"/>
      <c r="F130" s="2634"/>
      <c r="G130" s="2635"/>
      <c r="H130" s="2635"/>
      <c r="I130" s="2659"/>
      <c r="J130" s="2632">
        <v>7</v>
      </c>
      <c r="K130" s="2633"/>
      <c r="L130" s="2633"/>
      <c r="M130" s="2634"/>
      <c r="N130" s="2635"/>
      <c r="O130" s="2635"/>
      <c r="P130" s="2659"/>
    </row>
    <row r="131" spans="1:16" s="346" customFormat="1" ht="13.15" customHeight="1">
      <c r="A131" s="579"/>
      <c r="B131" s="579"/>
      <c r="C131" s="2637">
        <v>2</v>
      </c>
      <c r="D131" s="2638"/>
      <c r="E131" s="2638"/>
      <c r="F131" s="2639"/>
      <c r="G131" s="2640"/>
      <c r="H131" s="2640"/>
      <c r="I131" s="2657"/>
      <c r="J131" s="2637">
        <v>8</v>
      </c>
      <c r="K131" s="2638"/>
      <c r="L131" s="2638"/>
      <c r="M131" s="2639"/>
      <c r="N131" s="2640"/>
      <c r="O131" s="2640"/>
      <c r="P131" s="2657"/>
    </row>
    <row r="132" spans="1:16" s="346" customFormat="1" ht="13.15" customHeight="1">
      <c r="A132" s="579"/>
      <c r="B132" s="579"/>
      <c r="C132" s="2637">
        <v>3</v>
      </c>
      <c r="D132" s="2638"/>
      <c r="E132" s="2638"/>
      <c r="F132" s="2639"/>
      <c r="G132" s="2640"/>
      <c r="H132" s="2640"/>
      <c r="I132" s="2657"/>
      <c r="J132" s="2637">
        <v>9</v>
      </c>
      <c r="K132" s="2638"/>
      <c r="L132" s="2638"/>
      <c r="M132" s="2639"/>
      <c r="N132" s="2640"/>
      <c r="O132" s="2640"/>
      <c r="P132" s="2657"/>
    </row>
    <row r="133" spans="1:16" s="346" customFormat="1" ht="13.15" customHeight="1">
      <c r="A133" s="579"/>
      <c r="B133" s="579"/>
      <c r="C133" s="2637">
        <v>4</v>
      </c>
      <c r="D133" s="2638"/>
      <c r="E133" s="2638"/>
      <c r="F133" s="2639"/>
      <c r="G133" s="2640"/>
      <c r="H133" s="2640"/>
      <c r="I133" s="2657"/>
      <c r="J133" s="2637">
        <v>10</v>
      </c>
      <c r="K133" s="2638"/>
      <c r="L133" s="2638"/>
      <c r="M133" s="2639"/>
      <c r="N133" s="2640"/>
      <c r="O133" s="2640"/>
      <c r="P133" s="2657"/>
    </row>
    <row r="134" spans="1:16" s="346" customFormat="1" ht="13.15" customHeight="1">
      <c r="A134" s="579"/>
      <c r="B134" s="579"/>
      <c r="C134" s="2637">
        <v>5</v>
      </c>
      <c r="D134" s="2638"/>
      <c r="E134" s="2638"/>
      <c r="F134" s="2639"/>
      <c r="G134" s="2640"/>
      <c r="H134" s="2640"/>
      <c r="I134" s="2657"/>
      <c r="J134" s="2637">
        <v>11</v>
      </c>
      <c r="K134" s="2638"/>
      <c r="L134" s="2638"/>
      <c r="M134" s="2639"/>
      <c r="N134" s="2640"/>
      <c r="O134" s="2640"/>
      <c r="P134" s="2657"/>
    </row>
    <row r="135" spans="1:16" s="346" customFormat="1" ht="13.15" customHeight="1">
      <c r="A135" s="579"/>
      <c r="B135" s="579"/>
      <c r="C135" s="2652">
        <v>6</v>
      </c>
      <c r="D135" s="2653"/>
      <c r="E135" s="2653"/>
      <c r="F135" s="2654"/>
      <c r="G135" s="2655"/>
      <c r="H135" s="2655"/>
      <c r="I135" s="2665"/>
      <c r="J135" s="2652">
        <v>12</v>
      </c>
      <c r="K135" s="2653"/>
      <c r="L135" s="2653"/>
      <c r="M135" s="2654"/>
      <c r="N135" s="2655"/>
      <c r="O135" s="2655"/>
      <c r="P135" s="2665"/>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15" customHeight="1">
      <c r="A138" s="377" t="s">
        <v>366</v>
      </c>
      <c r="B138" s="374" t="s">
        <v>2434</v>
      </c>
      <c r="D138" s="374"/>
      <c r="E138" s="374"/>
      <c r="F138" s="374"/>
      <c r="I138" s="355" t="s">
        <v>3014</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1999</v>
      </c>
      <c r="C140" s="352" t="s">
        <v>1726</v>
      </c>
      <c r="I140" s="1443"/>
      <c r="M140" s="1369"/>
      <c r="N140" s="1362"/>
      <c r="O140" s="1362"/>
      <c r="P140" s="357"/>
    </row>
    <row r="141" spans="1:16" s="346" customFormat="1" ht="13.15" customHeight="1">
      <c r="A141" s="579"/>
      <c r="B141" s="579"/>
      <c r="C141" s="1357" t="s">
        <v>2436</v>
      </c>
      <c r="D141" s="1357"/>
      <c r="E141" s="1357"/>
      <c r="F141" s="1369"/>
      <c r="I141" s="1454"/>
      <c r="N141" s="1362"/>
      <c r="O141" s="1362"/>
      <c r="P141" s="357"/>
    </row>
    <row r="142" spans="1:16" s="346" customFormat="1" ht="13.15" customHeight="1">
      <c r="A142" s="579"/>
      <c r="B142" s="579"/>
      <c r="C142" s="385" t="s">
        <v>1725</v>
      </c>
      <c r="D142" s="351"/>
      <c r="I142" s="1496"/>
      <c r="P142" s="357"/>
    </row>
    <row r="143" spans="1:16" s="346" customFormat="1" ht="13.15" customHeight="1">
      <c r="A143" s="579"/>
      <c r="B143" s="579"/>
      <c r="C143" s="1357" t="s">
        <v>2437</v>
      </c>
      <c r="D143" s="1357"/>
      <c r="E143" s="1357"/>
      <c r="F143" s="1369"/>
      <c r="I143" s="1454"/>
      <c r="K143" s="321" t="s">
        <v>2261</v>
      </c>
      <c r="O143" s="2538" t="s">
        <v>489</v>
      </c>
      <c r="P143" s="2540"/>
    </row>
    <row r="144" spans="1:16" s="346" customFormat="1" ht="13.15" customHeight="1">
      <c r="A144" s="579"/>
      <c r="B144" s="579"/>
      <c r="C144" s="1357" t="s">
        <v>2435</v>
      </c>
      <c r="F144" s="1369"/>
      <c r="I144" s="1457"/>
      <c r="K144" s="321" t="s">
        <v>2262</v>
      </c>
      <c r="O144" s="2557" t="s">
        <v>489</v>
      </c>
      <c r="P144" s="2529"/>
    </row>
    <row r="145" spans="1:16" s="346" customFormat="1" ht="13.15" customHeight="1">
      <c r="A145" s="579"/>
      <c r="B145" s="579"/>
      <c r="C145" s="1357" t="s">
        <v>2182</v>
      </c>
      <c r="D145" s="1357"/>
      <c r="E145" s="1357"/>
      <c r="F145" s="1369"/>
      <c r="I145" s="2660"/>
      <c r="J145" s="2661"/>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2001</v>
      </c>
      <c r="C147" s="1352" t="s">
        <v>2506</v>
      </c>
      <c r="D147" s="1357"/>
      <c r="E147" s="1357"/>
      <c r="F147" s="1369"/>
      <c r="I147" s="383"/>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757</v>
      </c>
      <c r="C149" s="1352" t="s">
        <v>2719</v>
      </c>
      <c r="D149" s="1357"/>
      <c r="E149" s="1357"/>
      <c r="F149" s="1369"/>
      <c r="G149" s="1369"/>
      <c r="N149" s="1362"/>
      <c r="O149" s="1362"/>
      <c r="P149" s="357"/>
    </row>
    <row r="150" spans="1:16" s="346" customFormat="1" ht="13.15" customHeight="1">
      <c r="A150" s="579"/>
      <c r="B150" s="579"/>
      <c r="C150" s="1357" t="s">
        <v>726</v>
      </c>
      <c r="D150" s="1357"/>
      <c r="E150" s="1357"/>
      <c r="F150" s="1369"/>
      <c r="G150" s="1369"/>
      <c r="I150" s="383"/>
      <c r="K150" s="1357" t="s">
        <v>1547</v>
      </c>
      <c r="L150" s="1357"/>
      <c r="M150" s="1369"/>
      <c r="N150" s="1369"/>
      <c r="O150" s="383"/>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1739</v>
      </c>
      <c r="B152" s="374" t="s">
        <v>1201</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1999</v>
      </c>
      <c r="C154" s="364" t="s">
        <v>1836</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3014</v>
      </c>
      <c r="N155" s="1362"/>
      <c r="O155" s="1362"/>
      <c r="P155" s="357"/>
    </row>
    <row r="156" spans="1:16" s="346" customFormat="1" ht="12.6" customHeight="1">
      <c r="A156" s="579"/>
      <c r="B156" s="579"/>
      <c r="C156" s="346" t="s">
        <v>621</v>
      </c>
      <c r="K156" s="1456"/>
      <c r="L156" s="351" t="s">
        <v>1808</v>
      </c>
      <c r="P156" s="386">
        <f>IF('Part VI-Revenues &amp; Expenses'!O$60=0,0,K156/'Part VI-Revenues &amp; Expenses'!$O$60)</f>
        <v>0</v>
      </c>
    </row>
    <row r="157" spans="1:16" s="346" customFormat="1" ht="12.6" customHeight="1">
      <c r="A157" s="579"/>
      <c r="B157" s="579"/>
      <c r="C157" s="346" t="s">
        <v>3757</v>
      </c>
      <c r="H157" s="373"/>
      <c r="I157" s="204"/>
      <c r="J157" s="1031" t="s">
        <v>3756</v>
      </c>
      <c r="K157" s="1456"/>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38"/>
      <c r="F158" s="2539"/>
      <c r="G158" s="2539"/>
      <c r="H158" s="2539"/>
      <c r="I158" s="2539"/>
      <c r="J158" s="2539"/>
      <c r="K158" s="2568"/>
      <c r="L158" s="387" t="s">
        <v>1810</v>
      </c>
      <c r="M158" s="2662"/>
      <c r="N158" s="2663"/>
      <c r="O158" s="2663"/>
      <c r="P158" s="2664"/>
    </row>
    <row r="159" spans="1:16" s="346" customFormat="1" ht="12.6" customHeight="1">
      <c r="A159" s="579"/>
      <c r="B159" s="579"/>
      <c r="C159" s="351" t="s">
        <v>1811</v>
      </c>
      <c r="D159" s="360"/>
      <c r="E159" s="2526"/>
      <c r="F159" s="2527"/>
      <c r="G159" s="2527"/>
      <c r="H159" s="2527"/>
      <c r="I159" s="2528"/>
      <c r="J159" s="2527"/>
      <c r="K159" s="2532"/>
      <c r="L159" s="387" t="s">
        <v>1815</v>
      </c>
      <c r="M159" s="2673"/>
      <c r="N159" s="2674"/>
      <c r="O159" s="2675"/>
    </row>
    <row r="160" spans="1:16" s="346" customFormat="1" ht="12.6" customHeight="1">
      <c r="A160" s="579"/>
      <c r="B160" s="579"/>
      <c r="C160" s="351" t="s">
        <v>624</v>
      </c>
      <c r="E160" s="2557"/>
      <c r="F160" s="2528"/>
      <c r="G160" s="2528"/>
      <c r="H160" s="2529"/>
      <c r="I160" s="380" t="s">
        <v>2245</v>
      </c>
      <c r="J160" s="2535"/>
      <c r="K160" s="2537"/>
      <c r="L160" s="388" t="s">
        <v>1995</v>
      </c>
      <c r="M160" s="2673"/>
      <c r="N160" s="2674"/>
      <c r="O160" s="2675"/>
    </row>
    <row r="161" spans="1:16" s="346" customFormat="1" ht="12.6" customHeight="1">
      <c r="A161" s="579"/>
      <c r="B161" s="579"/>
      <c r="C161" s="351" t="s">
        <v>1814</v>
      </c>
      <c r="E161" s="2544"/>
      <c r="F161" s="2648"/>
      <c r="G161" s="2545"/>
      <c r="H161" s="1354"/>
      <c r="I161" s="1356" t="s">
        <v>1813</v>
      </c>
      <c r="J161" s="2676"/>
      <c r="K161" s="2650"/>
      <c r="L161" s="2549"/>
      <c r="M161" s="2650"/>
      <c r="N161" s="2650"/>
      <c r="O161" s="2650"/>
      <c r="P161" s="2550"/>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2001</v>
      </c>
      <c r="C163" s="1352" t="s">
        <v>2720</v>
      </c>
      <c r="D163" s="1352"/>
      <c r="E163" s="1352"/>
      <c r="F163" s="1352"/>
      <c r="G163" s="1352"/>
      <c r="I163" s="383"/>
      <c r="J163" s="2666" t="s">
        <v>769</v>
      </c>
      <c r="K163" s="2667"/>
      <c r="L163" s="383"/>
      <c r="M163" s="2668" t="s">
        <v>2342</v>
      </c>
      <c r="N163" s="2669"/>
      <c r="O163" s="2670"/>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2721</v>
      </c>
      <c r="D165" s="1352"/>
      <c r="E165" s="1352"/>
      <c r="F165" s="1352"/>
      <c r="G165" s="1352"/>
      <c r="I165" s="383" t="s">
        <v>3014</v>
      </c>
      <c r="J165" s="2666" t="s">
        <v>769</v>
      </c>
      <c r="K165" s="2667"/>
      <c r="L165" s="383"/>
      <c r="M165" s="2668" t="s">
        <v>2342</v>
      </c>
      <c r="N165" s="2669"/>
      <c r="O165" s="2670"/>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3011</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2131</v>
      </c>
      <c r="C169" s="2671" t="s">
        <v>1994</v>
      </c>
      <c r="D169" s="2671"/>
      <c r="E169" s="2671"/>
      <c r="F169" s="2671"/>
      <c r="G169" s="1352"/>
      <c r="I169" s="383" t="s">
        <v>3014</v>
      </c>
      <c r="J169" s="392" t="s">
        <v>2771</v>
      </c>
      <c r="L169" s="2672" t="s">
        <v>3732</v>
      </c>
      <c r="M169" s="2672"/>
      <c r="N169" s="1352"/>
      <c r="O169" s="1352"/>
      <c r="P169" s="1419"/>
    </row>
    <row r="170" spans="1:16" s="346" customFormat="1" ht="12.6" customHeight="1">
      <c r="B170" s="579"/>
      <c r="L170" s="2601" t="s">
        <v>805</v>
      </c>
      <c r="M170" s="2601"/>
      <c r="N170" s="1352"/>
      <c r="O170" s="1352"/>
      <c r="P170" s="1420"/>
    </row>
    <row r="171" spans="1:16" s="346" customFormat="1" ht="12.6" customHeight="1">
      <c r="A171" s="579"/>
      <c r="B171" s="579"/>
      <c r="L171" s="2601" t="s">
        <v>1804</v>
      </c>
      <c r="M171" s="2601"/>
      <c r="N171" s="1352"/>
      <c r="O171" s="1352"/>
      <c r="P171" s="391" t="str">
        <f>IF(P169="","",P170/P169)</f>
        <v/>
      </c>
    </row>
    <row r="172" spans="1:16" s="346" customFormat="1" ht="13.15"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2228</v>
      </c>
      <c r="D173" s="358"/>
      <c r="E173" s="1362"/>
      <c r="F173" s="1362"/>
      <c r="I173" s="1455" t="s">
        <v>3014</v>
      </c>
      <c r="L173" s="1362" t="s">
        <v>1622</v>
      </c>
      <c r="M173" s="1362"/>
      <c r="N173" s="1362"/>
      <c r="P173" s="1455" t="s">
        <v>3011</v>
      </c>
    </row>
    <row r="174" spans="1:16" s="346" customFormat="1" ht="12.6" customHeight="1">
      <c r="A174" s="579"/>
      <c r="B174" s="579"/>
      <c r="C174" s="1362" t="s">
        <v>2229</v>
      </c>
      <c r="I174" s="1457" t="s">
        <v>3014</v>
      </c>
      <c r="L174" s="1362" t="s">
        <v>2864</v>
      </c>
      <c r="M174" s="1362"/>
      <c r="N174" s="1362"/>
      <c r="P174" s="1457" t="s">
        <v>3014</v>
      </c>
    </row>
    <row r="175" spans="1:16" s="346" customFormat="1" ht="12.6" customHeight="1">
      <c r="A175" s="579"/>
      <c r="C175" s="1362" t="s">
        <v>2740</v>
      </c>
      <c r="I175" s="1457" t="s">
        <v>3014</v>
      </c>
      <c r="L175" s="1362" t="s">
        <v>2707</v>
      </c>
      <c r="N175" s="2681"/>
      <c r="O175" s="2682"/>
      <c r="P175" s="1457" t="s">
        <v>3014</v>
      </c>
    </row>
    <row r="176" spans="1:16" s="346" customFormat="1" ht="12.6" customHeight="1">
      <c r="A176" s="579"/>
      <c r="B176" s="579"/>
      <c r="C176" s="1362" t="s">
        <v>1297</v>
      </c>
      <c r="D176" s="393"/>
      <c r="I176" s="1457" t="s">
        <v>3014</v>
      </c>
      <c r="K176" s="358"/>
      <c r="L176" s="1362" t="s">
        <v>3506</v>
      </c>
      <c r="M176" s="1362"/>
      <c r="N176" s="1362"/>
      <c r="P176" s="1457" t="s">
        <v>3014</v>
      </c>
    </row>
    <row r="177" spans="1:21" s="346" customFormat="1" ht="12.6" customHeight="1">
      <c r="A177" s="579"/>
      <c r="B177" s="348"/>
      <c r="C177" s="1362" t="s">
        <v>1820</v>
      </c>
      <c r="I177" s="1457" t="s">
        <v>3014</v>
      </c>
      <c r="J177" s="392" t="s">
        <v>2772</v>
      </c>
      <c r="O177" s="2683"/>
      <c r="P177" s="2684"/>
    </row>
    <row r="178" spans="1:21" s="346" customFormat="1" ht="12.6" customHeight="1">
      <c r="A178" s="579"/>
      <c r="B178" s="579"/>
      <c r="C178" s="1362" t="s">
        <v>2922</v>
      </c>
      <c r="I178" s="1458" t="s">
        <v>3014</v>
      </c>
      <c r="J178" s="392" t="s">
        <v>2772</v>
      </c>
      <c r="O178" s="2685"/>
      <c r="P178" s="2686"/>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7"/>
      <c r="E181" s="1357"/>
      <c r="F181" s="1369"/>
      <c r="G181" s="1369"/>
      <c r="H181" s="2618"/>
      <c r="I181" s="2619"/>
      <c r="N181" s="1362"/>
      <c r="O181" s="1362"/>
      <c r="P181" s="357"/>
    </row>
    <row r="182" spans="1:21" s="346" customFormat="1" ht="12.6" customHeight="1">
      <c r="A182" s="579"/>
      <c r="B182" s="579"/>
      <c r="C182" s="351" t="s">
        <v>278</v>
      </c>
      <c r="D182" s="1357"/>
      <c r="E182" s="1357"/>
      <c r="F182" s="1369"/>
      <c r="G182" s="1369"/>
      <c r="H182" s="2677"/>
      <c r="I182" s="2678"/>
      <c r="N182" s="1362"/>
      <c r="O182" s="1362"/>
      <c r="P182" s="357"/>
    </row>
    <row r="183" spans="1:21" s="346" customFormat="1" ht="12.6" customHeight="1">
      <c r="A183" s="579"/>
      <c r="B183" s="579"/>
      <c r="C183" s="351" t="s">
        <v>2311</v>
      </c>
      <c r="D183" s="1357"/>
      <c r="E183" s="1357"/>
      <c r="F183" s="1369"/>
      <c r="G183" s="1369"/>
      <c r="H183" s="2679">
        <v>44256</v>
      </c>
      <c r="I183" s="2680"/>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577</v>
      </c>
      <c r="M185" s="377" t="s">
        <v>2267</v>
      </c>
      <c r="N185" s="377" t="s">
        <v>80</v>
      </c>
    </row>
    <row r="186" spans="1:21" ht="409.5" customHeight="1">
      <c r="A186" s="2687"/>
      <c r="B186" s="2688"/>
      <c r="C186" s="2688"/>
      <c r="D186" s="2688"/>
      <c r="E186" s="2688"/>
      <c r="F186" s="2688"/>
      <c r="G186" s="2688"/>
      <c r="H186" s="2688"/>
      <c r="I186" s="2688"/>
      <c r="J186" s="2688"/>
      <c r="K186" s="2688"/>
      <c r="L186" s="2689"/>
      <c r="M186" s="2690"/>
      <c r="N186" s="2691"/>
      <c r="O186" s="2691"/>
      <c r="P186" s="2692"/>
      <c r="Q186" s="2511" t="s">
        <v>2710</v>
      </c>
      <c r="R186" s="2511"/>
      <c r="S186" s="2511"/>
      <c r="T186" s="2511"/>
      <c r="U186" s="2511"/>
    </row>
    <row r="187" spans="1:21" ht="12" customHeight="1">
      <c r="Q187" s="2511"/>
      <c r="R187" s="2511"/>
      <c r="S187" s="2511"/>
      <c r="T187" s="2511"/>
      <c r="U187" s="2511"/>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3907</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29" t="str">
        <f>Overview!C8</f>
        <v>McIntosh Woods</v>
      </c>
      <c r="C1" s="3729"/>
      <c r="D1" s="3729"/>
      <c r="E1" s="3729"/>
      <c r="F1" s="3729"/>
      <c r="G1" s="3729"/>
      <c r="H1" s="1833"/>
    </row>
    <row r="2" spans="1:8" ht="21.95" customHeight="1">
      <c r="A2" s="2415"/>
      <c r="B2" s="2415"/>
      <c r="C2" s="2415"/>
      <c r="D2" s="2415"/>
      <c r="E2" s="2415"/>
      <c r="F2" s="2415"/>
      <c r="G2" s="2415"/>
      <c r="H2" s="2415"/>
    </row>
    <row r="3" spans="1:8" ht="20.25" customHeight="1">
      <c r="C3" s="3728" t="s">
        <v>3098</v>
      </c>
      <c r="D3" s="3728"/>
      <c r="E3" s="3728"/>
      <c r="F3" s="3728"/>
    </row>
    <row r="5" spans="1:8" ht="15.75">
      <c r="D5" s="1786"/>
      <c r="E5" s="1786" t="s">
        <v>3099</v>
      </c>
    </row>
    <row r="6" spans="1:8" ht="15.75">
      <c r="D6" s="1834" t="s">
        <v>2496</v>
      </c>
      <c r="E6" s="1834" t="s">
        <v>3100</v>
      </c>
    </row>
    <row r="7" spans="1:8" ht="15">
      <c r="D7" s="1787"/>
      <c r="E7" s="1787"/>
    </row>
    <row r="8" spans="1:8" ht="21" customHeight="1">
      <c r="D8" s="1788">
        <v>1</v>
      </c>
      <c r="E8" s="1789">
        <f>-'Part VII-Pro Forma'!B23/12</f>
        <v>45704.311679961429</v>
      </c>
    </row>
    <row r="9" spans="1:8" ht="21" customHeight="1">
      <c r="D9" s="1788">
        <v>2</v>
      </c>
      <c r="E9" s="1789">
        <f>-'Part VII-Pro Forma'!C23/12</f>
        <v>45704.311679961429</v>
      </c>
    </row>
    <row r="10" spans="1:8" ht="21" customHeight="1">
      <c r="D10" s="1788">
        <v>3</v>
      </c>
      <c r="E10" s="1789">
        <f>-'Part VII-Pro Forma'!D23/12</f>
        <v>45704.311679961429</v>
      </c>
    </row>
    <row r="11" spans="1:8" ht="21" customHeight="1">
      <c r="D11" s="1790">
        <v>4</v>
      </c>
      <c r="E11" s="1789">
        <f>-'Part VII-Pro Forma'!E23/12</f>
        <v>45704.311679961429</v>
      </c>
    </row>
    <row r="12" spans="1:8" ht="21" customHeight="1">
      <c r="D12" s="1790">
        <v>5</v>
      </c>
      <c r="E12" s="1789">
        <f>-'Part VII-Pro Forma'!F23/12</f>
        <v>45704.311679961429</v>
      </c>
    </row>
    <row r="13" spans="1:8" ht="21" customHeight="1">
      <c r="D13" s="1788">
        <v>6</v>
      </c>
      <c r="E13" s="1789">
        <f>-'Part VII-Pro Forma'!G23/12</f>
        <v>45704.311679961429</v>
      </c>
    </row>
    <row r="14" spans="1:8" ht="21" customHeight="1">
      <c r="D14" s="1788">
        <v>7</v>
      </c>
      <c r="E14" s="1789">
        <f>-'Part VII-Pro Forma'!H23/12</f>
        <v>45704.311679961429</v>
      </c>
    </row>
    <row r="15" spans="1:8" ht="21" customHeight="1">
      <c r="D15" s="1790">
        <v>8</v>
      </c>
      <c r="E15" s="1789">
        <f>-'Part VII-Pro Forma'!I23/12</f>
        <v>45704.311679961429</v>
      </c>
    </row>
    <row r="16" spans="1:8" ht="21" customHeight="1">
      <c r="D16" s="1788">
        <v>9</v>
      </c>
      <c r="E16" s="1789">
        <f>-'Part VII-Pro Forma'!J23/12</f>
        <v>45704.311679961429</v>
      </c>
    </row>
    <row r="17" spans="4:8" ht="21" customHeight="1">
      <c r="D17" s="1788">
        <v>10</v>
      </c>
      <c r="E17" s="1789">
        <f>-'Part VII-Pro Forma'!K23/12</f>
        <v>45704.311679961429</v>
      </c>
    </row>
    <row r="18" spans="4:8" ht="21" customHeight="1">
      <c r="D18" s="1790">
        <v>11</v>
      </c>
      <c r="E18" s="1789">
        <f>-'Part VII-Pro Forma'!B53/12</f>
        <v>45704.311679961429</v>
      </c>
    </row>
    <row r="19" spans="4:8" ht="21" customHeight="1">
      <c r="D19" s="1788">
        <v>12</v>
      </c>
      <c r="E19" s="1789">
        <f>-'Part VII-Pro Forma'!C53/12</f>
        <v>45704.311679961429</v>
      </c>
    </row>
    <row r="20" spans="4:8" ht="21" customHeight="1">
      <c r="D20" s="1788">
        <v>13</v>
      </c>
      <c r="E20" s="1789">
        <f>-'Part VII-Pro Forma'!D53/12</f>
        <v>45704.311679961429</v>
      </c>
    </row>
    <row r="21" spans="4:8" ht="21" customHeight="1">
      <c r="D21" s="1788">
        <v>14</v>
      </c>
      <c r="E21" s="1789">
        <f>-'Part VII-Pro Forma'!E53/12</f>
        <v>45704.311679961429</v>
      </c>
    </row>
    <row r="22" spans="4:8" ht="21" customHeight="1">
      <c r="D22" s="1788">
        <v>15</v>
      </c>
      <c r="E22" s="1789">
        <f>-'Part VII-Pro Forma'!F53/12</f>
        <v>45704.311679961429</v>
      </c>
    </row>
    <row r="23" spans="4:8" ht="21" customHeight="1">
      <c r="D23" s="1788">
        <v>16</v>
      </c>
      <c r="E23" s="1789">
        <f>-'Part VII-Pro Forma'!G53/12</f>
        <v>45704.311679961429</v>
      </c>
    </row>
    <row r="24" spans="4:8" ht="21" customHeight="1">
      <c r="D24" s="1788">
        <v>17</v>
      </c>
      <c r="E24" s="1789">
        <f>-'Part VII-Pro Forma'!H53/12</f>
        <v>45704.311679961429</v>
      </c>
      <c r="H24" s="679" t="s">
        <v>245</v>
      </c>
    </row>
    <row r="25" spans="4:8" ht="21" customHeight="1">
      <c r="D25" s="1788">
        <v>18</v>
      </c>
      <c r="E25" s="1789">
        <f>-'Part VII-Pro Forma'!I53/12</f>
        <v>45704.311679961429</v>
      </c>
    </row>
    <row r="26" spans="4:8" ht="21" customHeight="1">
      <c r="D26" s="1788">
        <v>19</v>
      </c>
      <c r="E26" s="1789">
        <f>-'Part VII-Pro Forma'!J53/12</f>
        <v>45704.311679961429</v>
      </c>
    </row>
    <row r="27" spans="4:8" ht="21" customHeight="1">
      <c r="D27" s="1788">
        <v>20</v>
      </c>
      <c r="E27" s="1789">
        <f>-'Part VII-Pro Forma'!K53/12</f>
        <v>45704.311679961429</v>
      </c>
    </row>
    <row r="28" spans="4:8" ht="21" customHeight="1">
      <c r="D28" s="1788">
        <v>21</v>
      </c>
      <c r="E28" s="1789">
        <f>-'Part VII-Pro Forma'!B83/12</f>
        <v>45704.311679961429</v>
      </c>
    </row>
    <row r="29" spans="4:8" ht="21" customHeight="1">
      <c r="D29" s="1788">
        <v>22</v>
      </c>
      <c r="E29" s="1789">
        <f>-'Part VII-Pro Forma'!C83/12</f>
        <v>45704.311679961429</v>
      </c>
    </row>
    <row r="30" spans="4:8" ht="21" customHeight="1">
      <c r="D30" s="1788">
        <v>23</v>
      </c>
      <c r="E30" s="1789">
        <f>-'Part VII-Pro Forma'!D83/12</f>
        <v>45704.311679961429</v>
      </c>
    </row>
    <row r="31" spans="4:8" ht="21" customHeight="1">
      <c r="D31" s="1788">
        <v>24</v>
      </c>
      <c r="E31" s="1789">
        <f>-'Part VII-Pro Forma'!E83/12</f>
        <v>45704.311679961429</v>
      </c>
    </row>
    <row r="32" spans="4:8" ht="21" customHeight="1">
      <c r="D32" s="1788">
        <v>25</v>
      </c>
      <c r="E32" s="1789">
        <f>-'Part VII-Pro Forma'!F83/12</f>
        <v>45704.311679961429</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30" t="s">
        <v>3101</v>
      </c>
      <c r="B1" s="3730"/>
      <c r="C1" s="3730"/>
      <c r="D1" s="3730"/>
      <c r="E1" s="3730"/>
      <c r="F1" s="3730"/>
      <c r="G1" s="3730"/>
      <c r="H1" s="3730"/>
      <c r="I1" s="3730"/>
      <c r="J1" s="3730"/>
      <c r="K1" s="3730"/>
    </row>
    <row r="2" spans="1:11" ht="15">
      <c r="A2" s="3744" t="str">
        <f>Overview!C8</f>
        <v>McIntosh Woods</v>
      </c>
      <c r="B2" s="3744"/>
      <c r="C2" s="3744"/>
      <c r="D2" s="3744"/>
      <c r="E2" s="3744"/>
      <c r="F2" s="3744"/>
      <c r="G2" s="3744"/>
      <c r="H2" s="3744"/>
      <c r="I2" s="3744"/>
      <c r="J2" s="3744"/>
      <c r="K2" s="3744"/>
    </row>
    <row r="3" spans="1:11" ht="9" customHeight="1">
      <c r="A3" s="926"/>
      <c r="B3" s="926"/>
      <c r="C3" s="926"/>
    </row>
    <row r="4" spans="1:11" ht="18">
      <c r="A4" s="927" t="s">
        <v>3577</v>
      </c>
      <c r="B4" s="926"/>
      <c r="C4" s="926"/>
      <c r="K4" s="928"/>
    </row>
    <row r="5" spans="1:11" s="883" customFormat="1" ht="42" customHeight="1">
      <c r="C5" s="3731" t="s">
        <v>4532</v>
      </c>
      <c r="D5" s="3732"/>
      <c r="E5" s="3733"/>
      <c r="F5" s="693"/>
      <c r="G5" s="3731" t="s">
        <v>4533</v>
      </c>
      <c r="H5" s="3732"/>
      <c r="I5" s="3733"/>
      <c r="J5" s="925"/>
      <c r="K5" s="3742" t="s">
        <v>4534</v>
      </c>
    </row>
    <row r="6" spans="1:11" s="930" customFormat="1" ht="15" customHeight="1">
      <c r="A6" s="929" t="s">
        <v>2732</v>
      </c>
      <c r="C6" s="931" t="s">
        <v>3560</v>
      </c>
      <c r="D6" s="931" t="s">
        <v>4535</v>
      </c>
      <c r="E6" s="931" t="s">
        <v>2006</v>
      </c>
      <c r="G6" s="931" t="s">
        <v>3561</v>
      </c>
      <c r="H6" s="931" t="s">
        <v>4536</v>
      </c>
      <c r="I6" s="931" t="s">
        <v>2006</v>
      </c>
      <c r="K6" s="3743"/>
    </row>
    <row r="7" spans="1:11" s="693" customFormat="1" ht="13.5" customHeight="1">
      <c r="A7" s="693" t="s">
        <v>3102</v>
      </c>
      <c r="C7" s="933"/>
      <c r="D7" s="1791">
        <f>'Part VI-Revenues &amp; Expenses'!$J$58</f>
        <v>0</v>
      </c>
      <c r="E7" s="935">
        <f>C7*D7</f>
        <v>0</v>
      </c>
      <c r="G7" s="933"/>
      <c r="H7" s="934">
        <f>'Part VI-Revenues &amp; Expenses'!$J$62</f>
        <v>0</v>
      </c>
      <c r="I7" s="935">
        <f>G7*H7</f>
        <v>0</v>
      </c>
      <c r="K7" s="1798">
        <f>'Part VIII-Threshold Criteria'!$P$49</f>
        <v>0</v>
      </c>
    </row>
    <row r="8" spans="1:11" s="693" customFormat="1" ht="13.5" customHeight="1">
      <c r="A8" s="693" t="s">
        <v>2730</v>
      </c>
      <c r="C8" s="933"/>
      <c r="D8" s="1791">
        <f>'Part VI-Revenues &amp; Expenses'!$K$58</f>
        <v>0</v>
      </c>
      <c r="E8" s="935">
        <f>C8*D8</f>
        <v>0</v>
      </c>
      <c r="G8" s="933"/>
      <c r="H8" s="934">
        <f>'Part VI-Revenues &amp; Expenses'!$K$62</f>
        <v>0</v>
      </c>
      <c r="I8" s="935">
        <f>G8*H8</f>
        <v>0</v>
      </c>
      <c r="K8" s="932" t="s">
        <v>3562</v>
      </c>
    </row>
    <row r="9" spans="1:11" s="693" customFormat="1" ht="13.5" customHeight="1">
      <c r="A9" s="693" t="s">
        <v>2731</v>
      </c>
      <c r="C9" s="933"/>
      <c r="D9" s="1791">
        <f>'Part VI-Revenues &amp; Expenses'!$L$58</f>
        <v>20</v>
      </c>
      <c r="E9" s="935">
        <f>C9*D9</f>
        <v>0</v>
      </c>
      <c r="G9" s="933"/>
      <c r="H9" s="934">
        <f>'Part VI-Revenues &amp; Expenses'!$L$62</f>
        <v>20</v>
      </c>
      <c r="I9" s="935">
        <f>G9*H9</f>
        <v>0</v>
      </c>
      <c r="K9" s="1798">
        <f>'Part IV-A-Uses of Funds'!$G$132</f>
        <v>20706223.689910028</v>
      </c>
    </row>
    <row r="10" spans="1:11" s="693" customFormat="1" ht="13.5" customHeight="1">
      <c r="A10" s="693" t="s">
        <v>2734</v>
      </c>
      <c r="C10" s="933"/>
      <c r="D10" s="1791">
        <f>'Part VI-Revenues &amp; Expenses'!$M$58</f>
        <v>76</v>
      </c>
      <c r="E10" s="935">
        <f>C10*D10</f>
        <v>0</v>
      </c>
      <c r="G10" s="933"/>
      <c r="H10" s="934">
        <f>'Part VI-Revenues &amp; Expenses'!$M$62</f>
        <v>76</v>
      </c>
      <c r="I10" s="935">
        <f>G10*H10</f>
        <v>0</v>
      </c>
      <c r="K10" s="932" t="s">
        <v>3563</v>
      </c>
    </row>
    <row r="11" spans="1:11" s="693" customFormat="1" ht="13.5" customHeight="1">
      <c r="A11" s="937" t="s">
        <v>3559</v>
      </c>
      <c r="C11" s="938"/>
      <c r="D11" s="1792">
        <f>'Part VI-Revenues &amp; Expenses'!$N$58</f>
        <v>0</v>
      </c>
      <c r="E11" s="940">
        <f>C11*D11</f>
        <v>0</v>
      </c>
      <c r="G11" s="938"/>
      <c r="H11" s="939">
        <f>'Part VI-Revenues &amp; Expenses'!$N$62</f>
        <v>0</v>
      </c>
      <c r="I11" s="940">
        <f>G11*H11</f>
        <v>0</v>
      </c>
      <c r="K11" s="3734" t="s">
        <v>3567</v>
      </c>
    </row>
    <row r="12" spans="1:11" ht="13.5" customHeight="1" thickBot="1">
      <c r="A12" s="941" t="s">
        <v>3529</v>
      </c>
      <c r="D12" s="972">
        <f>SUM(D7:D11)</f>
        <v>96</v>
      </c>
      <c r="E12" s="942"/>
      <c r="G12" s="941" t="s">
        <v>1806</v>
      </c>
      <c r="H12" s="1797">
        <f>SUM(H7:H11)</f>
        <v>96</v>
      </c>
      <c r="I12" s="942"/>
      <c r="K12" s="3735"/>
    </row>
    <row r="13" spans="1:11" s="693" customFormat="1" ht="13.5" customHeight="1" thickBot="1">
      <c r="A13" s="941" t="s">
        <v>3103</v>
      </c>
      <c r="B13" s="943"/>
      <c r="E13" s="944">
        <f>SUM(E7:E11)</f>
        <v>0</v>
      </c>
      <c r="G13" s="941" t="s">
        <v>3339</v>
      </c>
      <c r="H13" s="943"/>
      <c r="I13" s="945">
        <f>SUM(I7:I11)</f>
        <v>0</v>
      </c>
      <c r="K13" s="1798">
        <f>'Part VIII-Threshold Criteria'!$P$63</f>
        <v>23207500</v>
      </c>
    </row>
    <row r="14" spans="1:11" ht="11.25" customHeight="1">
      <c r="G14" s="946" t="s">
        <v>3564</v>
      </c>
    </row>
    <row r="15" spans="1:11" s="693" customFormat="1" ht="9" customHeight="1"/>
    <row r="16" spans="1:11" ht="16.5" customHeight="1">
      <c r="A16" s="927" t="s">
        <v>3578</v>
      </c>
    </row>
    <row r="17" spans="1:11" ht="6" customHeight="1"/>
    <row r="18" spans="1:11" s="693" customFormat="1" ht="13.5" customHeight="1">
      <c r="A18" s="693" t="s">
        <v>3566</v>
      </c>
      <c r="E18" s="1799" t="s">
        <v>4320</v>
      </c>
      <c r="F18" s="1800"/>
      <c r="G18" s="1800"/>
      <c r="H18" s="1800"/>
      <c r="I18" s="1800"/>
      <c r="K18" s="1775">
        <f>Overview!$E$13</f>
        <v>96</v>
      </c>
    </row>
    <row r="19" spans="1:11" s="693" customFormat="1" ht="13.5" customHeight="1">
      <c r="A19" s="693" t="s">
        <v>3104</v>
      </c>
      <c r="E19" s="1794"/>
      <c r="K19" s="796">
        <f>Overview!$C$13</f>
        <v>96</v>
      </c>
    </row>
    <row r="20" spans="1:11" ht="3" customHeight="1">
      <c r="A20" s="947"/>
      <c r="E20" s="1795"/>
    </row>
    <row r="21" spans="1:11" s="693" customFormat="1" ht="13.5" customHeight="1">
      <c r="A21" s="693" t="s">
        <v>3105</v>
      </c>
      <c r="E21" s="1793" t="s">
        <v>3565</v>
      </c>
      <c r="K21" s="948">
        <f>K18/K19</f>
        <v>1</v>
      </c>
    </row>
    <row r="22" spans="1:11" ht="6.75" customHeight="1">
      <c r="E22" s="1795"/>
    </row>
    <row r="23" spans="1:11" s="693" customFormat="1" ht="13.5" customHeight="1">
      <c r="A23" s="693" t="s">
        <v>3528</v>
      </c>
      <c r="C23" s="949"/>
      <c r="E23" s="1793" t="s">
        <v>3108</v>
      </c>
      <c r="K23" s="796">
        <f>K9</f>
        <v>20706223.689910028</v>
      </c>
    </row>
    <row r="24" spans="1:11" s="693" customFormat="1" ht="13.5" customHeight="1">
      <c r="A24" s="950" t="s">
        <v>1773</v>
      </c>
      <c r="E24" s="1794"/>
      <c r="K24" s="936">
        <f>'Part IV-A-Uses of Funds'!$G$122</f>
        <v>490225.87007976859</v>
      </c>
    </row>
    <row r="25" spans="1:11" s="693" customFormat="1" ht="13.5" customHeight="1">
      <c r="A25" s="950" t="s">
        <v>3109</v>
      </c>
      <c r="E25" s="1794"/>
      <c r="K25" s="951">
        <v>0</v>
      </c>
    </row>
    <row r="26" spans="1:11" s="693" customFormat="1" ht="13.5" customHeight="1">
      <c r="A26" s="950" t="s">
        <v>3109</v>
      </c>
      <c r="E26" s="1794"/>
      <c r="K26" s="951">
        <v>0</v>
      </c>
    </row>
    <row r="27" spans="1:11" ht="3" customHeight="1">
      <c r="A27" s="952"/>
      <c r="E27" s="1795"/>
      <c r="K27" s="953">
        <v>0</v>
      </c>
    </row>
    <row r="28" spans="1:11" s="943" customFormat="1" ht="13.5" customHeight="1">
      <c r="A28" s="943" t="s">
        <v>3110</v>
      </c>
      <c r="E28" s="1796"/>
      <c r="K28" s="954">
        <f>K23-SUM(K24:K27)</f>
        <v>20215997.819830261</v>
      </c>
    </row>
    <row r="29" spans="1:11" ht="6.75" customHeight="1">
      <c r="A29" s="947"/>
      <c r="E29" s="1795"/>
      <c r="K29" s="955"/>
    </row>
    <row r="30" spans="1:11" s="693" customFormat="1" ht="15" customHeight="1">
      <c r="A30" s="943" t="s">
        <v>3111</v>
      </c>
      <c r="E30" s="1793" t="s">
        <v>3572</v>
      </c>
      <c r="F30" s="956"/>
      <c r="G30" s="956"/>
      <c r="H30" s="956"/>
      <c r="I30" s="956"/>
      <c r="K30" s="957">
        <f>K21*K28</f>
        <v>20215997.819830261</v>
      </c>
    </row>
    <row r="31" spans="1:11" ht="13.5" customHeight="1">
      <c r="E31" s="1795"/>
      <c r="K31" s="955"/>
    </row>
    <row r="32" spans="1:11" s="693" customFormat="1" ht="16.5" customHeight="1">
      <c r="A32" s="958" t="s">
        <v>3579</v>
      </c>
      <c r="B32" s="943"/>
      <c r="C32" s="943"/>
      <c r="D32" s="943"/>
      <c r="E32" s="1793"/>
    </row>
    <row r="33" spans="1:11" ht="6" customHeight="1" thickBot="1">
      <c r="E33" s="1795"/>
    </row>
    <row r="34" spans="1:11" s="693" customFormat="1" ht="18" customHeight="1" thickBot="1">
      <c r="A34" s="959" t="s">
        <v>3575</v>
      </c>
      <c r="B34" s="943"/>
      <c r="C34" s="943"/>
      <c r="D34" s="943"/>
      <c r="E34" s="1793" t="s">
        <v>3573</v>
      </c>
      <c r="K34" s="960">
        <f>MIN(E13,K30)</f>
        <v>0</v>
      </c>
    </row>
    <row r="35" spans="1:11" ht="6" customHeight="1">
      <c r="E35" s="1795"/>
    </row>
    <row r="36" spans="1:11" s="693" customFormat="1" ht="15" customHeight="1">
      <c r="A36" s="943" t="s">
        <v>3576</v>
      </c>
      <c r="E36" s="1793" t="s">
        <v>3574</v>
      </c>
      <c r="K36" s="961">
        <f>Overview!C25</f>
        <v>8510787</v>
      </c>
    </row>
    <row r="37" spans="1:11" s="693" customFormat="1" ht="9" customHeight="1" thickBot="1">
      <c r="E37" s="962"/>
      <c r="F37" s="962"/>
      <c r="G37" s="962"/>
      <c r="H37" s="962"/>
      <c r="K37" s="963"/>
    </row>
    <row r="38" spans="1:11" s="693" customFormat="1" ht="15.75" customHeight="1">
      <c r="A38" s="3736" t="s">
        <v>3570</v>
      </c>
      <c r="B38" s="3736"/>
      <c r="C38" s="3736"/>
      <c r="D38" s="3737" t="s">
        <v>3106</v>
      </c>
      <c r="E38" s="3737"/>
      <c r="F38" s="3737" t="s">
        <v>3107</v>
      </c>
      <c r="G38" s="3737"/>
      <c r="H38" s="3737"/>
      <c r="I38" s="2416" t="s">
        <v>2848</v>
      </c>
      <c r="K38" s="3738">
        <f>ROUND((D39/F39)*I39,0)</f>
        <v>40</v>
      </c>
    </row>
    <row r="39" spans="1:11" s="693" customFormat="1" ht="15.75" customHeight="1" thickBot="1">
      <c r="A39" s="3736"/>
      <c r="B39" s="3736"/>
      <c r="C39" s="3736"/>
      <c r="D39" s="3740">
        <f>K36</f>
        <v>8510787</v>
      </c>
      <c r="E39" s="3740"/>
      <c r="F39" s="3741">
        <f>K28</f>
        <v>20215997.819830261</v>
      </c>
      <c r="G39" s="3741"/>
      <c r="H39" s="3741"/>
      <c r="I39" s="964">
        <f>K19</f>
        <v>96</v>
      </c>
      <c r="K39" s="3739"/>
    </row>
    <row r="40" spans="1:11" ht="12.75" customHeight="1">
      <c r="D40" s="965" t="s">
        <v>3571</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45" t="str">
        <f>CONCATENATE(Overview!E8,"  ",Overview!C8)</f>
        <v>2018-0  McIntosh Woods</v>
      </c>
      <c r="B1" s="3745"/>
      <c r="C1" s="3745"/>
      <c r="D1" s="3745"/>
      <c r="E1" s="3745"/>
      <c r="F1" s="3745"/>
      <c r="G1" s="3745"/>
      <c r="H1" s="3745"/>
    </row>
    <row r="3" spans="1:13" ht="12" customHeight="1">
      <c r="A3" s="3746" t="s">
        <v>3531</v>
      </c>
      <c r="B3" s="3746"/>
      <c r="C3" s="3746"/>
      <c r="D3" s="3746"/>
      <c r="E3" s="3746"/>
      <c r="F3" s="3746"/>
      <c r="G3" s="3746"/>
      <c r="H3" s="3746"/>
      <c r="I3" s="2420"/>
      <c r="J3" s="3748" t="s">
        <v>4321</v>
      </c>
      <c r="K3" s="3748"/>
      <c r="L3" s="998"/>
      <c r="M3" s="998"/>
    </row>
    <row r="4" spans="1:13">
      <c r="J4" s="3748"/>
      <c r="K4" s="3748"/>
    </row>
    <row r="5" spans="1:13" ht="12" customHeight="1">
      <c r="A5" s="925">
        <v>1</v>
      </c>
      <c r="C5" s="925" t="s">
        <v>3113</v>
      </c>
      <c r="E5" s="980" t="str">
        <f>Overview!H9</f>
        <v>Oracle Newnan 2018, LP</v>
      </c>
      <c r="J5" s="3748"/>
      <c r="K5" s="3748"/>
    </row>
    <row r="6" spans="1:13" ht="3" customHeight="1">
      <c r="H6" s="942"/>
      <c r="J6" s="3748"/>
      <c r="K6" s="3748"/>
    </row>
    <row r="7" spans="1:13" ht="12" customHeight="1">
      <c r="A7" s="925">
        <v>2</v>
      </c>
      <c r="C7" s="925" t="s">
        <v>3114</v>
      </c>
      <c r="E7" s="980" t="str">
        <f>'Part II-Development Team'!H6</f>
        <v>P.O. Box 22378</v>
      </c>
      <c r="J7" s="3748"/>
      <c r="K7" s="3748"/>
    </row>
    <row r="8" spans="1:13" ht="12" customHeight="1">
      <c r="E8" s="980" t="str">
        <f>+'Part II-Development Team'!H7&amp;","&amp;" "&amp;'Part II-Development Team'!H8&amp;" "&amp;LEFT('Part II-Development Team'!J8,5)</f>
        <v>Louisville, KY 40251</v>
      </c>
      <c r="J8" s="3748"/>
      <c r="K8" s="3748"/>
    </row>
    <row r="9" spans="1:13" ht="12" customHeight="1">
      <c r="C9" s="925" t="s">
        <v>3115</v>
      </c>
      <c r="E9" s="3747" t="str">
        <f>'Part II-Development Team'!L7</f>
        <v>Pending</v>
      </c>
      <c r="F9" s="3747"/>
      <c r="J9" s="3748"/>
      <c r="K9" s="3748"/>
    </row>
    <row r="10" spans="1:13" ht="12" customHeight="1">
      <c r="C10" s="925" t="s">
        <v>3116</v>
      </c>
      <c r="E10" s="980" t="str">
        <f>'Part II-Development Team'!Q5</f>
        <v>Caryn Winter</v>
      </c>
    </row>
    <row r="11" spans="1:13" ht="12" customHeight="1">
      <c r="C11" s="925" t="s">
        <v>4326</v>
      </c>
      <c r="E11" s="980" t="str">
        <f>'Part II-Development Team'!L9</f>
        <v>c.winter@oracledesign.net</v>
      </c>
    </row>
    <row r="12" spans="1:13" ht="12" customHeight="1">
      <c r="C12" s="925" t="s">
        <v>4322</v>
      </c>
      <c r="E12" s="2421">
        <f>'Part II-Development Team'!H9</f>
        <v>3174086628</v>
      </c>
    </row>
    <row r="13" spans="1:13" ht="12" customHeight="1">
      <c r="C13" s="925" t="s">
        <v>4325</v>
      </c>
      <c r="E13" s="2421">
        <f>'Part II-Development Team'!Q7</f>
        <v>3174086628</v>
      </c>
    </row>
    <row r="14" spans="1:13" ht="3" customHeight="1"/>
    <row r="15" spans="1:13" ht="12" customHeight="1">
      <c r="A15" s="925">
        <v>3</v>
      </c>
      <c r="C15" s="925" t="s">
        <v>3117</v>
      </c>
      <c r="E15" s="980" t="str">
        <f>Overview!C8</f>
        <v>McIntosh Woods</v>
      </c>
    </row>
    <row r="16" spans="1:13" ht="12" customHeight="1">
      <c r="C16" s="925" t="s">
        <v>3118</v>
      </c>
      <c r="E16" s="980">
        <f>'Part I-Project Information'!$F$35</f>
        <v>0</v>
      </c>
    </row>
    <row r="17" spans="1:8" ht="12" customHeight="1">
      <c r="E17" s="980" t="str">
        <f>+'Part I-Project Information'!$F$38&amp;","&amp;" GA "&amp;LEFT('Part I-Project Information'!$J$38,5)</f>
        <v>Newnan, GA 30263</v>
      </c>
    </row>
    <row r="18" spans="1:8" ht="3" customHeight="1"/>
    <row r="19" spans="1:8" ht="12" customHeight="1">
      <c r="A19" s="925">
        <v>4</v>
      </c>
      <c r="C19" s="925" t="s">
        <v>3119</v>
      </c>
      <c r="E19" s="980" t="str">
        <f>'Part II-Development Team'!H92</f>
        <v>PROPOSED - Gateway Management Company</v>
      </c>
    </row>
    <row r="20" spans="1:8" ht="12" customHeight="1">
      <c r="C20" s="925" t="s">
        <v>3120</v>
      </c>
      <c r="E20" s="980" t="str">
        <f>'Part II-Development Team'!H93</f>
        <v>22 Inverness Center Pkwy, Suite 222</v>
      </c>
    </row>
    <row r="21" spans="1:8" ht="12" customHeight="1">
      <c r="E21" s="980" t="str">
        <f>+'Part II-Development Team'!H94&amp;","&amp;" "&amp;'Part II-Development Team'!H95&amp;" "&amp;LEFT('Part II-Development Team'!L95,5)</f>
        <v>Birmingham, AL 35242</v>
      </c>
    </row>
    <row r="22" spans="1:8" ht="12" customHeight="1">
      <c r="C22" s="925" t="s">
        <v>4322</v>
      </c>
      <c r="E22" s="2421">
        <f>'Part II-Development Team'!H96</f>
        <v>2059803245</v>
      </c>
    </row>
    <row r="23" spans="1:8" ht="12" customHeight="1">
      <c r="C23" s="925" t="s">
        <v>4325</v>
      </c>
      <c r="E23" s="2421">
        <f>'Part II-Development Team'!Q94</f>
        <v>2059803245</v>
      </c>
    </row>
    <row r="24" spans="1:8" ht="12" customHeight="1">
      <c r="C24" s="925" t="s">
        <v>4326</v>
      </c>
      <c r="E24" s="2421" t="str">
        <f>'Part II-Development Team'!L96</f>
        <v>rfleece@gatewaymgt.com</v>
      </c>
    </row>
    <row r="25" spans="1:8" ht="3" customHeight="1">
      <c r="E25" s="980"/>
    </row>
    <row r="26" spans="1:8" ht="12" customHeight="1">
      <c r="A26" s="925">
        <v>5</v>
      </c>
      <c r="C26" s="925" t="s">
        <v>3121</v>
      </c>
      <c r="E26" s="980" t="str">
        <f>Overview!$H$7</f>
        <v>New Construction</v>
      </c>
    </row>
    <row r="27" spans="1:8" ht="12" customHeight="1">
      <c r="E27" s="2419" t="s">
        <v>1784</v>
      </c>
    </row>
    <row r="28" spans="1:8" ht="12" customHeight="1">
      <c r="C28" s="925" t="s">
        <v>3530</v>
      </c>
      <c r="E28" s="925" t="str">
        <f>Overview!$C$9</f>
        <v>&lt;&lt;Select&gt;&gt;</v>
      </c>
    </row>
    <row r="29" spans="1:8" ht="3" customHeight="1">
      <c r="H29" s="1002"/>
    </row>
    <row r="30" spans="1:8" ht="12" customHeight="1">
      <c r="A30" s="925">
        <v>6</v>
      </c>
      <c r="C30" s="925" t="s">
        <v>3122</v>
      </c>
      <c r="E30" s="925" t="s">
        <v>2425</v>
      </c>
      <c r="F30" s="2422">
        <f>'Part III-Sources of Funds'!L19</f>
        <v>14700000</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216</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Oracle Newnan 2018 GP, LLC</v>
      </c>
    </row>
    <row r="48" spans="1:7" ht="3" customHeight="1">
      <c r="E48" s="980"/>
    </row>
    <row r="49" spans="1:7" ht="12" customHeight="1">
      <c r="A49" s="925">
        <v>15</v>
      </c>
      <c r="C49" s="925" t="s">
        <v>4328</v>
      </c>
      <c r="E49" s="980" t="str">
        <f>'Part II-Development Team'!Q98</f>
        <v>Adam Saad</v>
      </c>
      <c r="G49" s="980" t="str">
        <f>'Part II-Development Team'!H98</f>
        <v>Saad &amp; Saad LLP</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96</v>
      </c>
    </row>
    <row r="53" spans="1:7" ht="3" customHeight="1">
      <c r="F53" s="970"/>
    </row>
    <row r="54" spans="1:7" ht="12" customHeight="1">
      <c r="A54" s="998">
        <v>17</v>
      </c>
      <c r="B54" s="998"/>
      <c r="C54" s="998" t="s">
        <v>3139</v>
      </c>
      <c r="D54" s="998"/>
      <c r="E54" s="998"/>
      <c r="F54" s="2428">
        <f>'Subsidy Layering WS'!K18</f>
        <v>96</v>
      </c>
      <c r="G54" s="998"/>
    </row>
    <row r="55" spans="1:7" ht="3" customHeight="1">
      <c r="F55" s="970"/>
    </row>
    <row r="56" spans="1:7" ht="12" customHeight="1">
      <c r="A56" s="925">
        <v>18</v>
      </c>
      <c r="C56" s="925" t="s">
        <v>3140</v>
      </c>
      <c r="F56" s="2428">
        <f>'Part VI-Revenues &amp; Expenses'!O61</f>
        <v>0</v>
      </c>
      <c r="G56" s="925" t="s">
        <v>4327</v>
      </c>
    </row>
    <row r="57" spans="1:7" ht="3" customHeight="1">
      <c r="F57" s="970"/>
    </row>
    <row r="58" spans="1:7" ht="12" customHeight="1">
      <c r="A58" s="925">
        <v>19</v>
      </c>
      <c r="C58" s="925" t="s">
        <v>3141</v>
      </c>
      <c r="F58" s="2429"/>
      <c r="G58" s="925" t="s">
        <v>3532</v>
      </c>
    </row>
    <row r="59" spans="1:7" ht="3" customHeight="1">
      <c r="F59" s="970"/>
    </row>
    <row r="60" spans="1:7" ht="12" customHeight="1">
      <c r="A60" s="925">
        <v>20</v>
      </c>
      <c r="C60" s="925" t="s">
        <v>3142</v>
      </c>
      <c r="F60" s="2430" t="s">
        <v>979</v>
      </c>
      <c r="G60" s="998"/>
    </row>
    <row r="61" spans="1:7" ht="3" customHeight="1"/>
    <row r="62" spans="1:7" ht="12" customHeight="1">
      <c r="A62" s="925">
        <v>21</v>
      </c>
      <c r="C62" s="925" t="s">
        <v>3547</v>
      </c>
      <c r="E62" s="2431" t="s">
        <v>3533</v>
      </c>
      <c r="F62" s="2432" t="s">
        <v>3534</v>
      </c>
      <c r="G62" s="2431" t="s">
        <v>3143</v>
      </c>
    </row>
    <row r="63" spans="1:7" ht="12" customHeight="1">
      <c r="E63" s="2431" t="s">
        <v>3533</v>
      </c>
      <c r="F63" s="2432" t="s">
        <v>3534</v>
      </c>
      <c r="G63" s="2431"/>
    </row>
    <row r="64" spans="1:7" ht="3" customHeight="1"/>
    <row r="65" spans="1:7" ht="12" customHeight="1">
      <c r="A65" s="925">
        <v>22</v>
      </c>
      <c r="C65" s="925" t="s">
        <v>3144</v>
      </c>
      <c r="E65" s="980" t="str">
        <f>Overview!H9</f>
        <v>Oracle Newnan 2018,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490225.87007976859</v>
      </c>
    </row>
    <row r="72" spans="1:7" ht="3" customHeight="1">
      <c r="F72" s="2433"/>
    </row>
    <row r="73" spans="1:7" ht="12" customHeight="1">
      <c r="A73" s="925">
        <v>26</v>
      </c>
      <c r="C73" s="925" t="s">
        <v>3149</v>
      </c>
      <c r="F73" s="2433">
        <f>'Part IV-A-Uses of Funds'!$G$123</f>
        <v>0</v>
      </c>
    </row>
    <row r="74" spans="1:7" ht="3" customHeight="1">
      <c r="F74" s="2433"/>
    </row>
    <row r="75" spans="1:7" ht="12" customHeight="1">
      <c r="A75" s="925">
        <v>27</v>
      </c>
      <c r="C75" s="925" t="s">
        <v>3150</v>
      </c>
      <c r="F75" s="2434">
        <f>'Part IV-A-Uses of Funds'!$G$121</f>
        <v>108000</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49" t="s">
        <v>3341</v>
      </c>
      <c r="B1" s="3749"/>
      <c r="C1" s="3749"/>
      <c r="D1" s="3749"/>
      <c r="E1" s="3749"/>
      <c r="F1" s="3749"/>
      <c r="G1" s="3749"/>
      <c r="H1" s="3749"/>
      <c r="I1" s="3749"/>
      <c r="J1" s="3749"/>
    </row>
    <row r="2" spans="1:13" ht="15">
      <c r="A2" s="3749" t="str">
        <f>Overview!E8&amp;"  "&amp;Overview!C8</f>
        <v>2018-0  McIntosh Woods</v>
      </c>
      <c r="B2" s="3749"/>
      <c r="C2" s="3749"/>
      <c r="D2" s="3749"/>
      <c r="E2" s="3749"/>
      <c r="F2" s="3749"/>
      <c r="G2" s="3749"/>
      <c r="H2" s="3749"/>
      <c r="I2" s="3749"/>
      <c r="J2" s="3749"/>
    </row>
    <row r="3" spans="1:13" ht="6" customHeight="1">
      <c r="K3" s="3748" t="s">
        <v>4321</v>
      </c>
      <c r="L3" s="3748"/>
      <c r="M3" s="3748"/>
    </row>
    <row r="4" spans="1:13" ht="12" customHeight="1">
      <c r="A4" s="966" t="s">
        <v>3152</v>
      </c>
      <c r="K4" s="3748"/>
      <c r="L4" s="3748"/>
      <c r="M4" s="3748"/>
    </row>
    <row r="5" spans="1:13" ht="12" customHeight="1">
      <c r="A5" s="925" t="s">
        <v>3153</v>
      </c>
      <c r="C5" s="967" t="str">
        <f>'Subsidy Layering Memo'!D6</f>
        <v>(Underwriter)</v>
      </c>
      <c r="I5" s="967"/>
      <c r="K5" s="3748"/>
      <c r="L5" s="3748"/>
      <c r="M5" s="3748"/>
    </row>
    <row r="6" spans="1:13" ht="6" customHeight="1">
      <c r="C6" s="862"/>
      <c r="D6" s="967"/>
      <c r="I6" s="967"/>
      <c r="K6" s="3748"/>
      <c r="L6" s="3748"/>
      <c r="M6" s="3748"/>
    </row>
    <row r="7" spans="1:13" ht="12" customHeight="1">
      <c r="A7" s="966" t="s">
        <v>3154</v>
      </c>
      <c r="C7" s="862"/>
      <c r="D7" s="967"/>
      <c r="I7" s="967"/>
      <c r="K7" s="3748"/>
      <c r="L7" s="3748"/>
      <c r="M7" s="3748"/>
    </row>
    <row r="8" spans="1:13" ht="12" customHeight="1">
      <c r="A8" s="925" t="s">
        <v>3155</v>
      </c>
      <c r="C8" s="967" t="str">
        <f>Overview!$H$9</f>
        <v>Oracle Newnan 2018, LP</v>
      </c>
      <c r="I8" s="967"/>
      <c r="K8" s="3748"/>
      <c r="L8" s="3748"/>
      <c r="M8" s="3748"/>
    </row>
    <row r="9" spans="1:13" ht="3" customHeight="1">
      <c r="C9" s="862"/>
      <c r="D9" s="967"/>
      <c r="I9" s="967"/>
    </row>
    <row r="10" spans="1:13" ht="12" customHeight="1">
      <c r="A10" s="925" t="s">
        <v>3156</v>
      </c>
      <c r="C10" s="1803" t="s">
        <v>1784</v>
      </c>
      <c r="I10" s="967"/>
    </row>
    <row r="11" spans="1:13" ht="12" customHeight="1">
      <c r="C11" s="1803" t="s">
        <v>1784</v>
      </c>
      <c r="I11" s="967"/>
    </row>
    <row r="12" spans="1:13" ht="12" customHeight="1">
      <c r="C12" s="967" t="s">
        <v>2696</v>
      </c>
      <c r="D12" s="988" t="s">
        <v>1784</v>
      </c>
      <c r="I12" s="967"/>
    </row>
    <row r="13" spans="1:13" ht="12" customHeight="1">
      <c r="C13" s="967" t="s">
        <v>3157</v>
      </c>
      <c r="D13" s="3752"/>
      <c r="E13" s="3752"/>
      <c r="F13" s="3752"/>
      <c r="G13" s="3752"/>
      <c r="H13" s="3752"/>
      <c r="I13" s="3752"/>
      <c r="J13" s="3752"/>
    </row>
    <row r="14" spans="1:13" ht="3" customHeight="1">
      <c r="G14" s="862"/>
      <c r="H14" s="967"/>
      <c r="I14" s="967"/>
    </row>
    <row r="15" spans="1:13" ht="12" customHeight="1">
      <c r="A15" s="925" t="s">
        <v>3158</v>
      </c>
      <c r="C15" s="969" t="str">
        <f>'Preview term'!E10</f>
        <v>Caryn Winter</v>
      </c>
      <c r="G15" s="862"/>
      <c r="I15" s="967"/>
    </row>
    <row r="16" spans="1:13" ht="12" customHeight="1">
      <c r="A16" s="980" t="s">
        <v>4537</v>
      </c>
      <c r="C16" s="969" t="str">
        <f>'Part II-Development Team'!Q6</f>
        <v>Manager</v>
      </c>
      <c r="G16" s="862"/>
      <c r="I16" s="967"/>
    </row>
    <row r="17" spans="1:9" ht="3" customHeight="1">
      <c r="G17" s="862"/>
      <c r="H17" s="967"/>
      <c r="I17" s="967"/>
    </row>
    <row r="18" spans="1:9" ht="12" customHeight="1">
      <c r="A18" s="925" t="s">
        <v>3159</v>
      </c>
      <c r="C18" s="969" t="str">
        <f>'Preview term'!$E$7</f>
        <v>P.O. Box 22378</v>
      </c>
      <c r="G18" s="862"/>
      <c r="I18" s="967"/>
    </row>
    <row r="19" spans="1:9" ht="12" customHeight="1">
      <c r="C19" s="969" t="str">
        <f>'Preview term'!$E$8</f>
        <v>Louisville, KY 40251</v>
      </c>
      <c r="G19" s="862"/>
      <c r="I19" s="967"/>
    </row>
    <row r="20" spans="1:9" ht="3" customHeight="1">
      <c r="G20" s="862"/>
      <c r="H20" s="967"/>
      <c r="I20" s="967"/>
    </row>
    <row r="21" spans="1:9" ht="12" customHeight="1">
      <c r="A21" s="925" t="s">
        <v>3160</v>
      </c>
      <c r="C21" s="969" t="str">
        <f>CONCATENATE('Preview term'!E49," of  ",'Preview term'!G49)</f>
        <v>Adam Saad of  Saad &amp; Saad LLP</v>
      </c>
      <c r="G21" s="862"/>
      <c r="I21" s="967"/>
    </row>
    <row r="22" spans="1:9" ht="3" customHeight="1">
      <c r="C22" s="969"/>
      <c r="G22" s="862"/>
      <c r="I22" s="967"/>
    </row>
    <row r="23" spans="1:9" ht="12" customHeight="1">
      <c r="A23" s="925" t="s">
        <v>3161</v>
      </c>
      <c r="C23" s="969">
        <f>'Preview term'!E12</f>
        <v>3174086628</v>
      </c>
      <c r="G23" s="862"/>
      <c r="I23" s="967"/>
    </row>
    <row r="24" spans="1:9" ht="3" customHeight="1">
      <c r="C24" s="969"/>
      <c r="G24" s="862"/>
      <c r="I24" s="967"/>
    </row>
    <row r="25" spans="1:9" ht="12" customHeight="1">
      <c r="A25" s="925" t="s">
        <v>3162</v>
      </c>
      <c r="C25" s="1805" t="str">
        <f>'Preview term'!E11</f>
        <v>c.winter@oracledesign.net</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McIntosh Woods</v>
      </c>
      <c r="I28" s="967"/>
    </row>
    <row r="29" spans="1:9" ht="3" customHeight="1">
      <c r="C29" s="969"/>
      <c r="I29" s="967"/>
    </row>
    <row r="30" spans="1:9" ht="12" customHeight="1">
      <c r="A30" s="925" t="s">
        <v>3165</v>
      </c>
      <c r="C30" s="969">
        <f>'Preview term'!E16</f>
        <v>0</v>
      </c>
      <c r="I30" s="967"/>
    </row>
    <row r="31" spans="1:9">
      <c r="C31" s="967" t="str">
        <f>'Preview term'!E17</f>
        <v>Newnan, GA 30263</v>
      </c>
      <c r="I31" s="967"/>
    </row>
    <row r="32" spans="1:9" ht="3" customHeight="1">
      <c r="C32" s="862"/>
      <c r="D32" s="862"/>
      <c r="I32" s="862"/>
    </row>
    <row r="33" spans="1:10" ht="12" customHeight="1">
      <c r="A33" s="925" t="s">
        <v>3166</v>
      </c>
      <c r="C33" s="862" t="s">
        <v>3167</v>
      </c>
      <c r="D33" s="1804">
        <f>'Preview term'!F54</f>
        <v>96</v>
      </c>
      <c r="I33" s="862"/>
    </row>
    <row r="34" spans="1:10" ht="12" customHeight="1">
      <c r="C34" s="862" t="s">
        <v>3168</v>
      </c>
      <c r="D34" s="971">
        <f>'Subsidy Layering WS'!H12-'Subsidy Layering WS'!D12</f>
        <v>0</v>
      </c>
      <c r="I34" s="862"/>
    </row>
    <row r="35" spans="1:10" ht="12" customHeight="1">
      <c r="C35" s="862" t="s">
        <v>3169</v>
      </c>
      <c r="D35" s="972">
        <f>SUM(D33:D34)</f>
        <v>96</v>
      </c>
      <c r="I35" s="862"/>
    </row>
    <row r="36" spans="1:10" ht="3" customHeight="1">
      <c r="C36" s="862"/>
      <c r="D36" s="862"/>
      <c r="I36" s="862"/>
    </row>
    <row r="37" spans="1:10" ht="12" customHeight="1">
      <c r="A37" s="925" t="s">
        <v>3170</v>
      </c>
      <c r="C37" s="2431" t="s">
        <v>1784</v>
      </c>
      <c r="D37" s="1802">
        <f>'Preview term'!F56</f>
        <v>0</v>
      </c>
      <c r="E37" s="862" t="s">
        <v>3171</v>
      </c>
      <c r="I37" s="862"/>
    </row>
    <row r="38" spans="1:10" ht="3" customHeight="1">
      <c r="G38" s="973"/>
      <c r="H38" s="862"/>
      <c r="I38" s="862"/>
    </row>
    <row r="39" spans="1:10" ht="25.5" customHeight="1">
      <c r="A39" s="974" t="s">
        <v>3172</v>
      </c>
      <c r="C39" s="3750"/>
      <c r="D39" s="3750"/>
      <c r="E39" s="3750"/>
      <c r="F39" s="3750"/>
      <c r="G39" s="3750"/>
      <c r="H39" s="3750"/>
      <c r="I39" s="3750"/>
      <c r="J39" s="3750"/>
    </row>
    <row r="40" spans="1:10" ht="3" customHeight="1">
      <c r="G40" s="862"/>
      <c r="H40" s="862"/>
      <c r="I40" s="862"/>
    </row>
    <row r="41" spans="1:10" ht="25.5" customHeight="1">
      <c r="A41" s="974" t="s">
        <v>3173</v>
      </c>
      <c r="C41" s="3751" t="s">
        <v>3535</v>
      </c>
      <c r="D41" s="3751"/>
      <c r="E41" s="3751"/>
      <c r="F41" s="3751"/>
      <c r="G41" s="3751"/>
      <c r="H41" s="3751"/>
      <c r="I41" s="3751"/>
      <c r="J41" s="3751"/>
    </row>
    <row r="42" spans="1:10" ht="3" customHeight="1">
      <c r="C42" s="691"/>
      <c r="D42" s="691"/>
      <c r="E42" s="691"/>
      <c r="F42" s="691"/>
      <c r="G42" s="691"/>
      <c r="H42" s="692"/>
      <c r="I42" s="693"/>
      <c r="J42" s="692"/>
    </row>
    <row r="43" spans="1:10" ht="12" customHeight="1">
      <c r="A43" s="925" t="s">
        <v>3174</v>
      </c>
      <c r="C43" s="794" t="str">
        <f>'Part I-Project Information'!J39</f>
        <v>Coweta</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51" t="s">
        <v>580</v>
      </c>
      <c r="D49" s="3751"/>
      <c r="E49" s="3751"/>
      <c r="F49" s="3751"/>
      <c r="G49" s="3751"/>
      <c r="H49" s="3751"/>
      <c r="I49" s="3751"/>
      <c r="J49" s="3751"/>
    </row>
    <row r="50" spans="1:10" ht="12" customHeight="1">
      <c r="C50" s="3756" t="s">
        <v>1821</v>
      </c>
      <c r="D50" s="3756"/>
      <c r="E50" s="3756"/>
      <c r="F50" s="3756"/>
      <c r="G50" s="3756"/>
      <c r="H50" s="3756"/>
      <c r="I50" s="3756"/>
      <c r="J50" s="3756"/>
    </row>
    <row r="51" spans="1:10" ht="3" customHeight="1">
      <c r="D51" s="977"/>
      <c r="E51" s="977"/>
      <c r="F51" s="977"/>
      <c r="G51" s="978"/>
      <c r="H51" s="862"/>
      <c r="I51" s="977"/>
      <c r="J51" s="977"/>
    </row>
    <row r="52" spans="1:10" ht="12" customHeight="1">
      <c r="A52" s="974" t="s">
        <v>3178</v>
      </c>
      <c r="B52" s="974"/>
      <c r="C52" s="979" t="s">
        <v>3179</v>
      </c>
      <c r="D52" s="979" t="s">
        <v>3536</v>
      </c>
      <c r="E52" s="3757"/>
      <c r="F52" s="3757"/>
      <c r="G52" s="3757"/>
      <c r="H52" s="3757"/>
      <c r="I52" s="3757"/>
      <c r="J52" s="3757"/>
    </row>
    <row r="53" spans="1:10" ht="12" customHeight="1">
      <c r="A53" s="974"/>
      <c r="B53" s="974"/>
      <c r="C53" s="974"/>
      <c r="D53" s="979" t="s">
        <v>3537</v>
      </c>
      <c r="E53" s="3758"/>
      <c r="F53" s="3758"/>
      <c r="G53" s="3758"/>
      <c r="H53" s="3758"/>
      <c r="I53" s="3758"/>
      <c r="J53" s="3758"/>
    </row>
    <row r="54" spans="1:10" ht="12" customHeight="1">
      <c r="A54" s="966" t="s">
        <v>3180</v>
      </c>
      <c r="G54" s="862"/>
      <c r="H54" s="862"/>
      <c r="I54" s="862"/>
    </row>
    <row r="55" spans="1:10" ht="18" customHeight="1">
      <c r="A55" s="925" t="s">
        <v>3181</v>
      </c>
      <c r="C55" s="968" t="str">
        <f>Overview!C10</f>
        <v>Oracle Newnan 2018 GP, LLC</v>
      </c>
      <c r="G55" s="862"/>
      <c r="I55" s="862"/>
    </row>
    <row r="56" spans="1:10" ht="3" customHeight="1">
      <c r="C56" s="968"/>
      <c r="G56" s="862"/>
      <c r="I56" s="862"/>
    </row>
    <row r="57" spans="1:10" ht="12" customHeight="1">
      <c r="A57" s="925" t="s">
        <v>3182</v>
      </c>
      <c r="C57" s="968" t="str">
        <f>Overview!C11</f>
        <v/>
      </c>
      <c r="E57" s="968" t="str">
        <f>Overview!E11</f>
        <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14700000</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7" t="s">
        <v>1784</v>
      </c>
      <c r="D66" s="994"/>
      <c r="I66" s="862"/>
    </row>
    <row r="67" spans="1:10" ht="12" customHeight="1">
      <c r="C67" s="925" t="s">
        <v>3191</v>
      </c>
      <c r="D67" s="2418" t="s">
        <v>1784</v>
      </c>
      <c r="I67" s="862"/>
    </row>
    <row r="68" spans="1:10" ht="12" customHeight="1">
      <c r="C68" s="925" t="s">
        <v>3157</v>
      </c>
      <c r="D68" s="3752"/>
      <c r="E68" s="3752"/>
      <c r="F68" s="3752"/>
      <c r="G68" s="3752"/>
      <c r="H68" s="3752"/>
      <c r="I68" s="3752"/>
      <c r="J68" s="3752"/>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7" t="s">
        <v>1784</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3586</v>
      </c>
      <c r="D77" s="985">
        <v>24</v>
      </c>
      <c r="I77" s="862"/>
    </row>
    <row r="78" spans="1:10" ht="3" customHeight="1">
      <c r="D78" s="980"/>
      <c r="E78" s="862"/>
      <c r="F78" s="862"/>
      <c r="I78" s="862"/>
    </row>
    <row r="79" spans="1:10" ht="12" customHeight="1">
      <c r="A79" s="925" t="s">
        <v>3197</v>
      </c>
      <c r="C79" s="925" t="s">
        <v>2425</v>
      </c>
      <c r="D79" s="986">
        <f>'Preview term'!F39</f>
        <v>216</v>
      </c>
      <c r="E79" s="862" t="s">
        <v>3540</v>
      </c>
      <c r="I79" s="862"/>
    </row>
    <row r="80" spans="1:10" ht="3" customHeight="1">
      <c r="D80" s="980"/>
      <c r="G80" s="862"/>
      <c r="H80" s="862"/>
      <c r="I80" s="862"/>
    </row>
    <row r="81" spans="1:9" ht="12" customHeight="1">
      <c r="A81" s="925" t="s">
        <v>3198</v>
      </c>
      <c r="D81" s="1808">
        <v>0</v>
      </c>
      <c r="E81" s="987">
        <f>D81*12</f>
        <v>0</v>
      </c>
      <c r="F81" s="862" t="s">
        <v>3587</v>
      </c>
    </row>
    <row r="82" spans="1:9" ht="3" customHeight="1">
      <c r="D82" s="968"/>
      <c r="E82" s="862"/>
      <c r="G82" s="862"/>
    </row>
    <row r="83" spans="1:9" ht="12" customHeight="1">
      <c r="A83" s="925" t="s">
        <v>3199</v>
      </c>
      <c r="D83" s="2418" t="s">
        <v>979</v>
      </c>
      <c r="E83" s="862" t="s">
        <v>3200</v>
      </c>
      <c r="G83" s="862"/>
    </row>
    <row r="84" spans="1:9" ht="3" customHeight="1">
      <c r="G84" s="862"/>
      <c r="H84" s="862"/>
      <c r="I84" s="862"/>
    </row>
    <row r="85" spans="1:9" ht="12" customHeight="1">
      <c r="A85" s="925" t="s">
        <v>3201</v>
      </c>
      <c r="C85" s="1806">
        <f>'Part VII-Pro Forma'!K67</f>
        <v>5593591.6241448568</v>
      </c>
      <c r="D85" s="989" t="s">
        <v>3538</v>
      </c>
      <c r="I85" s="862"/>
    </row>
    <row r="86" spans="1:9" ht="3" customHeight="1">
      <c r="C86" s="862" t="s">
        <v>1784</v>
      </c>
      <c r="D86" s="862"/>
      <c r="E86" s="862"/>
      <c r="I86" s="862"/>
    </row>
    <row r="87" spans="1:9" ht="12" customHeight="1">
      <c r="A87" s="925" t="s">
        <v>3202</v>
      </c>
      <c r="B87" s="990"/>
      <c r="C87" s="1807" t="s">
        <v>1784</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Bank of America</v>
      </c>
      <c r="I92" s="862"/>
    </row>
    <row r="93" spans="1:9" ht="12" customHeight="1">
      <c r="C93" s="994"/>
      <c r="D93" s="862"/>
      <c r="E93" s="980" t="s">
        <v>1810</v>
      </c>
      <c r="F93" s="3759"/>
      <c r="G93" s="3759"/>
      <c r="H93" s="3759"/>
      <c r="I93" s="862"/>
    </row>
    <row r="94" spans="1:9" ht="12" customHeight="1">
      <c r="C94" s="980"/>
      <c r="D94" s="862"/>
      <c r="E94" s="980" t="s">
        <v>1998</v>
      </c>
      <c r="F94" s="3760"/>
      <c r="G94" s="3760"/>
      <c r="H94" s="3760"/>
      <c r="I94" s="862"/>
    </row>
    <row r="95" spans="1:9" ht="12" customHeight="1">
      <c r="C95" s="980"/>
      <c r="D95" s="862"/>
      <c r="E95" s="980" t="s">
        <v>1813</v>
      </c>
      <c r="F95" s="3755"/>
      <c r="G95" s="3755"/>
      <c r="H95" s="3755"/>
      <c r="I95" s="862"/>
    </row>
    <row r="96" spans="1:9" ht="12" customHeight="1">
      <c r="B96" s="970"/>
      <c r="C96" s="983" t="s">
        <v>3353</v>
      </c>
      <c r="D96" s="862" t="s">
        <v>3207</v>
      </c>
      <c r="E96" s="980" t="str">
        <f>'Part III-Sources of Funds'!E37</f>
        <v>Bank of America</v>
      </c>
      <c r="I96" s="862"/>
    </row>
    <row r="97" spans="1:10" ht="12" customHeight="1">
      <c r="C97" s="980"/>
      <c r="D97" s="862"/>
      <c r="E97" s="980" t="s">
        <v>1810</v>
      </c>
      <c r="F97" s="3759"/>
      <c r="G97" s="3759"/>
      <c r="H97" s="3759"/>
      <c r="I97" s="862"/>
    </row>
    <row r="98" spans="1:10" ht="12" customHeight="1">
      <c r="C98" s="980"/>
      <c r="D98" s="862"/>
      <c r="E98" s="980" t="s">
        <v>1998</v>
      </c>
      <c r="F98" s="3760"/>
      <c r="G98" s="3760"/>
      <c r="H98" s="3760"/>
      <c r="I98" s="862"/>
    </row>
    <row r="99" spans="1:10" ht="12" customHeight="1">
      <c r="C99" s="980"/>
      <c r="D99" s="862"/>
      <c r="E99" s="980" t="s">
        <v>1813</v>
      </c>
      <c r="F99" s="3755"/>
      <c r="G99" s="3755"/>
      <c r="H99" s="3755"/>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3539</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1" t="s">
        <v>1784</v>
      </c>
      <c r="D106" s="3762"/>
      <c r="E106" s="3762"/>
      <c r="F106" s="3762"/>
      <c r="G106" s="3762"/>
      <c r="H106" s="3762"/>
      <c r="I106" s="3762"/>
      <c r="J106" s="3763"/>
    </row>
    <row r="107" spans="1:10" ht="3" customHeight="1">
      <c r="C107" s="980"/>
      <c r="D107" s="862"/>
      <c r="I107" s="862"/>
    </row>
    <row r="108" spans="1:10" ht="12" customHeight="1">
      <c r="A108" s="925" t="s">
        <v>3210</v>
      </c>
      <c r="C108" s="2418" t="s">
        <v>1784</v>
      </c>
    </row>
    <row r="109" spans="1:10" ht="3" customHeight="1">
      <c r="C109" s="980"/>
      <c r="E109" s="862"/>
      <c r="F109" s="862"/>
      <c r="I109" s="862"/>
    </row>
    <row r="110" spans="1:10" ht="12" customHeight="1">
      <c r="A110" s="925" t="s">
        <v>3211</v>
      </c>
      <c r="C110" s="2418" t="s">
        <v>1784</v>
      </c>
      <c r="I110" s="862"/>
    </row>
    <row r="111" spans="1:10" ht="3" customHeight="1">
      <c r="D111" s="973"/>
      <c r="I111" s="862"/>
    </row>
    <row r="112" spans="1:10" ht="12" customHeight="1">
      <c r="A112" s="925" t="s">
        <v>3212</v>
      </c>
      <c r="D112" s="986">
        <v>24</v>
      </c>
      <c r="E112" s="862" t="s">
        <v>3213</v>
      </c>
      <c r="I112" s="862"/>
    </row>
    <row r="113" spans="1:10" ht="12" customHeight="1">
      <c r="C113" s="968" t="s">
        <v>4330</v>
      </c>
      <c r="I113" s="862"/>
    </row>
    <row r="114" spans="1:10" ht="12" customHeight="1">
      <c r="C114" s="968" t="s">
        <v>4329</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1784</v>
      </c>
      <c r="D118" s="994"/>
      <c r="I118" s="862"/>
    </row>
    <row r="119" spans="1:10" ht="12" customHeight="1">
      <c r="C119" s="862" t="s">
        <v>3217</v>
      </c>
      <c r="D119" s="984"/>
      <c r="E119" s="3765" t="s">
        <v>4331</v>
      </c>
      <c r="F119" s="3765"/>
      <c r="G119" s="3765"/>
      <c r="H119" s="3765"/>
      <c r="I119" s="3765"/>
      <c r="J119" s="3765"/>
    </row>
    <row r="120" spans="1:10" ht="12" customHeight="1">
      <c r="C120" s="862" t="s">
        <v>3218</v>
      </c>
      <c r="D120" s="1813"/>
      <c r="E120" s="3765"/>
      <c r="F120" s="3765"/>
      <c r="G120" s="3765"/>
      <c r="H120" s="3765"/>
      <c r="I120" s="3765"/>
      <c r="J120" s="3765"/>
    </row>
    <row r="121" spans="1:10" ht="12" customHeight="1">
      <c r="C121" s="862" t="s">
        <v>3219</v>
      </c>
      <c r="D121" s="1813"/>
      <c r="E121" s="3765"/>
      <c r="F121" s="3765"/>
      <c r="G121" s="3765"/>
      <c r="H121" s="3765"/>
      <c r="I121" s="3765"/>
      <c r="J121" s="3765"/>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Oracle Consulting Services, LLC</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1120147.7390598683</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PROPOSED - Gateway Management Company</v>
      </c>
      <c r="G137" s="862"/>
      <c r="I137" s="862"/>
      <c r="J137" s="997"/>
    </row>
    <row r="138" spans="1:10" ht="3" customHeight="1">
      <c r="C138" s="968"/>
      <c r="G138" s="862"/>
      <c r="I138" s="862"/>
    </row>
    <row r="139" spans="1:10" ht="12" customHeight="1">
      <c r="A139" s="925" t="s">
        <v>3230</v>
      </c>
      <c r="C139" s="969" t="str">
        <f>C8</f>
        <v>Oracle Newnan 2018, LP</v>
      </c>
      <c r="G139" s="862"/>
      <c r="I139" s="967"/>
      <c r="J139" s="998"/>
    </row>
    <row r="140" spans="1:10" ht="3" customHeight="1">
      <c r="C140" s="969"/>
      <c r="G140" s="862"/>
      <c r="I140" s="967"/>
      <c r="J140" s="998"/>
    </row>
    <row r="141" spans="1:10" ht="12" customHeight="1">
      <c r="A141" s="925" t="s">
        <v>3231</v>
      </c>
      <c r="C141" s="969" t="str">
        <f>C18</f>
        <v>P.O. Box 22378</v>
      </c>
      <c r="G141" s="862"/>
      <c r="I141" s="967"/>
      <c r="J141" s="998"/>
    </row>
    <row r="142" spans="1:10">
      <c r="C142" s="969" t="str">
        <f>C19</f>
        <v>Louisville, KY 40251</v>
      </c>
      <c r="G142" s="862"/>
      <c r="I142" s="967"/>
      <c r="J142" s="998"/>
    </row>
    <row r="143" spans="1:10" ht="3" customHeight="1">
      <c r="C143" s="999"/>
      <c r="G143" s="862"/>
      <c r="I143" s="967"/>
      <c r="J143" s="998"/>
    </row>
    <row r="144" spans="1:10" ht="12" customHeight="1">
      <c r="A144" s="925" t="s">
        <v>3232</v>
      </c>
      <c r="C144" s="969" t="str">
        <f>Overview!H10</f>
        <v>PROPOSED - Bank of America Merrill Lynch</v>
      </c>
      <c r="G144" s="862"/>
      <c r="I144" s="967"/>
      <c r="J144" s="997"/>
    </row>
    <row r="145" spans="1:10" ht="3" customHeight="1">
      <c r="C145" s="969"/>
      <c r="G145" s="862"/>
      <c r="I145" s="967"/>
      <c r="J145" s="998"/>
    </row>
    <row r="146" spans="1:10" ht="12" customHeight="1">
      <c r="A146" s="925" t="s">
        <v>3233</v>
      </c>
      <c r="C146" s="969" t="str">
        <f>Overview!K10</f>
        <v>Same Proposed as Federal Limited Partner</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3541</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1784</v>
      </c>
      <c r="D158" s="862" t="s">
        <v>3588</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3542</v>
      </c>
      <c r="E164" s="3752"/>
      <c r="F164" s="3752"/>
      <c r="G164" s="3752"/>
      <c r="I164" s="862"/>
    </row>
    <row r="165" spans="1:13" ht="3" customHeight="1">
      <c r="E165" s="862"/>
      <c r="G165" s="862"/>
      <c r="I165" s="862"/>
    </row>
    <row r="166" spans="1:13" ht="12" customHeight="1">
      <c r="A166" s="925" t="s">
        <v>3242</v>
      </c>
      <c r="C166" s="925" t="s">
        <v>3243</v>
      </c>
      <c r="E166" s="1001">
        <f>'Preview term'!F71</f>
        <v>490225.87007976859</v>
      </c>
      <c r="G166" s="862"/>
      <c r="I166" s="862"/>
    </row>
    <row r="167" spans="1:13" ht="12" customHeight="1">
      <c r="C167" s="925" t="s">
        <v>3542</v>
      </c>
      <c r="E167" s="3752"/>
      <c r="F167" s="3752"/>
      <c r="G167" s="3752"/>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0</v>
      </c>
      <c r="G170" s="862"/>
      <c r="I170" s="862"/>
    </row>
    <row r="171" spans="1:13" ht="12" customHeight="1">
      <c r="C171" s="925" t="s">
        <v>3245</v>
      </c>
      <c r="E171" s="1001">
        <f>'Preview term'!F73</f>
        <v>0</v>
      </c>
      <c r="G171" s="862"/>
      <c r="I171" s="967"/>
      <c r="J171" s="998"/>
      <c r="K171" s="998"/>
      <c r="L171" s="998"/>
      <c r="M171" s="998"/>
    </row>
    <row r="172" spans="1:13" ht="12" customHeight="1">
      <c r="C172" s="925" t="s">
        <v>3246</v>
      </c>
      <c r="E172" s="996">
        <f>'Part VI-Revenues &amp; Expenses'!P179</f>
        <v>24000</v>
      </c>
      <c r="F172" s="967" t="s">
        <v>3247</v>
      </c>
      <c r="J172" s="998"/>
      <c r="K172" s="998"/>
      <c r="L172" s="998"/>
      <c r="M172" s="998"/>
    </row>
    <row r="173" spans="1:13">
      <c r="E173" s="1001">
        <f>E172/12</f>
        <v>2000</v>
      </c>
      <c r="F173" s="862" t="s">
        <v>3099</v>
      </c>
    </row>
    <row r="174" spans="1:13" ht="12" customHeight="1">
      <c r="C174" s="925" t="s">
        <v>3543</v>
      </c>
      <c r="E174" s="3752"/>
      <c r="F174" s="3752"/>
      <c r="G174" s="3752"/>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52"/>
      <c r="G179" s="3752"/>
      <c r="H179" s="3752"/>
      <c r="I179" s="3752"/>
      <c r="J179" s="3752"/>
    </row>
    <row r="180" spans="1:10" ht="12" customHeight="1">
      <c r="C180" s="925" t="s">
        <v>3544</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108000</v>
      </c>
      <c r="G183" s="862"/>
      <c r="I183" s="862"/>
    </row>
    <row r="184" spans="1:10" ht="12" customHeight="1">
      <c r="C184" s="925" t="s">
        <v>3542</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3542</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1784</v>
      </c>
      <c r="E195" s="862"/>
      <c r="F195" s="862"/>
      <c r="I195" s="862"/>
    </row>
    <row r="196" spans="1:10" ht="3" customHeight="1">
      <c r="G196" s="862"/>
      <c r="H196" s="862"/>
      <c r="I196" s="862"/>
    </row>
    <row r="197" spans="1:10">
      <c r="A197" s="974" t="s">
        <v>3546</v>
      </c>
      <c r="B197" s="974"/>
      <c r="C197" s="974"/>
      <c r="D197" s="974"/>
      <c r="E197" s="979" t="s">
        <v>3545</v>
      </c>
      <c r="F197" s="3764">
        <f>'Part VIII-Threshold Criteria'!E393</f>
        <v>0</v>
      </c>
      <c r="G197" s="3764"/>
      <c r="H197" s="3764"/>
      <c r="I197" s="3764"/>
      <c r="J197" s="3764"/>
    </row>
    <row r="198" spans="1:10" ht="9" customHeight="1">
      <c r="G198" s="862"/>
      <c r="H198" s="862"/>
      <c r="I198" s="862"/>
    </row>
    <row r="199" spans="1:10" ht="12" customHeight="1">
      <c r="A199" s="1003" t="s">
        <v>3342</v>
      </c>
      <c r="G199" s="862"/>
      <c r="H199" s="862"/>
      <c r="I199" s="987"/>
    </row>
    <row r="200" spans="1:10" ht="25.5" hidden="1" customHeight="1">
      <c r="A200" s="3753" t="str">
        <f>'Subsidy Layering Memo'!A98</f>
        <v>Include any reserve requirements; explain any reserves far in excess of 6 month ODR, 3 mo lease up, 1 year RR, 6 mo T&amp;I standards.</v>
      </c>
      <c r="B200" s="3753"/>
      <c r="C200" s="3753"/>
      <c r="D200" s="3753"/>
      <c r="E200" s="3753"/>
      <c r="F200" s="3753"/>
      <c r="G200" s="3753"/>
      <c r="H200" s="3753"/>
      <c r="I200" s="3753"/>
      <c r="J200" s="3753"/>
    </row>
    <row r="201" spans="1:10">
      <c r="A201" s="862"/>
      <c r="G201" s="862"/>
      <c r="H201" s="862"/>
      <c r="I201" s="862"/>
    </row>
    <row r="202" spans="1:10">
      <c r="A202" s="966" t="s">
        <v>3257</v>
      </c>
      <c r="G202" s="862"/>
      <c r="H202" s="862"/>
      <c r="I202" s="862"/>
    </row>
    <row r="203" spans="1:10" ht="3" customHeight="1">
      <c r="G203" s="862"/>
      <c r="H203" s="862"/>
      <c r="I203" s="862"/>
    </row>
    <row r="204" spans="1:10" ht="76.5" customHeight="1">
      <c r="A204" s="3754" t="s">
        <v>2964</v>
      </c>
      <c r="B204" s="3754"/>
      <c r="C204" s="3754"/>
      <c r="D204" s="3754"/>
      <c r="E204" s="3754"/>
      <c r="F204" s="3754"/>
      <c r="G204" s="3754"/>
      <c r="H204" s="3754"/>
      <c r="I204" s="3754"/>
      <c r="J204" s="3754"/>
    </row>
    <row r="205" spans="1:10">
      <c r="A205" s="862" t="s">
        <v>2965</v>
      </c>
      <c r="G205" s="862"/>
      <c r="H205" s="862"/>
      <c r="I205" s="862"/>
    </row>
    <row r="206" spans="1:10" ht="38.25" customHeight="1">
      <c r="A206" s="3754" t="str">
        <f>'Subsidy Layering Memo'!A37&amp;".  "&amp;'Subsidy Layering Memo'!A38</f>
        <v xml:space="preserve">.  </v>
      </c>
      <c r="B206" s="3761"/>
      <c r="C206" s="3761"/>
      <c r="D206" s="3761"/>
      <c r="E206" s="3761"/>
      <c r="F206" s="3761"/>
      <c r="G206" s="3761"/>
      <c r="H206" s="3761"/>
      <c r="I206" s="3761"/>
      <c r="J206" s="3761"/>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3258</v>
      </c>
      <c r="H1" s="970" t="str">
        <f>Overview!C8</f>
        <v>McIntosh Woods</v>
      </c>
    </row>
    <row r="2" spans="1:11">
      <c r="A2" s="862" t="s">
        <v>3259</v>
      </c>
      <c r="H2" s="925" t="str">
        <f>Overview!E8</f>
        <v>2018-0</v>
      </c>
    </row>
    <row r="3" spans="1:11" ht="3" customHeight="1"/>
    <row r="4" spans="1:11" ht="51.75" customHeight="1">
      <c r="A4" s="3761" t="s">
        <v>3359</v>
      </c>
      <c r="B4" s="3761"/>
      <c r="C4" s="3761"/>
      <c r="D4" s="3761"/>
      <c r="E4" s="3761"/>
      <c r="F4" s="3761"/>
      <c r="G4" s="3761"/>
      <c r="H4" s="3761"/>
      <c r="J4" s="1836">
        <f>SUM('Part VII-Pro Forma'!B14:B16)/12</f>
        <v>92845.173599999995</v>
      </c>
      <c r="K4" s="1835" t="s">
        <v>4538</v>
      </c>
    </row>
    <row r="5" spans="1:11" ht="1.5" customHeight="1">
      <c r="C5" s="1004"/>
      <c r="D5" s="1004"/>
      <c r="E5" s="1004"/>
      <c r="F5" s="1004"/>
      <c r="G5" s="1004"/>
      <c r="H5" s="1004"/>
    </row>
    <row r="6" spans="1:11" ht="12.75" customHeight="1">
      <c r="B6" s="1005" t="s">
        <v>2451</v>
      </c>
      <c r="C6" s="3761" t="s">
        <v>3260</v>
      </c>
      <c r="D6" s="3761"/>
      <c r="E6" s="3761"/>
      <c r="F6" s="3761"/>
      <c r="G6" s="3761"/>
      <c r="H6" s="3761"/>
    </row>
    <row r="7" spans="1:11" ht="12.75" customHeight="1">
      <c r="B7" s="1005" t="s">
        <v>2452</v>
      </c>
      <c r="C7" s="3761" t="s">
        <v>3261</v>
      </c>
      <c r="D7" s="3761"/>
      <c r="E7" s="3761"/>
      <c r="F7" s="3761"/>
      <c r="G7" s="3761"/>
      <c r="H7" s="3761"/>
    </row>
    <row r="8" spans="1:11" ht="3" customHeight="1"/>
    <row r="9" spans="1:11">
      <c r="A9" s="925" t="s">
        <v>3262</v>
      </c>
    </row>
    <row r="10" spans="1:11" ht="1.5" customHeight="1"/>
    <row r="11" spans="1:11" ht="26.25" customHeight="1">
      <c r="A11" s="1006" t="s">
        <v>1999</v>
      </c>
      <c r="B11" s="3767" t="s">
        <v>3356</v>
      </c>
      <c r="C11" s="3767"/>
      <c r="D11" s="3767"/>
      <c r="E11" s="3767"/>
      <c r="F11" s="3767"/>
      <c r="G11" s="3768">
        <f>'Part III-Sources of Funds'!I49+'Part III-Sources of Funds'!I50</f>
        <v>11930770</v>
      </c>
      <c r="H11" s="3768"/>
    </row>
    <row r="12" spans="1:11" ht="1.5" customHeight="1">
      <c r="G12" s="974"/>
      <c r="H12" s="974"/>
    </row>
    <row r="13" spans="1:11" ht="26.25" customHeight="1">
      <c r="A13" s="1006" t="s">
        <v>2001</v>
      </c>
      <c r="B13" s="3767" t="s">
        <v>3357</v>
      </c>
      <c r="C13" s="3767"/>
      <c r="D13" s="3767"/>
      <c r="E13" s="3767"/>
      <c r="F13" s="3767"/>
      <c r="G13" s="3769" t="s">
        <v>3188</v>
      </c>
      <c r="H13" s="3769"/>
    </row>
    <row r="14" spans="1:11" ht="12" hidden="1" customHeight="1">
      <c r="A14" s="1006"/>
      <c r="B14" s="3750"/>
      <c r="C14" s="3750"/>
      <c r="D14" s="3750"/>
      <c r="E14" s="3750"/>
      <c r="F14" s="3750"/>
      <c r="G14" s="3750"/>
      <c r="H14" s="3750"/>
    </row>
    <row r="15" spans="1:11" ht="1.5" customHeight="1"/>
    <row r="16" spans="1:11" ht="12" customHeight="1">
      <c r="A16" s="1006" t="s">
        <v>757</v>
      </c>
      <c r="B16" s="925" t="s">
        <v>3361</v>
      </c>
      <c r="F16" s="998"/>
      <c r="G16" s="3747" t="s">
        <v>3014</v>
      </c>
      <c r="H16" s="3747"/>
    </row>
    <row r="17" spans="1:8" ht="1.5" customHeight="1">
      <c r="G17" s="980"/>
    </row>
    <row r="18" spans="1:8" ht="12" customHeight="1">
      <c r="A18" s="1006" t="s">
        <v>2131</v>
      </c>
      <c r="B18" s="974" t="s">
        <v>3358</v>
      </c>
      <c r="C18" s="1006"/>
      <c r="D18" s="1006"/>
      <c r="E18" s="1006"/>
      <c r="G18" s="3750" t="s">
        <v>2842</v>
      </c>
      <c r="H18" s="3750"/>
    </row>
    <row r="19" spans="1:8" ht="12" hidden="1" customHeight="1">
      <c r="B19" s="3750"/>
      <c r="C19" s="3750"/>
      <c r="D19" s="3750"/>
      <c r="E19" s="3750"/>
      <c r="F19" s="3750"/>
      <c r="G19" s="3750"/>
      <c r="H19" s="3750"/>
    </row>
    <row r="20" spans="1:8" ht="13.5" customHeight="1"/>
    <row r="21" spans="1:8" ht="12" customHeight="1">
      <c r="A21" s="862" t="s">
        <v>3263</v>
      </c>
    </row>
    <row r="22" spans="1:8" ht="3" customHeight="1"/>
    <row r="23" spans="1:8" ht="26.25" customHeight="1">
      <c r="A23" s="3770" t="s">
        <v>3360</v>
      </c>
      <c r="B23" s="3770"/>
      <c r="C23" s="3770"/>
      <c r="D23" s="3770"/>
      <c r="E23" s="3770"/>
      <c r="F23" s="3770"/>
      <c r="G23" s="3770"/>
      <c r="H23" s="3770"/>
    </row>
    <row r="24" spans="1:8" ht="26.25" customHeight="1">
      <c r="A24" s="3766" t="s">
        <v>3264</v>
      </c>
      <c r="B24" s="3766"/>
      <c r="C24" s="3766"/>
      <c r="D24" s="3766"/>
      <c r="E24" s="3766"/>
      <c r="F24" s="3766"/>
      <c r="G24" s="3766"/>
      <c r="H24" s="3766"/>
    </row>
    <row r="25" spans="1:8" ht="9" customHeight="1">
      <c r="A25" s="947"/>
    </row>
    <row r="26" spans="1:8">
      <c r="A26" s="980" t="s">
        <v>3362</v>
      </c>
      <c r="B26" s="1007"/>
      <c r="C26" s="980" t="s">
        <v>3363</v>
      </c>
      <c r="D26" s="1008" t="s">
        <v>3552</v>
      </c>
    </row>
    <row r="27" spans="1:8" ht="6" customHeight="1"/>
    <row r="28" spans="1:8" ht="12.75" customHeight="1">
      <c r="C28" s="974" t="s">
        <v>3265</v>
      </c>
      <c r="D28" s="1009" t="s">
        <v>2002</v>
      </c>
      <c r="E28" s="1010"/>
      <c r="F28" s="3761" t="s">
        <v>3266</v>
      </c>
      <c r="G28" s="3761"/>
      <c r="H28" s="3761"/>
    </row>
    <row r="29" spans="1:8" ht="12.75" customHeight="1">
      <c r="C29" s="1011" t="s">
        <v>1365</v>
      </c>
      <c r="D29" s="1009" t="s">
        <v>2004</v>
      </c>
      <c r="E29" s="3761" t="s">
        <v>3367</v>
      </c>
      <c r="F29" s="3761"/>
      <c r="G29" s="3761"/>
      <c r="H29" s="3761"/>
    </row>
    <row r="30" spans="1:8" ht="12.75" customHeight="1">
      <c r="E30" s="3761" t="s">
        <v>3548</v>
      </c>
      <c r="F30" s="3761"/>
      <c r="G30" s="3761"/>
      <c r="H30" s="3761"/>
    </row>
    <row r="31" spans="1:8" ht="12.75" customHeight="1">
      <c r="D31" s="1012" t="s">
        <v>3366</v>
      </c>
      <c r="E31" s="3761" t="s">
        <v>3549</v>
      </c>
      <c r="F31" s="3761"/>
      <c r="G31" s="3761"/>
      <c r="H31" s="3761"/>
    </row>
    <row r="32" spans="1:8" ht="3" customHeight="1">
      <c r="D32" s="1009"/>
      <c r="E32" s="2417"/>
      <c r="F32" s="2417"/>
      <c r="G32" s="2417"/>
      <c r="H32" s="2417"/>
    </row>
    <row r="33" spans="1:11">
      <c r="A33" s="980" t="s">
        <v>3362</v>
      </c>
      <c r="B33" s="1007"/>
      <c r="C33" s="980" t="s">
        <v>3364</v>
      </c>
      <c r="D33" s="1008" t="s">
        <v>3553</v>
      </c>
    </row>
    <row r="34" spans="1:11" ht="4.5" customHeight="1"/>
    <row r="35" spans="1:11" ht="12.75" customHeight="1">
      <c r="C35" s="974" t="s">
        <v>3265</v>
      </c>
      <c r="D35" s="1009" t="s">
        <v>2002</v>
      </c>
      <c r="E35" s="1010"/>
      <c r="F35" s="3761" t="s">
        <v>3266</v>
      </c>
      <c r="G35" s="3761"/>
      <c r="H35" s="3761"/>
    </row>
    <row r="36" spans="1:11" ht="12.75" customHeight="1">
      <c r="C36" s="1011" t="s">
        <v>1365</v>
      </c>
      <c r="D36" s="1009" t="s">
        <v>2004</v>
      </c>
      <c r="E36" s="3761" t="s">
        <v>3368</v>
      </c>
      <c r="F36" s="3761"/>
      <c r="G36" s="3761"/>
      <c r="H36" s="3761"/>
    </row>
    <row r="37" spans="1:11" ht="12.75" customHeight="1">
      <c r="E37" s="3761" t="s">
        <v>3548</v>
      </c>
      <c r="F37" s="3761"/>
      <c r="G37" s="3761"/>
      <c r="H37" s="3761"/>
    </row>
    <row r="38" spans="1:11" ht="12.75" customHeight="1">
      <c r="D38" s="1012" t="s">
        <v>3366</v>
      </c>
      <c r="E38" s="3761" t="s">
        <v>3549</v>
      </c>
      <c r="F38" s="3761"/>
      <c r="G38" s="3761"/>
      <c r="H38" s="3761"/>
    </row>
    <row r="39" spans="1:11" ht="3" customHeight="1">
      <c r="D39" s="1009"/>
      <c r="E39" s="2417"/>
      <c r="F39" s="2417"/>
      <c r="G39" s="2417"/>
      <c r="H39" s="2417"/>
    </row>
    <row r="40" spans="1:11">
      <c r="A40" s="980" t="s">
        <v>3362</v>
      </c>
      <c r="B40" s="1007"/>
      <c r="C40" s="980" t="s">
        <v>3365</v>
      </c>
      <c r="D40" s="1008" t="s">
        <v>3554</v>
      </c>
    </row>
    <row r="41" spans="1:11" ht="4.5" customHeight="1"/>
    <row r="42" spans="1:11" ht="12.75" customHeight="1">
      <c r="C42" s="974" t="s">
        <v>3265</v>
      </c>
      <c r="D42" s="1009" t="s">
        <v>2002</v>
      </c>
      <c r="E42" s="1010"/>
      <c r="F42" s="3761" t="s">
        <v>3266</v>
      </c>
      <c r="G42" s="3761"/>
      <c r="H42" s="3761"/>
      <c r="K42" s="925" t="s">
        <v>245</v>
      </c>
    </row>
    <row r="43" spans="1:11" ht="12.75" customHeight="1">
      <c r="C43" s="1011" t="s">
        <v>1365</v>
      </c>
      <c r="D43" s="1009" t="s">
        <v>2004</v>
      </c>
      <c r="E43" s="3761" t="s">
        <v>3368</v>
      </c>
      <c r="F43" s="3761"/>
      <c r="G43" s="3761"/>
      <c r="H43" s="3761"/>
    </row>
    <row r="44" spans="1:11" ht="12.75" customHeight="1">
      <c r="E44" s="3761" t="s">
        <v>3548</v>
      </c>
      <c r="F44" s="3761"/>
      <c r="G44" s="3761"/>
      <c r="H44" s="3761"/>
    </row>
    <row r="45" spans="1:11" ht="12.75" customHeight="1">
      <c r="D45" s="1012" t="s">
        <v>3366</v>
      </c>
      <c r="E45" s="3761" t="s">
        <v>3549</v>
      </c>
      <c r="F45" s="3761"/>
      <c r="G45" s="3761"/>
      <c r="H45" s="3761"/>
    </row>
    <row r="46" spans="1:11" ht="9" customHeight="1"/>
    <row r="47" spans="1:11" ht="7.5" customHeight="1">
      <c r="E47" s="3761"/>
      <c r="F47" s="3761"/>
      <c r="G47" s="3761"/>
      <c r="H47" s="3761"/>
    </row>
    <row r="48" spans="1:11" ht="24.75" customHeight="1">
      <c r="A48" s="3771" t="s">
        <v>4302</v>
      </c>
      <c r="B48" s="3771"/>
      <c r="C48" s="3771"/>
      <c r="D48" s="3771"/>
      <c r="E48" s="3771"/>
      <c r="F48" s="3771"/>
      <c r="G48" s="3771"/>
      <c r="H48" s="3771"/>
    </row>
    <row r="49" spans="1:11" ht="9" customHeight="1"/>
    <row r="50" spans="1:11" ht="26.25" customHeight="1">
      <c r="A50" s="3770" t="s">
        <v>3550</v>
      </c>
      <c r="B50" s="3770"/>
      <c r="C50" s="3770"/>
      <c r="D50" s="3770"/>
      <c r="E50" s="3770"/>
      <c r="F50" s="3770"/>
      <c r="G50" s="3770"/>
      <c r="H50" s="3770"/>
    </row>
    <row r="51" spans="1:11" ht="9" customHeight="1">
      <c r="A51" s="947"/>
    </row>
    <row r="52" spans="1:11">
      <c r="A52" s="980" t="s">
        <v>3362</v>
      </c>
      <c r="B52" s="1007"/>
      <c r="C52" s="980" t="s">
        <v>3363</v>
      </c>
      <c r="D52" s="1008" t="s">
        <v>3551</v>
      </c>
    </row>
    <row r="53" spans="1:11" ht="4.5" customHeight="1"/>
    <row r="54" spans="1:11" ht="12.75" customHeight="1">
      <c r="C54" s="974" t="s">
        <v>3265</v>
      </c>
      <c r="D54" s="1009" t="s">
        <v>2002</v>
      </c>
      <c r="E54" s="1010"/>
      <c r="F54" s="3761" t="s">
        <v>3266</v>
      </c>
      <c r="G54" s="3761"/>
      <c r="H54" s="3761"/>
    </row>
    <row r="55" spans="1:11" ht="12.75" customHeight="1">
      <c r="C55" s="1011" t="s">
        <v>1365</v>
      </c>
      <c r="D55" s="1009" t="s">
        <v>2004</v>
      </c>
      <c r="E55" s="3761" t="s">
        <v>3557</v>
      </c>
      <c r="F55" s="3761"/>
      <c r="G55" s="3761"/>
      <c r="H55" s="3761"/>
    </row>
    <row r="56" spans="1:11" ht="3" customHeight="1">
      <c r="D56" s="1009"/>
      <c r="E56" s="2417"/>
      <c r="F56" s="2417"/>
      <c r="G56" s="2417"/>
      <c r="H56" s="2417"/>
    </row>
    <row r="57" spans="1:11">
      <c r="A57" s="980" t="s">
        <v>3362</v>
      </c>
      <c r="B57" s="1007"/>
      <c r="C57" s="980" t="s">
        <v>3364</v>
      </c>
      <c r="D57" s="1008" t="s">
        <v>3555</v>
      </c>
    </row>
    <row r="58" spans="1:11" ht="4.5" customHeight="1"/>
    <row r="59" spans="1:11">
      <c r="C59" s="974" t="s">
        <v>3265</v>
      </c>
      <c r="D59" s="1009" t="s">
        <v>2002</v>
      </c>
      <c r="E59" s="1010"/>
      <c r="F59" s="3761" t="s">
        <v>3266</v>
      </c>
      <c r="G59" s="3761"/>
      <c r="H59" s="3761"/>
    </row>
    <row r="60" spans="1:11" ht="12.75" customHeight="1">
      <c r="C60" s="1011" t="s">
        <v>1365</v>
      </c>
      <c r="D60" s="1009" t="s">
        <v>2004</v>
      </c>
      <c r="E60" s="3761" t="s">
        <v>3557</v>
      </c>
      <c r="F60" s="3761"/>
      <c r="G60" s="3761"/>
      <c r="H60" s="3761"/>
    </row>
    <row r="61" spans="1:11" ht="3" customHeight="1">
      <c r="D61" s="1009"/>
      <c r="E61" s="2417"/>
      <c r="F61" s="2417"/>
      <c r="G61" s="2417"/>
      <c r="H61" s="2417"/>
    </row>
    <row r="62" spans="1:11">
      <c r="A62" s="980" t="s">
        <v>3362</v>
      </c>
      <c r="B62" s="1007"/>
      <c r="C62" s="980" t="s">
        <v>3365</v>
      </c>
      <c r="D62" s="1008" t="s">
        <v>3556</v>
      </c>
    </row>
    <row r="63" spans="1:11" ht="4.5" customHeight="1"/>
    <row r="64" spans="1:11">
      <c r="C64" s="974" t="s">
        <v>3265</v>
      </c>
      <c r="D64" s="1009" t="s">
        <v>2002</v>
      </c>
      <c r="E64" s="1010"/>
      <c r="F64" s="3761" t="s">
        <v>3266</v>
      </c>
      <c r="G64" s="3761"/>
      <c r="H64" s="3761"/>
      <c r="K64" s="925" t="s">
        <v>245</v>
      </c>
    </row>
    <row r="65" spans="3:8" ht="12.75" customHeight="1">
      <c r="C65" s="1011" t="s">
        <v>1365</v>
      </c>
      <c r="D65" s="1009" t="s">
        <v>2004</v>
      </c>
      <c r="E65" s="3761" t="s">
        <v>3557</v>
      </c>
      <c r="F65" s="3761"/>
      <c r="G65" s="3761"/>
      <c r="H65" s="3761"/>
    </row>
    <row r="66" spans="3:8" ht="7.5" customHeight="1">
      <c r="E66" s="3761"/>
      <c r="F66" s="3761"/>
      <c r="G66" s="3761"/>
      <c r="H66" s="3761"/>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6" customWidth="1"/>
    <col min="2" max="2" width="12.42578125" style="2436" customWidth="1"/>
    <col min="3" max="3" width="12.28515625" style="2436" customWidth="1"/>
    <col min="4" max="4" width="9.7109375" style="2436" customWidth="1"/>
    <col min="5" max="5" width="10.42578125" style="2436" customWidth="1"/>
    <col min="6" max="6" width="9.140625" style="2436"/>
    <col min="7" max="7" width="11" style="2436" customWidth="1"/>
    <col min="8" max="8" width="14.42578125" style="2436" customWidth="1"/>
    <col min="9" max="9" width="10.140625" style="2436" customWidth="1"/>
    <col min="10" max="16384" width="9.140625" style="2436"/>
  </cols>
  <sheetData>
    <row r="1" spans="2:13" ht="15.75">
      <c r="B1" s="3783" t="s">
        <v>4345</v>
      </c>
      <c r="C1" s="3783"/>
      <c r="D1" s="3783"/>
      <c r="E1" s="3783"/>
      <c r="F1" s="3783"/>
      <c r="G1" s="3783"/>
      <c r="H1" s="3783"/>
      <c r="I1" s="3783"/>
    </row>
    <row r="2" spans="2:13" ht="15">
      <c r="B2" s="2437" t="s">
        <v>4333</v>
      </c>
      <c r="C2" s="973"/>
      <c r="D2" s="973"/>
      <c r="E2" s="973"/>
      <c r="F2" s="973"/>
      <c r="G2" s="973"/>
      <c r="H2" s="973"/>
      <c r="I2" s="973"/>
    </row>
    <row r="3" spans="2:13" ht="14.25">
      <c r="B3" s="2438" t="s">
        <v>4340</v>
      </c>
      <c r="C3" s="973"/>
      <c r="D3" s="973"/>
      <c r="E3" s="973"/>
      <c r="F3" s="973"/>
      <c r="G3" s="973"/>
      <c r="H3" s="973"/>
      <c r="I3" s="973"/>
    </row>
    <row r="4" spans="2:13">
      <c r="B4" s="3784" t="s">
        <v>3267</v>
      </c>
      <c r="C4" s="3784"/>
      <c r="D4" s="3784"/>
      <c r="E4" s="3789" t="s">
        <v>3268</v>
      </c>
      <c r="F4" s="3791"/>
      <c r="G4" s="3789" t="s">
        <v>623</v>
      </c>
      <c r="H4" s="3790"/>
      <c r="I4" s="3791"/>
      <c r="J4" s="2431" t="s">
        <v>3112</v>
      </c>
      <c r="K4" s="2431"/>
      <c r="L4" s="2439"/>
      <c r="M4" s="2439"/>
    </row>
    <row r="5" spans="2:13">
      <c r="B5" s="3785" t="str">
        <f>'Closing term sheet'!C8</f>
        <v>Oracle Newnan 2018, LP</v>
      </c>
      <c r="C5" s="3786"/>
      <c r="D5" s="3786"/>
      <c r="E5" s="3795"/>
      <c r="F5" s="3796"/>
      <c r="G5" s="3792" t="str">
        <f>'Closing term sheet'!C28</f>
        <v>McIntosh Woods</v>
      </c>
      <c r="H5" s="3793"/>
      <c r="I5" s="3794"/>
      <c r="K5" s="925"/>
    </row>
    <row r="6" spans="2:13" ht="4.5" customHeight="1">
      <c r="D6" s="2440"/>
      <c r="E6" s="2440"/>
      <c r="F6" s="2440"/>
      <c r="G6" s="2440"/>
      <c r="H6" s="2440"/>
      <c r="I6" s="2440"/>
      <c r="K6" s="925"/>
    </row>
    <row r="7" spans="2:13">
      <c r="B7" s="3778" t="s">
        <v>3269</v>
      </c>
      <c r="C7" s="3778"/>
      <c r="D7" s="2441"/>
      <c r="E7" s="2441"/>
      <c r="F7" s="2441"/>
      <c r="G7" s="2441"/>
      <c r="H7" s="3787" t="str">
        <f>'Preview term'!E9</f>
        <v>Pending</v>
      </c>
      <c r="I7" s="3788"/>
    </row>
    <row r="8" spans="2:13" ht="4.5" customHeight="1">
      <c r="B8" s="2441"/>
      <c r="C8" s="2441"/>
      <c r="D8" s="2441"/>
      <c r="E8" s="2441"/>
      <c r="F8" s="2441"/>
      <c r="G8" s="2441"/>
      <c r="H8" s="2441"/>
      <c r="I8" s="2441"/>
      <c r="J8" s="2441"/>
    </row>
    <row r="9" spans="2:13">
      <c r="B9" s="2442" t="s">
        <v>3270</v>
      </c>
      <c r="C9" s="2442"/>
      <c r="D9" s="2441"/>
      <c r="E9" s="982" t="s">
        <v>4335</v>
      </c>
      <c r="F9" s="2441"/>
      <c r="G9" s="2441"/>
      <c r="H9" s="2441"/>
      <c r="I9" s="2443" t="str">
        <f>'Closing term sheet'!D12</f>
        <v>&lt;&lt;Select&gt;&gt;</v>
      </c>
    </row>
    <row r="10" spans="2:13" ht="7.5" customHeight="1">
      <c r="B10" s="2441"/>
      <c r="C10" s="2441"/>
      <c r="D10" s="2441"/>
      <c r="E10" s="2441"/>
      <c r="F10" s="2441"/>
      <c r="G10" s="2441"/>
      <c r="H10" s="2441"/>
      <c r="I10" s="2441"/>
    </row>
    <row r="11" spans="2:13" ht="14.25">
      <c r="B11" s="2444" t="s">
        <v>4332</v>
      </c>
      <c r="C11" s="2441"/>
      <c r="D11" s="2445"/>
      <c r="E11" s="2441"/>
      <c r="F11" s="2441"/>
      <c r="G11" s="2441"/>
      <c r="H11" s="2441"/>
      <c r="I11" s="2441"/>
    </row>
    <row r="12" spans="2:13">
      <c r="B12" s="2446" t="s">
        <v>3271</v>
      </c>
      <c r="C12" s="2447"/>
      <c r="D12" s="2447"/>
      <c r="E12" s="2447"/>
      <c r="F12" s="2447"/>
      <c r="G12" s="2447"/>
      <c r="H12" s="2447"/>
      <c r="I12" s="2448" t="s">
        <v>3014</v>
      </c>
    </row>
    <row r="13" spans="2: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4336</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4337</v>
      </c>
      <c r="C19" s="2441"/>
      <c r="D19" s="2441"/>
      <c r="E19" s="2441"/>
      <c r="F19" s="2441"/>
      <c r="G19" s="2441"/>
      <c r="H19" s="2441"/>
      <c r="I19" s="2458"/>
    </row>
    <row r="20" spans="2:9" ht="7.5" customHeight="1">
      <c r="B20" s="2452"/>
      <c r="C20" s="2441"/>
      <c r="D20" s="2441"/>
      <c r="E20" s="2441"/>
      <c r="F20" s="2441"/>
      <c r="G20" s="2441"/>
      <c r="H20" s="2441"/>
      <c r="I20" s="2458"/>
    </row>
    <row r="21" spans="2:9">
      <c r="B21" s="2452" t="s">
        <v>4334</v>
      </c>
      <c r="C21" s="2441"/>
      <c r="D21" s="2441"/>
      <c r="E21" s="2441"/>
      <c r="F21" s="2441"/>
      <c r="G21" s="2441"/>
      <c r="H21" s="2441"/>
      <c r="I21" s="2453"/>
    </row>
    <row r="22" spans="2:9">
      <c r="B22" s="2457" t="s">
        <v>4338</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4339</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4341</v>
      </c>
    </row>
    <row r="34" spans="2:9" ht="3" customHeight="1">
      <c r="B34" s="2462"/>
      <c r="C34" s="2447"/>
      <c r="D34" s="2447"/>
      <c r="E34" s="2447"/>
      <c r="F34" s="2447"/>
      <c r="G34" s="2447"/>
      <c r="H34" s="2447"/>
      <c r="I34" s="2463"/>
    </row>
    <row r="35" spans="2:9">
      <c r="B35" s="2452" t="s">
        <v>4344</v>
      </c>
      <c r="C35" s="2441"/>
      <c r="D35" s="2441"/>
      <c r="F35" s="2467"/>
      <c r="H35" s="3797" t="s">
        <v>4353</v>
      </c>
      <c r="I35" s="3798"/>
    </row>
    <row r="36" spans="2:9">
      <c r="B36" s="2468" t="s">
        <v>4352</v>
      </c>
      <c r="C36" s="2466"/>
      <c r="D36" s="2466"/>
      <c r="E36" s="2441"/>
      <c r="F36" s="2469"/>
      <c r="G36" s="2470"/>
      <c r="H36" s="3797"/>
      <c r="I36" s="3798"/>
    </row>
    <row r="37" spans="2:9">
      <c r="B37" s="2468" t="s">
        <v>4350</v>
      </c>
      <c r="D37" s="2466"/>
      <c r="E37" s="2441"/>
      <c r="F37" s="2471"/>
      <c r="G37" s="2470"/>
      <c r="H37" s="3797"/>
      <c r="I37" s="3798"/>
    </row>
    <row r="38" spans="2:9">
      <c r="B38" s="2468" t="s">
        <v>4351</v>
      </c>
      <c r="D38" s="2441"/>
      <c r="E38" s="2441"/>
      <c r="F38" s="2471"/>
      <c r="G38" s="2470"/>
      <c r="H38" s="2470"/>
      <c r="I38" s="2472"/>
    </row>
    <row r="39" spans="2:9" ht="12.75" customHeight="1">
      <c r="B39" s="2468" t="s">
        <v>4349</v>
      </c>
      <c r="C39" s="2441"/>
      <c r="D39" s="2441"/>
      <c r="E39" s="2441"/>
      <c r="F39" s="2471"/>
      <c r="G39" s="2470"/>
      <c r="H39" s="2470"/>
      <c r="I39" s="2472"/>
    </row>
    <row r="40" spans="2:9">
      <c r="B40" s="2473" t="s">
        <v>4348</v>
      </c>
      <c r="C40" s="2474"/>
      <c r="D40" s="2475"/>
      <c r="E40" s="2476"/>
      <c r="F40" s="2471"/>
      <c r="G40" s="2476"/>
      <c r="H40" s="2453"/>
      <c r="I40" s="2451"/>
    </row>
    <row r="41" spans="2:9">
      <c r="B41" s="2473" t="s">
        <v>4347</v>
      </c>
      <c r="C41" s="2474"/>
      <c r="D41" s="2475"/>
      <c r="E41" s="2441"/>
      <c r="F41" s="2471"/>
      <c r="G41" s="2441"/>
      <c r="H41" s="2441"/>
      <c r="I41" s="2451"/>
    </row>
    <row r="42" spans="2:9">
      <c r="B42" s="2477" t="s">
        <v>4346</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4343</v>
      </c>
    </row>
    <row r="46" spans="2:9" ht="3" customHeight="1">
      <c r="B46" s="2462"/>
      <c r="C46" s="2447"/>
      <c r="D46" s="2447"/>
      <c r="E46" s="2447"/>
      <c r="F46" s="2447"/>
      <c r="G46" s="2447"/>
      <c r="H46" s="2447"/>
      <c r="I46" s="2463"/>
    </row>
    <row r="47" spans="2:9" ht="18">
      <c r="B47" s="2452" t="s">
        <v>4342</v>
      </c>
      <c r="C47" s="2441"/>
      <c r="D47" s="2479"/>
      <c r="E47" s="2480" t="str">
        <f>Overview!H7</f>
        <v>New Construction</v>
      </c>
      <c r="F47" s="949" t="s">
        <v>4354</v>
      </c>
      <c r="H47" s="2441"/>
      <c r="I47" s="2451"/>
    </row>
    <row r="48" spans="2:9">
      <c r="B48" s="2457" t="s">
        <v>3282</v>
      </c>
      <c r="C48" s="2466"/>
      <c r="D48" s="2466" t="s">
        <v>3283</v>
      </c>
      <c r="E48" s="2441"/>
      <c r="F48" s="3806">
        <f>'Closing term sheet'!$C$30</f>
        <v>0</v>
      </c>
      <c r="G48" s="3807"/>
      <c r="H48" s="3807"/>
      <c r="I48" s="3808"/>
    </row>
    <row r="49" spans="2:9">
      <c r="B49" s="2457" t="s">
        <v>3284</v>
      </c>
      <c r="D49" s="2466" t="s">
        <v>3285</v>
      </c>
      <c r="E49" s="2441"/>
      <c r="F49" s="3809"/>
      <c r="G49" s="3810"/>
      <c r="H49" s="3810"/>
      <c r="I49" s="3811"/>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4355</v>
      </c>
      <c r="C52" s="3774" t="str">
        <f>'Part I-Project Information'!F38</f>
        <v>Newnan</v>
      </c>
      <c r="D52" s="3775"/>
      <c r="E52" s="2485" t="s">
        <v>4356</v>
      </c>
      <c r="F52" s="2443" t="s">
        <v>856</v>
      </c>
      <c r="G52" s="2485" t="s">
        <v>4357</v>
      </c>
      <c r="H52" s="2486">
        <f>'Part I-Project Information'!J38</f>
        <v>302638600</v>
      </c>
      <c r="I52" s="2451"/>
    </row>
    <row r="53" spans="2:9">
      <c r="B53" s="2484" t="s">
        <v>4519</v>
      </c>
      <c r="D53" s="2487" t="e">
        <f>VLOOKUP("='Part I-Project Information'!$J$39",'DCA Underwriting Assumptions'!$G$155:$O$314,9)</f>
        <v>#N/A</v>
      </c>
      <c r="I53" s="2451"/>
    </row>
    <row r="54" spans="2:9">
      <c r="B54" s="2484" t="s">
        <v>4520</v>
      </c>
      <c r="D54" s="2441"/>
      <c r="E54" s="2441"/>
      <c r="F54" s="2441"/>
      <c r="G54" s="2441"/>
      <c r="I54" s="2451"/>
    </row>
    <row r="55" spans="2:9">
      <c r="B55" s="2477" t="s">
        <v>4521</v>
      </c>
      <c r="D55" s="2488">
        <f>'Closing term sheet'!$D$33</f>
        <v>96</v>
      </c>
      <c r="E55" s="2489"/>
      <c r="F55" s="982" t="s">
        <v>3287</v>
      </c>
      <c r="G55" s="2441"/>
      <c r="H55" s="2441"/>
      <c r="I55" s="2451"/>
    </row>
    <row r="56" spans="2:9">
      <c r="B56" s="2477" t="s">
        <v>4523</v>
      </c>
      <c r="D56" s="2490">
        <f>'Closing term sheet'!$D$62</f>
        <v>14700000</v>
      </c>
      <c r="E56" s="2491"/>
      <c r="F56" s="982" t="s">
        <v>3288</v>
      </c>
      <c r="G56" s="2441"/>
      <c r="H56" s="2441"/>
      <c r="I56" s="2451"/>
    </row>
    <row r="57" spans="2:9">
      <c r="B57" s="2468" t="s">
        <v>4522</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80" t="s">
        <v>3290</v>
      </c>
      <c r="C61" s="3781"/>
      <c r="D61" s="3781"/>
      <c r="E61" s="3781"/>
      <c r="F61" s="3781"/>
      <c r="G61" s="3781"/>
      <c r="H61" s="3781"/>
      <c r="I61" s="3782"/>
    </row>
    <row r="62" spans="2:9" ht="7.5" customHeight="1">
      <c r="B62" s="3776"/>
      <c r="C62" s="3777"/>
      <c r="D62" s="3777"/>
      <c r="E62" s="2441"/>
      <c r="F62" s="2441"/>
      <c r="G62" s="2493"/>
      <c r="H62" s="2441"/>
      <c r="I62" s="2451"/>
    </row>
    <row r="63" spans="2:9">
      <c r="B63" s="2494" t="s">
        <v>3292</v>
      </c>
      <c r="C63" s="2441"/>
      <c r="D63" s="2488">
        <v>4</v>
      </c>
      <c r="F63" s="2441"/>
      <c r="G63" s="3778" t="s">
        <v>3291</v>
      </c>
      <c r="H63" s="3778"/>
      <c r="I63" s="3779"/>
    </row>
    <row r="64" spans="2:9">
      <c r="B64" s="2449"/>
      <c r="C64" s="2466" t="s">
        <v>3295</v>
      </c>
      <c r="D64" s="2466" t="s">
        <v>3296</v>
      </c>
      <c r="F64" s="2441"/>
      <c r="G64" s="994" t="s">
        <v>3293</v>
      </c>
      <c r="H64" s="2441"/>
      <c r="I64" s="2495">
        <f>'Closing term sheet'!$D$35</f>
        <v>96</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80" t="s">
        <v>3303</v>
      </c>
      <c r="C81" s="3781"/>
      <c r="D81" s="3781"/>
      <c r="E81" s="3781"/>
      <c r="F81" s="3781"/>
      <c r="G81" s="3781"/>
      <c r="H81" s="3781"/>
      <c r="I81" s="3782"/>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802">
        <f>'Closing term sheet'!D62</f>
        <v>14700000</v>
      </c>
      <c r="G84" s="3802"/>
      <c r="H84" s="2441"/>
      <c r="I84" s="2451"/>
    </row>
    <row r="85" spans="2:9">
      <c r="B85" s="2449"/>
      <c r="C85" s="1002" t="s">
        <v>3306</v>
      </c>
      <c r="D85" s="2441"/>
      <c r="E85" s="2441"/>
      <c r="F85" s="3773" t="e">
        <f>'Part III-Sources of Funds'!I44+'Part III-Sources of Funds'!I45</f>
        <v>#N/A</v>
      </c>
      <c r="G85" s="3773"/>
      <c r="H85" s="2441"/>
      <c r="I85" s="2451"/>
    </row>
    <row r="86" spans="2:9">
      <c r="B86" s="2449"/>
      <c r="C86" s="1002" t="s">
        <v>3307</v>
      </c>
      <c r="D86" s="2441"/>
      <c r="E86" s="2441"/>
      <c r="F86" s="3772"/>
      <c r="G86" s="3772"/>
      <c r="H86" s="2441"/>
      <c r="I86" s="2451"/>
    </row>
    <row r="87" spans="2:9">
      <c r="B87" s="2449"/>
      <c r="C87" s="2466" t="s">
        <v>3308</v>
      </c>
      <c r="D87" s="2441"/>
      <c r="E87" s="2441"/>
      <c r="F87" s="3773">
        <v>11000</v>
      </c>
      <c r="G87" s="3773"/>
      <c r="H87" s="2441"/>
      <c r="I87" s="2451"/>
    </row>
    <row r="88" spans="2:9">
      <c r="B88" s="2449"/>
      <c r="C88" s="1002" t="s">
        <v>3309</v>
      </c>
      <c r="D88" s="2441"/>
      <c r="E88" s="2441"/>
      <c r="F88" s="3805"/>
      <c r="G88" s="3805"/>
      <c r="H88" s="2441"/>
      <c r="I88" s="2451"/>
    </row>
    <row r="89" spans="2:9">
      <c r="B89" s="2449"/>
      <c r="C89" s="982" t="s">
        <v>3310</v>
      </c>
      <c r="D89" s="2441"/>
      <c r="E89" s="2441"/>
      <c r="F89" s="3800" t="e">
        <f>SUM(F84:G88)</f>
        <v>#N/A</v>
      </c>
      <c r="G89" s="3800"/>
      <c r="H89" s="2441"/>
      <c r="I89" s="2451"/>
    </row>
    <row r="90" spans="2:9">
      <c r="B90" s="2449"/>
      <c r="C90" s="2441"/>
      <c r="D90" s="2441"/>
      <c r="E90" s="2441"/>
      <c r="F90" s="3801"/>
      <c r="G90" s="3801"/>
      <c r="H90" s="2441"/>
      <c r="I90" s="2451"/>
    </row>
    <row r="91" spans="2:9">
      <c r="B91" s="2452" t="s">
        <v>3311</v>
      </c>
      <c r="C91" s="2441"/>
      <c r="D91" s="2441"/>
      <c r="E91" s="2441"/>
      <c r="F91" s="2441"/>
      <c r="G91" s="2441"/>
      <c r="H91" s="2441"/>
      <c r="I91" s="2451"/>
    </row>
    <row r="92" spans="2:9">
      <c r="B92" s="2449"/>
      <c r="C92" s="1002" t="s">
        <v>3312</v>
      </c>
      <c r="D92" s="2441"/>
      <c r="E92" s="2441"/>
      <c r="F92" s="3802"/>
      <c r="G92" s="3802"/>
      <c r="H92" s="2441"/>
      <c r="I92" s="2451"/>
    </row>
    <row r="93" spans="2:9">
      <c r="B93" s="2449"/>
      <c r="C93" s="1002" t="s">
        <v>3313</v>
      </c>
      <c r="D93" s="2441"/>
      <c r="E93" s="2441"/>
      <c r="F93" s="3803"/>
      <c r="G93" s="3803"/>
      <c r="H93" s="2441"/>
      <c r="I93" s="2451"/>
    </row>
    <row r="94" spans="2:9">
      <c r="B94" s="2449"/>
      <c r="C94" s="1002" t="s">
        <v>3314</v>
      </c>
      <c r="D94" s="2441"/>
      <c r="E94" s="2441"/>
      <c r="F94" s="3804" t="s">
        <v>3188</v>
      </c>
      <c r="G94" s="3799"/>
      <c r="H94" s="2441"/>
      <c r="I94" s="2451"/>
    </row>
    <row r="95" spans="2:9">
      <c r="B95" s="2449"/>
      <c r="C95" s="982" t="s">
        <v>3315</v>
      </c>
      <c r="D95" s="2441"/>
      <c r="E95" s="2441"/>
      <c r="F95" s="3800">
        <f>+SUM(F92:G94)</f>
        <v>0</v>
      </c>
      <c r="G95" s="3800"/>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802"/>
      <c r="G98" s="3802"/>
      <c r="H98" s="2441"/>
      <c r="I98" s="2451"/>
    </row>
    <row r="99" spans="2:9">
      <c r="B99" s="2449"/>
      <c r="C99" s="1002" t="s">
        <v>3318</v>
      </c>
      <c r="D99" s="2441"/>
      <c r="E99" s="2441"/>
      <c r="F99" s="3803"/>
      <c r="G99" s="3803"/>
      <c r="H99" s="2441"/>
      <c r="I99" s="2451"/>
    </row>
    <row r="100" spans="2:9">
      <c r="B100" s="2449"/>
      <c r="C100" s="1002" t="s">
        <v>3319</v>
      </c>
      <c r="D100" s="2441"/>
      <c r="E100" s="2441"/>
      <c r="F100" s="3805"/>
      <c r="G100" s="3805"/>
      <c r="H100" s="2441"/>
      <c r="I100" s="2451"/>
    </row>
    <row r="101" spans="2:9">
      <c r="B101" s="2449"/>
      <c r="C101" s="982" t="s">
        <v>3320</v>
      </c>
      <c r="D101" s="2441"/>
      <c r="E101" s="2441"/>
      <c r="F101" s="3800">
        <f>+SUM(F98:G100)</f>
        <v>0</v>
      </c>
      <c r="G101" s="3800"/>
      <c r="H101" s="2441"/>
      <c r="I101" s="2451"/>
    </row>
    <row r="102" spans="2:9">
      <c r="B102" s="2449"/>
      <c r="C102" s="2441"/>
      <c r="D102" s="2441"/>
      <c r="E102" s="2441"/>
      <c r="F102" s="2441"/>
      <c r="G102" s="2441"/>
      <c r="H102" s="2441"/>
      <c r="I102" s="2451"/>
    </row>
    <row r="103" spans="2:9">
      <c r="B103" s="2494" t="s">
        <v>3321</v>
      </c>
      <c r="C103" s="1002"/>
      <c r="D103" s="2441"/>
      <c r="E103" s="2441"/>
      <c r="F103" s="3799">
        <f>'Part III-Sources of Funds'!I46+'Part III-Sources of Funds'!I47</f>
        <v>0</v>
      </c>
      <c r="G103" s="3799"/>
      <c r="H103" s="2441"/>
      <c r="I103" s="2451"/>
    </row>
    <row r="104" spans="2:9">
      <c r="B104" s="2449"/>
      <c r="C104" s="2441"/>
      <c r="D104" s="2441"/>
      <c r="E104" s="2441"/>
      <c r="F104" s="2441"/>
      <c r="G104" s="2441"/>
      <c r="H104" s="2441"/>
      <c r="I104" s="2499" t="s">
        <v>3322</v>
      </c>
    </row>
    <row r="105" spans="2:9">
      <c r="B105" s="2452" t="s">
        <v>3323</v>
      </c>
      <c r="C105" s="2441"/>
      <c r="D105" s="2441"/>
      <c r="E105" s="2441"/>
      <c r="F105" s="3799" t="e">
        <f>+F103+F101+F95+F89</f>
        <v>#N/A</v>
      </c>
      <c r="G105" s="3799"/>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5546875" defaultRowHeight="15.75"/>
  <cols>
    <col min="1" max="1" width="2.28515625" style="1342" customWidth="1"/>
    <col min="2" max="13" width="7.7109375" style="1342" customWidth="1"/>
    <col min="14" max="15" width="5.85546875" style="1342" customWidth="1"/>
    <col min="16" max="16384" width="8.855468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709</v>
      </c>
    </row>
    <row r="5" spans="1:26" ht="59.25" customHeight="1">
      <c r="A5" s="3813" t="s">
        <v>2768</v>
      </c>
      <c r="B5" s="3813"/>
      <c r="C5" s="3813"/>
      <c r="D5" s="3813"/>
      <c r="E5" s="3813"/>
      <c r="F5" s="3813"/>
      <c r="G5" s="3813"/>
      <c r="H5" s="3813"/>
      <c r="I5" s="3813"/>
      <c r="J5" s="3813"/>
      <c r="K5" s="3813"/>
      <c r="L5" s="3813"/>
      <c r="M5" s="3813"/>
    </row>
    <row r="6" spans="1:26" ht="11.45" customHeight="1">
      <c r="A6" s="1346"/>
      <c r="B6" s="1346"/>
      <c r="C6" s="1346"/>
      <c r="D6" s="1346"/>
      <c r="E6" s="1346"/>
      <c r="F6" s="1346"/>
      <c r="G6" s="1346"/>
      <c r="H6" s="1346"/>
      <c r="I6" s="1346"/>
      <c r="J6" s="1346"/>
      <c r="K6" s="1346"/>
      <c r="L6" s="1346"/>
      <c r="M6" s="1346"/>
    </row>
    <row r="7" spans="1:26" ht="16.5">
      <c r="A7" s="1346" t="s">
        <v>714</v>
      </c>
      <c r="B7" s="1346"/>
      <c r="C7" s="1346"/>
      <c r="D7" s="1346"/>
      <c r="E7" s="1346"/>
      <c r="F7" s="1346"/>
      <c r="G7" s="1346"/>
      <c r="H7" s="1346"/>
      <c r="I7" s="1346"/>
      <c r="J7" s="1346"/>
      <c r="K7" s="1346"/>
      <c r="L7" s="1346"/>
      <c r="M7" s="1346"/>
    </row>
    <row r="8" spans="1:26" ht="11.45" customHeight="1">
      <c r="A8" s="1346"/>
      <c r="B8" s="1346"/>
      <c r="C8" s="1346"/>
      <c r="D8" s="1346"/>
      <c r="E8" s="1346"/>
      <c r="F8" s="1346"/>
      <c r="G8" s="1346"/>
      <c r="H8" s="1346"/>
      <c r="I8" s="1346"/>
      <c r="J8" s="1346"/>
      <c r="K8" s="1346"/>
      <c r="L8" s="1346"/>
      <c r="M8" s="1346"/>
    </row>
    <row r="9" spans="1:26" ht="16.5">
      <c r="A9" s="3814" t="s">
        <v>1921</v>
      </c>
      <c r="B9" s="3814"/>
      <c r="C9" s="3814"/>
      <c r="D9" s="3814"/>
      <c r="E9" s="3814"/>
      <c r="F9" s="3814"/>
      <c r="G9" s="3814"/>
      <c r="H9" s="3814"/>
      <c r="I9" s="3814"/>
      <c r="J9" s="3814"/>
      <c r="K9" s="3814"/>
      <c r="L9" s="3814"/>
      <c r="M9" s="3814"/>
    </row>
    <row r="10" spans="1:26" ht="6.75" customHeight="1">
      <c r="A10" s="3814"/>
      <c r="B10" s="3814"/>
      <c r="C10" s="3814"/>
      <c r="D10" s="3814"/>
      <c r="E10" s="3814"/>
      <c r="F10" s="3814"/>
      <c r="G10" s="3814"/>
      <c r="H10" s="3814"/>
      <c r="I10" s="3814"/>
      <c r="J10" s="3814"/>
      <c r="K10" s="3814"/>
      <c r="L10" s="3814"/>
      <c r="M10" s="3814"/>
    </row>
    <row r="11" spans="1:26" ht="44.25" customHeight="1">
      <c r="A11" s="3815" t="s">
        <v>4135</v>
      </c>
      <c r="B11" s="3815"/>
      <c r="C11" s="3815"/>
      <c r="D11" s="3815"/>
      <c r="E11" s="3815"/>
      <c r="F11" s="3815"/>
      <c r="G11" s="3815"/>
      <c r="H11" s="3815"/>
      <c r="I11" s="3815"/>
      <c r="J11" s="3815"/>
      <c r="K11" s="3815"/>
      <c r="L11" s="3815"/>
      <c r="M11" s="3815"/>
    </row>
    <row r="12" spans="1:26" ht="3" customHeight="1">
      <c r="A12" s="3814"/>
      <c r="B12" s="3814"/>
      <c r="C12" s="3814"/>
      <c r="D12" s="3814"/>
      <c r="E12" s="3814"/>
      <c r="F12" s="3814"/>
      <c r="G12" s="3814"/>
      <c r="H12" s="3814"/>
      <c r="I12" s="3814"/>
      <c r="J12" s="3814"/>
      <c r="K12" s="3814"/>
      <c r="L12" s="3814"/>
      <c r="M12" s="3814"/>
    </row>
    <row r="13" spans="1:26" ht="96" customHeight="1">
      <c r="A13" s="1348" t="s">
        <v>1750</v>
      </c>
      <c r="B13" s="3816" t="s">
        <v>3705</v>
      </c>
      <c r="C13" s="3816"/>
      <c r="D13" s="3816"/>
      <c r="E13" s="3816"/>
      <c r="F13" s="3816"/>
      <c r="G13" s="3816"/>
      <c r="H13" s="3816"/>
      <c r="I13" s="3816"/>
      <c r="J13" s="3816"/>
      <c r="K13" s="3816"/>
      <c r="L13" s="3816"/>
      <c r="M13" s="3816"/>
    </row>
    <row r="14" spans="1:26" ht="47.25" customHeight="1">
      <c r="A14" s="1348" t="s">
        <v>1751</v>
      </c>
      <c r="B14" s="3816" t="s">
        <v>3706</v>
      </c>
      <c r="C14" s="3816"/>
      <c r="D14" s="3816"/>
      <c r="E14" s="3816"/>
      <c r="F14" s="3816"/>
      <c r="G14" s="3816"/>
      <c r="H14" s="3816"/>
      <c r="I14" s="3816"/>
      <c r="J14" s="3816"/>
      <c r="K14" s="3816"/>
      <c r="L14" s="3816"/>
      <c r="M14" s="3816"/>
    </row>
    <row r="15" spans="1:26" ht="117" customHeight="1">
      <c r="A15" s="1348" t="s">
        <v>1752</v>
      </c>
      <c r="B15" s="3816" t="s">
        <v>3707</v>
      </c>
      <c r="C15" s="3816"/>
      <c r="D15" s="3816"/>
      <c r="E15" s="3816"/>
      <c r="F15" s="3816"/>
      <c r="G15" s="3816"/>
      <c r="H15" s="3816"/>
      <c r="I15" s="3816"/>
      <c r="J15" s="3816"/>
      <c r="K15" s="3816"/>
      <c r="L15" s="3816"/>
      <c r="M15" s="3816"/>
    </row>
    <row r="16" spans="1:26" ht="147" customHeight="1">
      <c r="A16" s="1348" t="s">
        <v>2381</v>
      </c>
      <c r="B16" s="3816" t="s">
        <v>3480</v>
      </c>
      <c r="C16" s="3816"/>
      <c r="D16" s="3816"/>
      <c r="E16" s="3816"/>
      <c r="F16" s="3816"/>
      <c r="G16" s="3816"/>
      <c r="H16" s="3816"/>
      <c r="I16" s="3816"/>
      <c r="J16" s="3816"/>
      <c r="K16" s="3816"/>
      <c r="L16" s="3816"/>
      <c r="M16" s="3816"/>
    </row>
    <row r="17" spans="1:13" ht="48.75" customHeight="1">
      <c r="A17" s="1348" t="s">
        <v>1561</v>
      </c>
      <c r="B17" s="3816" t="s">
        <v>689</v>
      </c>
      <c r="C17" s="3816"/>
      <c r="D17" s="3816"/>
      <c r="E17" s="3816"/>
      <c r="F17" s="3816"/>
      <c r="G17" s="3816"/>
      <c r="H17" s="3816"/>
      <c r="I17" s="3816"/>
      <c r="J17" s="3816"/>
      <c r="K17" s="3816"/>
      <c r="L17" s="3816"/>
      <c r="M17" s="3816"/>
    </row>
    <row r="18" spans="1:13" ht="165" customHeight="1">
      <c r="A18" s="1348" t="s">
        <v>1562</v>
      </c>
      <c r="B18" s="3816" t="s">
        <v>3479</v>
      </c>
      <c r="C18" s="3816"/>
      <c r="D18" s="3816"/>
      <c r="E18" s="3816"/>
      <c r="F18" s="3816"/>
      <c r="G18" s="3816"/>
      <c r="H18" s="3816"/>
      <c r="I18" s="3816"/>
      <c r="J18" s="3816"/>
      <c r="K18" s="3816"/>
      <c r="L18" s="3816"/>
      <c r="M18" s="3816"/>
    </row>
    <row r="19" spans="1:13" ht="48.75" customHeight="1">
      <c r="A19" s="1348" t="s">
        <v>99</v>
      </c>
      <c r="B19" s="3812" t="s">
        <v>3708</v>
      </c>
      <c r="C19" s="3812"/>
      <c r="D19" s="3812"/>
      <c r="E19" s="3812"/>
      <c r="F19" s="3812"/>
      <c r="G19" s="3812"/>
      <c r="H19" s="3812"/>
      <c r="I19" s="3812"/>
      <c r="J19" s="3812"/>
      <c r="K19" s="3812"/>
      <c r="L19" s="3812"/>
      <c r="M19" s="3812"/>
    </row>
    <row r="20" spans="1:13" ht="50.25" customHeight="1">
      <c r="A20" s="1348" t="s">
        <v>516</v>
      </c>
      <c r="B20" s="3816" t="s">
        <v>3482</v>
      </c>
      <c r="C20" s="3816"/>
      <c r="D20" s="3816"/>
      <c r="E20" s="3816"/>
      <c r="F20" s="3816"/>
      <c r="G20" s="3816"/>
      <c r="H20" s="3816"/>
      <c r="I20" s="3816"/>
      <c r="J20" s="3816"/>
      <c r="K20" s="3816"/>
      <c r="L20" s="3816"/>
      <c r="M20" s="3816"/>
    </row>
    <row r="21" spans="1:13" ht="31.5" customHeight="1">
      <c r="A21" s="1348" t="s">
        <v>517</v>
      </c>
      <c r="B21" s="3816" t="s">
        <v>3511</v>
      </c>
      <c r="C21" s="3816"/>
      <c r="D21" s="3816"/>
      <c r="E21" s="3816"/>
      <c r="F21" s="3816"/>
      <c r="G21" s="3816"/>
      <c r="H21" s="3816"/>
      <c r="I21" s="3816"/>
      <c r="J21" s="3816"/>
      <c r="K21" s="3816"/>
      <c r="L21" s="3816"/>
      <c r="M21" s="3816"/>
    </row>
    <row r="22" spans="1:13" ht="1.5" customHeight="1">
      <c r="A22" s="3814"/>
      <c r="B22" s="3814"/>
      <c r="C22" s="3814"/>
      <c r="D22" s="3814"/>
      <c r="E22" s="3814"/>
      <c r="F22" s="3814"/>
      <c r="G22" s="3814"/>
      <c r="H22" s="3814"/>
      <c r="I22" s="3814"/>
      <c r="J22" s="3814"/>
      <c r="K22" s="3814"/>
      <c r="L22" s="3814"/>
      <c r="M22" s="3814"/>
    </row>
    <row r="23" spans="1:13" ht="3" customHeight="1">
      <c r="A23" s="3814"/>
      <c r="B23" s="3814"/>
      <c r="C23" s="3814"/>
      <c r="D23" s="3814"/>
      <c r="E23" s="3814"/>
      <c r="F23" s="3814"/>
      <c r="G23" s="3814"/>
      <c r="H23" s="3814"/>
      <c r="I23" s="3814"/>
      <c r="J23" s="3814"/>
      <c r="K23" s="3814"/>
      <c r="L23" s="3814"/>
      <c r="M23" s="3814"/>
    </row>
    <row r="24" spans="1:13" ht="13.5" customHeight="1">
      <c r="A24" s="3814" t="s">
        <v>1477</v>
      </c>
      <c r="B24" s="3814"/>
      <c r="C24" s="3814"/>
      <c r="D24" s="3814"/>
      <c r="E24" s="3814"/>
      <c r="F24" s="3814"/>
      <c r="G24" s="3814"/>
      <c r="H24" s="3814"/>
      <c r="I24" s="3814"/>
      <c r="J24" s="3814"/>
      <c r="K24" s="3814"/>
      <c r="L24" s="3814"/>
      <c r="M24" s="3814"/>
    </row>
    <row r="25" spans="1:13" ht="32.25" customHeight="1">
      <c r="A25" s="1348" t="s">
        <v>1478</v>
      </c>
      <c r="B25" s="3816" t="s">
        <v>3512</v>
      </c>
      <c r="C25" s="3816"/>
      <c r="D25" s="3816"/>
      <c r="E25" s="3816"/>
      <c r="F25" s="3816"/>
      <c r="G25" s="3816"/>
      <c r="H25" s="3816"/>
      <c r="I25" s="3816"/>
      <c r="J25" s="3816"/>
      <c r="K25" s="3816"/>
      <c r="L25" s="3816"/>
      <c r="M25" s="3816"/>
    </row>
    <row r="26" spans="1:13" ht="31.5" customHeight="1">
      <c r="A26" s="1348" t="s">
        <v>1478</v>
      </c>
      <c r="B26" s="3816" t="s">
        <v>3513</v>
      </c>
      <c r="C26" s="3816"/>
      <c r="D26" s="3816"/>
      <c r="E26" s="3816"/>
      <c r="F26" s="3816"/>
      <c r="G26" s="3816"/>
      <c r="H26" s="3816"/>
      <c r="I26" s="3816"/>
      <c r="J26" s="3816"/>
      <c r="K26" s="3816"/>
      <c r="L26" s="3816"/>
      <c r="M26" s="3816"/>
    </row>
    <row r="27" spans="1:13" ht="78.75" customHeight="1">
      <c r="A27" s="1348" t="s">
        <v>1478</v>
      </c>
      <c r="B27" s="3816" t="s">
        <v>2769</v>
      </c>
      <c r="C27" s="3816"/>
      <c r="D27" s="3816"/>
      <c r="E27" s="3816"/>
      <c r="F27" s="3816"/>
      <c r="G27" s="3816"/>
      <c r="H27" s="3816"/>
      <c r="I27" s="3816"/>
      <c r="J27" s="3816"/>
      <c r="K27" s="3816"/>
      <c r="L27" s="3816"/>
      <c r="M27" s="3816"/>
    </row>
    <row r="28" spans="1:13" ht="7.5" customHeight="1">
      <c r="A28" s="3814"/>
      <c r="B28" s="3814"/>
      <c r="C28" s="3814"/>
      <c r="D28" s="3814"/>
      <c r="E28" s="3814"/>
      <c r="F28" s="3814"/>
      <c r="G28" s="3814"/>
      <c r="H28" s="3814"/>
      <c r="I28" s="3814"/>
      <c r="J28" s="3814"/>
      <c r="K28" s="3814"/>
      <c r="L28" s="3814"/>
      <c r="M28" s="3814"/>
    </row>
    <row r="29" spans="1:13" ht="43.5" customHeight="1">
      <c r="A29" s="3816" t="s">
        <v>955</v>
      </c>
      <c r="B29" s="3816"/>
      <c r="C29" s="3816"/>
      <c r="D29" s="3816"/>
      <c r="E29" s="3816"/>
      <c r="F29" s="3816"/>
      <c r="G29" s="3816"/>
      <c r="H29" s="3816"/>
      <c r="I29" s="3816"/>
      <c r="J29" s="3816"/>
      <c r="K29" s="3816"/>
      <c r="L29" s="3816"/>
      <c r="M29" s="3816"/>
    </row>
    <row r="30" spans="1:13" ht="3" customHeight="1">
      <c r="A30" s="3814"/>
      <c r="B30" s="3814"/>
      <c r="C30" s="3814"/>
      <c r="D30" s="3814"/>
      <c r="E30" s="3814"/>
      <c r="F30" s="3814"/>
      <c r="G30" s="3814"/>
      <c r="H30" s="3814"/>
      <c r="I30" s="3814"/>
      <c r="J30" s="3814"/>
      <c r="K30" s="3814"/>
      <c r="L30" s="3814"/>
      <c r="M30" s="3814"/>
    </row>
    <row r="31" spans="1:13" ht="32.25" customHeight="1">
      <c r="A31" s="3816" t="s">
        <v>2770</v>
      </c>
      <c r="B31" s="3816"/>
      <c r="C31" s="3816"/>
      <c r="D31" s="3816"/>
      <c r="E31" s="3816"/>
      <c r="F31" s="3816"/>
      <c r="G31" s="3816"/>
      <c r="H31" s="3816"/>
      <c r="I31" s="3816"/>
      <c r="J31" s="3816"/>
      <c r="K31" s="3816"/>
      <c r="L31" s="3816"/>
      <c r="M31" s="3816"/>
    </row>
    <row r="32" spans="1:13" ht="4.5" customHeight="1">
      <c r="A32" s="3814"/>
      <c r="B32" s="3814"/>
      <c r="C32" s="3814"/>
      <c r="D32" s="3814"/>
      <c r="E32" s="3814"/>
      <c r="F32" s="3814"/>
      <c r="G32" s="3814"/>
      <c r="H32" s="3814"/>
      <c r="I32" s="3814"/>
      <c r="J32" s="3814"/>
      <c r="K32" s="3814"/>
      <c r="L32" s="3814"/>
      <c r="M32" s="3814"/>
    </row>
    <row r="33" spans="1:13" ht="16.5">
      <c r="A33" s="3814" t="s">
        <v>931</v>
      </c>
      <c r="B33" s="3814"/>
      <c r="C33" s="3814"/>
      <c r="D33" s="3814"/>
      <c r="E33" s="3814"/>
      <c r="F33" s="3814"/>
      <c r="G33" s="3814"/>
      <c r="H33" s="3814"/>
      <c r="I33" s="3814"/>
      <c r="J33" s="3814"/>
      <c r="K33" s="3814"/>
      <c r="L33" s="3814"/>
      <c r="M33" s="3814"/>
    </row>
    <row r="34" spans="1:13" ht="6" customHeight="1">
      <c r="A34" s="1389"/>
      <c r="B34" s="1389"/>
      <c r="C34" s="1389"/>
      <c r="D34" s="1389"/>
      <c r="E34" s="1389"/>
      <c r="F34" s="1389"/>
      <c r="G34" s="1389"/>
      <c r="H34" s="1389"/>
      <c r="I34" s="1389"/>
      <c r="J34" s="1389"/>
      <c r="K34" s="1389"/>
      <c r="L34" s="1389"/>
      <c r="M34" s="1389"/>
    </row>
    <row r="35" spans="1:13" ht="16.5">
      <c r="A35" s="3817"/>
      <c r="B35" s="3817"/>
      <c r="C35" s="3817"/>
      <c r="D35" s="3817"/>
      <c r="E35" s="3817"/>
      <c r="F35" s="3817"/>
      <c r="G35" s="1349"/>
      <c r="H35" s="3817"/>
      <c r="I35" s="3817"/>
      <c r="J35" s="3817"/>
      <c r="K35" s="3817"/>
      <c r="L35" s="3817"/>
      <c r="M35" s="3817"/>
    </row>
    <row r="36" spans="1:13" ht="12" customHeight="1">
      <c r="A36" s="3818" t="s">
        <v>932</v>
      </c>
      <c r="B36" s="3818"/>
      <c r="C36" s="3818"/>
      <c r="D36" s="3818"/>
      <c r="E36" s="3818"/>
      <c r="F36" s="3818"/>
      <c r="G36" s="1349"/>
      <c r="H36" s="3818" t="s">
        <v>1996</v>
      </c>
      <c r="I36" s="3818"/>
      <c r="J36" s="3818"/>
      <c r="K36" s="3818"/>
      <c r="L36" s="3818"/>
      <c r="M36" s="3818"/>
    </row>
    <row r="37" spans="1:13" ht="6" customHeight="1">
      <c r="A37" s="1349"/>
      <c r="B37" s="1349"/>
      <c r="C37" s="1349"/>
      <c r="D37" s="1349"/>
      <c r="E37" s="1349"/>
      <c r="F37" s="1349"/>
      <c r="G37" s="1349"/>
      <c r="H37" s="1349"/>
      <c r="I37" s="1349"/>
      <c r="J37" s="1349"/>
      <c r="K37" s="1349"/>
      <c r="L37" s="1349"/>
      <c r="M37" s="1349"/>
    </row>
    <row r="38" spans="1:13" ht="16.5">
      <c r="A38" s="3819"/>
      <c r="B38" s="3819"/>
      <c r="C38" s="3819"/>
      <c r="D38" s="3819"/>
      <c r="E38" s="3819"/>
      <c r="F38" s="3819"/>
      <c r="G38" s="1349"/>
      <c r="H38" s="3820"/>
      <c r="I38" s="3820"/>
      <c r="J38" s="3820"/>
      <c r="K38" s="3820"/>
      <c r="L38" s="3820"/>
      <c r="M38" s="3820"/>
    </row>
    <row r="39" spans="1:13" ht="12" customHeight="1">
      <c r="A39" s="3818" t="s">
        <v>933</v>
      </c>
      <c r="B39" s="3818"/>
      <c r="C39" s="3818"/>
      <c r="D39" s="3818"/>
      <c r="E39" s="3818"/>
      <c r="F39" s="3818"/>
      <c r="G39" s="1349"/>
      <c r="H39" s="3818" t="s">
        <v>934</v>
      </c>
      <c r="I39" s="3818"/>
      <c r="J39" s="3818"/>
      <c r="K39" s="3818"/>
      <c r="L39" s="3818"/>
      <c r="M39" s="3818"/>
    </row>
    <row r="40" spans="1:13" ht="3" customHeight="1">
      <c r="A40" s="1350"/>
      <c r="B40" s="1350"/>
      <c r="C40" s="1350"/>
      <c r="D40" s="1350"/>
      <c r="E40" s="1350"/>
      <c r="F40" s="1350"/>
      <c r="G40" s="1349"/>
      <c r="H40" s="1350"/>
      <c r="I40" s="1350"/>
      <c r="J40" s="1350"/>
      <c r="K40" s="1350"/>
      <c r="L40" s="1350"/>
      <c r="M40" s="1350"/>
    </row>
    <row r="41" spans="1:13" ht="11.45" customHeight="1">
      <c r="A41" s="1346"/>
      <c r="B41" s="1346"/>
      <c r="C41" s="1346"/>
      <c r="D41" s="1346"/>
      <c r="E41" s="1346"/>
      <c r="F41" s="1346"/>
      <c r="G41" s="1346"/>
      <c r="H41" s="3821" t="s">
        <v>935</v>
      </c>
      <c r="I41" s="3821"/>
      <c r="J41" s="3821"/>
      <c r="K41" s="3821"/>
      <c r="L41" s="3821"/>
      <c r="M41" s="3821"/>
    </row>
    <row r="42" spans="1:13" ht="11.45" customHeight="1">
      <c r="A42" s="1346"/>
      <c r="B42" s="1346"/>
      <c r="C42" s="1346"/>
      <c r="D42" s="1346"/>
      <c r="E42" s="1346"/>
      <c r="F42" s="1346"/>
      <c r="G42" s="1346"/>
    </row>
    <row r="43" spans="1:13" ht="11.45" customHeight="1">
      <c r="A43" s="1346"/>
      <c r="B43" s="1346"/>
      <c r="C43" s="1346"/>
      <c r="D43" s="1346"/>
      <c r="E43" s="1346"/>
      <c r="F43" s="1346"/>
      <c r="G43" s="1346"/>
      <c r="H43" s="1346"/>
      <c r="I43" s="1346"/>
      <c r="J43" s="1346"/>
      <c r="K43" s="1346"/>
      <c r="L43" s="1346"/>
      <c r="M43" s="1346"/>
    </row>
    <row r="44" spans="1:13" ht="11.45" customHeight="1">
      <c r="A44" s="1346"/>
      <c r="B44" s="1346"/>
      <c r="C44" s="1346"/>
      <c r="D44" s="1346"/>
      <c r="E44" s="1346"/>
      <c r="F44" s="1346"/>
      <c r="G44" s="1346"/>
      <c r="H44" s="1346"/>
      <c r="I44" s="1346"/>
      <c r="J44" s="1346"/>
      <c r="K44" s="1346"/>
      <c r="L44" s="1346"/>
      <c r="M44" s="134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25" t="s">
        <v>729</v>
      </c>
      <c r="B2" s="3826"/>
      <c r="C2" s="3826"/>
      <c r="D2" s="3826"/>
      <c r="E2" s="3826"/>
      <c r="F2" s="3826"/>
      <c r="G2" s="3826"/>
      <c r="H2" s="3826"/>
      <c r="I2" s="3826"/>
      <c r="J2" s="3826"/>
      <c r="K2" s="3826"/>
      <c r="L2" s="3826"/>
      <c r="M2" s="3826"/>
      <c r="N2" s="3826"/>
      <c r="O2" s="3826"/>
      <c r="P2" s="3826"/>
      <c r="Q2" s="3826"/>
      <c r="R2" s="3827"/>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2803</v>
      </c>
      <c r="M6" s="202"/>
      <c r="N6" s="202"/>
      <c r="O6" s="202"/>
      <c r="P6" s="199"/>
      <c r="Q6" s="1391" t="s">
        <v>1746</v>
      </c>
      <c r="R6" s="1391">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2805</v>
      </c>
      <c r="M7" s="202"/>
      <c r="N7" s="202"/>
      <c r="O7" s="202"/>
      <c r="P7" s="199"/>
      <c r="Q7" s="1402" t="s">
        <v>1746</v>
      </c>
      <c r="R7" s="798">
        <v>850000</v>
      </c>
      <c r="S7" s="199"/>
      <c r="U7" s="199"/>
      <c r="V7" s="1157"/>
      <c r="W7" s="1157"/>
      <c r="X7" s="203"/>
      <c r="AA7" s="622"/>
      <c r="AB7" s="622"/>
    </row>
    <row r="8" spans="1:28" s="321" customFormat="1" ht="11.45" customHeight="1">
      <c r="F8" s="202"/>
      <c r="G8" s="202"/>
      <c r="H8" s="199"/>
      <c r="I8" s="199"/>
      <c r="J8" s="202"/>
      <c r="L8" s="202" t="s">
        <v>2865</v>
      </c>
      <c r="M8" s="202"/>
      <c r="N8" s="202"/>
      <c r="O8" s="202"/>
      <c r="P8" s="199"/>
      <c r="Q8" s="1391" t="s">
        <v>1746</v>
      </c>
      <c r="R8" s="1391">
        <v>1200000</v>
      </c>
      <c r="S8" s="199"/>
      <c r="T8" s="199"/>
      <c r="U8" s="199"/>
      <c r="V8" s="1157"/>
      <c r="W8" s="1157"/>
      <c r="X8" s="203"/>
      <c r="AA8" s="622"/>
      <c r="AB8" s="622"/>
    </row>
    <row r="9" spans="1:28" s="321" customFormat="1" ht="11.45"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45"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45"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45" customHeight="1">
      <c r="A12" s="202"/>
      <c r="B12" s="202"/>
      <c r="C12" s="202"/>
      <c r="D12" s="199"/>
      <c r="E12" s="199"/>
      <c r="F12" s="202" t="s">
        <v>3656</v>
      </c>
      <c r="G12" s="202"/>
      <c r="H12" s="199"/>
      <c r="I12" s="199"/>
      <c r="J12" s="696" t="s">
        <v>3657</v>
      </c>
      <c r="K12" s="331"/>
      <c r="M12" s="331"/>
      <c r="N12" s="331"/>
      <c r="O12" s="202"/>
      <c r="Q12" s="329"/>
      <c r="R12" s="329"/>
      <c r="S12" s="342"/>
      <c r="T12" s="199"/>
      <c r="U12" s="199"/>
      <c r="V12" s="1228"/>
      <c r="W12" s="1228"/>
      <c r="X12" s="1228"/>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5" customHeight="1">
      <c r="A14" s="202"/>
      <c r="B14" s="202"/>
      <c r="C14" s="202"/>
      <c r="D14" s="199"/>
      <c r="E14" s="199"/>
      <c r="F14" s="3828" t="s">
        <v>3381</v>
      </c>
      <c r="G14" s="3829"/>
      <c r="H14" s="3829"/>
      <c r="I14" s="3829"/>
      <c r="J14" s="3830"/>
      <c r="K14" s="331"/>
      <c r="L14" s="697" t="s">
        <v>3605</v>
      </c>
      <c r="M14" s="331"/>
      <c r="N14" s="3828" t="s">
        <v>3381</v>
      </c>
      <c r="O14" s="3829"/>
      <c r="P14" s="3829"/>
      <c r="Q14" s="3829"/>
      <c r="R14" s="3830"/>
      <c r="S14" s="342"/>
      <c r="T14" s="199"/>
      <c r="U14" s="199"/>
      <c r="V14" s="1228"/>
      <c r="W14" s="1228"/>
      <c r="X14" s="1228"/>
      <c r="AA14" s="622"/>
      <c r="AB14" s="622"/>
    </row>
    <row r="15" spans="1:28" s="321" customFormat="1" ht="11.45" customHeight="1">
      <c r="A15" s="202"/>
      <c r="D15" s="698" t="s">
        <v>2630</v>
      </c>
      <c r="E15" s="698" t="s">
        <v>1308</v>
      </c>
      <c r="F15" s="699">
        <v>0</v>
      </c>
      <c r="G15" s="700">
        <v>1</v>
      </c>
      <c r="H15" s="1387">
        <v>2</v>
      </c>
      <c r="I15" s="1387">
        <v>3</v>
      </c>
      <c r="J15" s="701" t="s">
        <v>3378</v>
      </c>
      <c r="L15" s="698" t="s">
        <v>2630</v>
      </c>
      <c r="M15" s="698" t="s">
        <v>1308</v>
      </c>
      <c r="N15" s="699">
        <v>0</v>
      </c>
      <c r="O15" s="700">
        <v>1</v>
      </c>
      <c r="P15" s="1387">
        <v>2</v>
      </c>
      <c r="Q15" s="1387">
        <v>3</v>
      </c>
      <c r="R15" s="701" t="s">
        <v>3378</v>
      </c>
      <c r="S15" s="342"/>
      <c r="T15" s="199"/>
      <c r="U15" s="199"/>
      <c r="V15" s="1228"/>
      <c r="W15" s="1228"/>
      <c r="X15" s="1228"/>
      <c r="AA15" s="622"/>
      <c r="AB15" s="622"/>
    </row>
    <row r="16" spans="1:28" s="321" customFormat="1" ht="11.45" customHeight="1">
      <c r="A16" s="202"/>
      <c r="C16" s="367"/>
      <c r="D16" s="1249" t="s">
        <v>1795</v>
      </c>
      <c r="E16" s="1249" t="s">
        <v>3380</v>
      </c>
      <c r="F16" s="1250">
        <v>129802</v>
      </c>
      <c r="G16" s="1250">
        <v>169579</v>
      </c>
      <c r="H16" s="1250">
        <v>205492</v>
      </c>
      <c r="I16" s="1250">
        <v>250678</v>
      </c>
      <c r="J16" s="1250">
        <v>294766</v>
      </c>
      <c r="L16" s="342" t="s">
        <v>1795</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45" customHeight="1">
      <c r="A17" s="202"/>
      <c r="C17" s="367"/>
      <c r="D17" s="1249" t="s">
        <v>1795</v>
      </c>
      <c r="E17" s="1249" t="s">
        <v>3377</v>
      </c>
      <c r="F17" s="1250">
        <v>105598</v>
      </c>
      <c r="G17" s="1250">
        <v>147837</v>
      </c>
      <c r="H17" s="1250">
        <v>190077</v>
      </c>
      <c r="I17" s="1250">
        <v>253436</v>
      </c>
      <c r="J17" s="1250">
        <v>316794</v>
      </c>
      <c r="L17" s="342" t="s">
        <v>1795</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45" customHeight="1">
      <c r="A18" s="202"/>
      <c r="C18" s="367"/>
      <c r="D18" s="1249" t="s">
        <v>1795</v>
      </c>
      <c r="E18" s="1249" t="s">
        <v>3375</v>
      </c>
      <c r="F18" s="1250">
        <v>119585</v>
      </c>
      <c r="G18" s="1250">
        <v>156306</v>
      </c>
      <c r="H18" s="1250">
        <v>189734</v>
      </c>
      <c r="I18" s="1250">
        <v>232306</v>
      </c>
      <c r="J18" s="1250">
        <v>275312</v>
      </c>
      <c r="L18" s="342" t="s">
        <v>1795</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45" customHeight="1">
      <c r="A19" s="202"/>
      <c r="C19" s="367"/>
      <c r="D19" s="1249" t="s">
        <v>1795</v>
      </c>
      <c r="E19" s="1249" t="s">
        <v>3376</v>
      </c>
      <c r="F19" s="1250">
        <v>104164</v>
      </c>
      <c r="G19" s="1250">
        <v>144030</v>
      </c>
      <c r="H19" s="1250">
        <v>182870</v>
      </c>
      <c r="I19" s="1250">
        <v>239197</v>
      </c>
      <c r="J19" s="1250">
        <v>298135</v>
      </c>
      <c r="L19" s="342" t="s">
        <v>1795</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45"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45"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45"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45"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45" customHeight="1">
      <c r="A24" s="202"/>
      <c r="C24" s="367"/>
      <c r="D24" s="1238" t="s">
        <v>1217</v>
      </c>
      <c r="E24" s="1238" t="s">
        <v>3380</v>
      </c>
      <c r="F24" s="1239">
        <v>140378</v>
      </c>
      <c r="G24" s="1239">
        <v>183548</v>
      </c>
      <c r="H24" s="1239">
        <v>222560</v>
      </c>
      <c r="I24" s="1239">
        <v>271753</v>
      </c>
      <c r="J24" s="1239">
        <v>319636</v>
      </c>
      <c r="L24" s="696" t="s">
        <v>1217</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45" customHeight="1">
      <c r="A25" s="202"/>
      <c r="C25" s="367"/>
      <c r="D25" s="1238" t="s">
        <v>1217</v>
      </c>
      <c r="E25" s="1238" t="s">
        <v>3377</v>
      </c>
      <c r="F25" s="1239">
        <v>114378</v>
      </c>
      <c r="G25" s="1239">
        <v>160129</v>
      </c>
      <c r="H25" s="1239">
        <v>205881</v>
      </c>
      <c r="I25" s="1239">
        <v>274508</v>
      </c>
      <c r="J25" s="1239">
        <v>343134</v>
      </c>
      <c r="L25" s="696" t="s">
        <v>1217</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45" customHeight="1">
      <c r="A26" s="202"/>
      <c r="C26" s="367"/>
      <c r="D26" s="1238" t="s">
        <v>1217</v>
      </c>
      <c r="E26" s="1238" t="s">
        <v>3375</v>
      </c>
      <c r="F26" s="1239">
        <v>129053</v>
      </c>
      <c r="G26" s="1239">
        <v>168837</v>
      </c>
      <c r="H26" s="1239">
        <v>205093</v>
      </c>
      <c r="I26" s="1239">
        <v>251390</v>
      </c>
      <c r="J26" s="1239">
        <v>298072</v>
      </c>
      <c r="L26" s="696" t="s">
        <v>1217</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45" customHeight="1">
      <c r="A27" s="202"/>
      <c r="C27" s="367"/>
      <c r="D27" s="1238" t="s">
        <v>1217</v>
      </c>
      <c r="E27" s="1238" t="s">
        <v>3376</v>
      </c>
      <c r="F27" s="1239">
        <v>112110</v>
      </c>
      <c r="G27" s="1239">
        <v>154960</v>
      </c>
      <c r="H27" s="1239">
        <v>196671</v>
      </c>
      <c r="I27" s="1239">
        <v>257098</v>
      </c>
      <c r="J27" s="1239">
        <v>320417</v>
      </c>
      <c r="L27" s="696" t="s">
        <v>1217</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45" customHeight="1">
      <c r="A28" s="202"/>
      <c r="C28" s="367"/>
      <c r="D28" s="1242" t="s">
        <v>1342</v>
      </c>
      <c r="E28" s="1242" t="s">
        <v>3380</v>
      </c>
      <c r="F28" s="1243">
        <v>132505</v>
      </c>
      <c r="G28" s="1243">
        <v>172926</v>
      </c>
      <c r="H28" s="1243">
        <v>209377</v>
      </c>
      <c r="I28" s="1243">
        <v>255107</v>
      </c>
      <c r="J28" s="1243">
        <v>299867</v>
      </c>
      <c r="L28" s="696" t="s">
        <v>1342</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45" customHeight="1">
      <c r="A29" s="202"/>
      <c r="C29" s="367"/>
      <c r="D29" s="1242" t="s">
        <v>1342</v>
      </c>
      <c r="E29" s="1242" t="s">
        <v>3377</v>
      </c>
      <c r="F29" s="1243">
        <v>107584</v>
      </c>
      <c r="G29" s="1243">
        <v>150617</v>
      </c>
      <c r="H29" s="1243">
        <v>193650</v>
      </c>
      <c r="I29" s="1243">
        <v>258201</v>
      </c>
      <c r="J29" s="1243">
        <v>322751</v>
      </c>
      <c r="L29" s="696" t="s">
        <v>1342</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45" customHeight="1">
      <c r="A30" s="202"/>
      <c r="C30" s="367"/>
      <c r="D30" s="1242" t="s">
        <v>1342</v>
      </c>
      <c r="E30" s="1242" t="s">
        <v>3375</v>
      </c>
      <c r="F30" s="1243">
        <v>122412</v>
      </c>
      <c r="G30" s="1243">
        <v>159813</v>
      </c>
      <c r="H30" s="1243">
        <v>193809</v>
      </c>
      <c r="I30" s="1243">
        <v>236957</v>
      </c>
      <c r="J30" s="1243">
        <v>280648</v>
      </c>
      <c r="L30" s="696" t="s">
        <v>1342</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45" customHeight="1">
      <c r="A31" s="202"/>
      <c r="C31" s="367"/>
      <c r="D31" s="1242" t="s">
        <v>1342</v>
      </c>
      <c r="E31" s="1242" t="s">
        <v>3376</v>
      </c>
      <c r="F31" s="1243">
        <v>106994</v>
      </c>
      <c r="G31" s="1243">
        <v>148014</v>
      </c>
      <c r="H31" s="1243">
        <v>188019</v>
      </c>
      <c r="I31" s="1243">
        <v>246119</v>
      </c>
      <c r="J31" s="1243">
        <v>306798</v>
      </c>
      <c r="L31" s="696" t="s">
        <v>1342</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45" customHeight="1">
      <c r="A32" s="202"/>
      <c r="C32" s="367"/>
      <c r="D32" s="1273" t="s">
        <v>1533</v>
      </c>
      <c r="E32" s="1273" t="s">
        <v>3380</v>
      </c>
      <c r="F32" s="1036">
        <v>135971</v>
      </c>
      <c r="G32" s="1036">
        <v>178050</v>
      </c>
      <c r="H32" s="1036">
        <v>216136</v>
      </c>
      <c r="I32" s="1036">
        <v>264350</v>
      </c>
      <c r="J32" s="1036">
        <v>311082</v>
      </c>
      <c r="L32" s="1273" t="s">
        <v>1533</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45" customHeight="1">
      <c r="A33" s="202"/>
      <c r="C33" s="367"/>
      <c r="D33" s="1273" t="s">
        <v>1533</v>
      </c>
      <c r="E33" s="1273" t="s">
        <v>3377</v>
      </c>
      <c r="F33" s="1036">
        <v>111093</v>
      </c>
      <c r="G33" s="1036">
        <v>155530</v>
      </c>
      <c r="H33" s="1036">
        <v>199967</v>
      </c>
      <c r="I33" s="1036">
        <v>266623</v>
      </c>
      <c r="J33" s="1036">
        <v>333278</v>
      </c>
      <c r="L33" s="1273" t="s">
        <v>1533</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45" customHeight="1">
      <c r="A34" s="202"/>
      <c r="C34" s="367"/>
      <c r="D34" s="1273" t="s">
        <v>1533</v>
      </c>
      <c r="E34" s="1273" t="s">
        <v>3375</v>
      </c>
      <c r="F34" s="1036">
        <v>124524</v>
      </c>
      <c r="G34" s="1036">
        <v>163179</v>
      </c>
      <c r="H34" s="1036">
        <v>198480</v>
      </c>
      <c r="I34" s="1036">
        <v>243766</v>
      </c>
      <c r="J34" s="1036">
        <v>289284</v>
      </c>
      <c r="L34" s="1273" t="s">
        <v>1533</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45" customHeight="1">
      <c r="A35" s="202"/>
      <c r="C35" s="367"/>
      <c r="D35" s="1273" t="s">
        <v>1533</v>
      </c>
      <c r="E35" s="1273" t="s">
        <v>3376</v>
      </c>
      <c r="F35" s="1036">
        <v>107650</v>
      </c>
      <c r="G35" s="1036">
        <v>148694</v>
      </c>
      <c r="H35" s="1036">
        <v>188587</v>
      </c>
      <c r="I35" s="1036">
        <v>246263</v>
      </c>
      <c r="J35" s="1036">
        <v>306864</v>
      </c>
      <c r="L35" s="1273" t="s">
        <v>1533</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45"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45"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45"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45"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45" customHeight="1">
      <c r="A40" s="202"/>
      <c r="C40" s="367"/>
      <c r="D40" s="1246" t="s">
        <v>1332</v>
      </c>
      <c r="E40" s="1246" t="s">
        <v>3380</v>
      </c>
      <c r="F40" s="1247">
        <v>127800</v>
      </c>
      <c r="G40" s="1247">
        <v>167186</v>
      </c>
      <c r="H40" s="1247">
        <v>202798</v>
      </c>
      <c r="I40" s="1247">
        <v>247764</v>
      </c>
      <c r="J40" s="1247">
        <v>291469</v>
      </c>
      <c r="L40" s="696" t="s">
        <v>1332</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45" customHeight="1">
      <c r="A41" s="202"/>
      <c r="C41" s="367"/>
      <c r="D41" s="1246" t="s">
        <v>1332</v>
      </c>
      <c r="E41" s="1246" t="s">
        <v>3377</v>
      </c>
      <c r="F41" s="1247">
        <v>104227</v>
      </c>
      <c r="G41" s="1247">
        <v>145918</v>
      </c>
      <c r="H41" s="1247">
        <v>187609</v>
      </c>
      <c r="I41" s="1247">
        <v>250145</v>
      </c>
      <c r="J41" s="1247">
        <v>312681</v>
      </c>
      <c r="L41" s="696" t="s">
        <v>1332</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45" customHeight="1">
      <c r="A42" s="202"/>
      <c r="C42" s="367"/>
      <c r="D42" s="1246" t="s">
        <v>1332</v>
      </c>
      <c r="E42" s="1246" t="s">
        <v>3375</v>
      </c>
      <c r="F42" s="1247">
        <v>117337</v>
      </c>
      <c r="G42" s="1247">
        <v>153594</v>
      </c>
      <c r="H42" s="1247">
        <v>186661</v>
      </c>
      <c r="I42" s="1247">
        <v>228950</v>
      </c>
      <c r="J42" s="1247">
        <v>271546</v>
      </c>
      <c r="L42" s="696" t="s">
        <v>1332</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45" customHeight="1">
      <c r="A43" s="202"/>
      <c r="C43" s="367"/>
      <c r="D43" s="1246" t="s">
        <v>1332</v>
      </c>
      <c r="E43" s="1246" t="s">
        <v>3376</v>
      </c>
      <c r="F43" s="1247">
        <v>101764</v>
      </c>
      <c r="G43" s="1247">
        <v>140627</v>
      </c>
      <c r="H43" s="1247">
        <v>178438</v>
      </c>
      <c r="I43" s="1247">
        <v>233177</v>
      </c>
      <c r="J43" s="1247">
        <v>290589</v>
      </c>
      <c r="L43" s="696" t="s">
        <v>1332</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45" customHeight="1">
      <c r="A44" s="202"/>
      <c r="C44" s="367"/>
      <c r="D44" s="1238" t="s">
        <v>1338</v>
      </c>
      <c r="E44" s="1238" t="s">
        <v>3380</v>
      </c>
      <c r="F44" s="1239">
        <v>135165</v>
      </c>
      <c r="G44" s="1239">
        <v>176624</v>
      </c>
      <c r="H44" s="1239">
        <v>214065</v>
      </c>
      <c r="I44" s="1239">
        <v>261200</v>
      </c>
      <c r="J44" s="1239">
        <v>307162</v>
      </c>
      <c r="L44" s="696" t="s">
        <v>1338</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45" customHeight="1">
      <c r="A45" s="202"/>
      <c r="C45" s="367"/>
      <c r="D45" s="1238" t="s">
        <v>1338</v>
      </c>
      <c r="E45" s="1238" t="s">
        <v>3377</v>
      </c>
      <c r="F45" s="1239">
        <v>110006</v>
      </c>
      <c r="G45" s="1239">
        <v>154008</v>
      </c>
      <c r="H45" s="1239">
        <v>198011</v>
      </c>
      <c r="I45" s="1239">
        <v>264014</v>
      </c>
      <c r="J45" s="1239">
        <v>330018</v>
      </c>
      <c r="L45" s="696" t="s">
        <v>1338</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45" customHeight="1">
      <c r="A46" s="202"/>
      <c r="C46" s="367"/>
      <c r="D46" s="1238" t="s">
        <v>1338</v>
      </c>
      <c r="E46" s="1238" t="s">
        <v>3375</v>
      </c>
      <c r="F46" s="1239">
        <v>124455</v>
      </c>
      <c r="G46" s="1239">
        <v>162712</v>
      </c>
      <c r="H46" s="1239">
        <v>197548</v>
      </c>
      <c r="I46" s="1239">
        <v>241944</v>
      </c>
      <c r="J46" s="1239">
        <v>286771</v>
      </c>
      <c r="L46" s="696" t="s">
        <v>1338</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45" customHeight="1">
      <c r="A47" s="202"/>
      <c r="C47" s="367"/>
      <c r="D47" s="1238" t="s">
        <v>1338</v>
      </c>
      <c r="E47" s="1238" t="s">
        <v>3376</v>
      </c>
      <c r="F47" s="1239">
        <v>108329</v>
      </c>
      <c r="G47" s="1239">
        <v>149776</v>
      </c>
      <c r="H47" s="1239">
        <v>190145</v>
      </c>
      <c r="I47" s="1239">
        <v>248674</v>
      </c>
      <c r="J47" s="1239">
        <v>309940</v>
      </c>
      <c r="L47" s="696" t="s">
        <v>1338</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45" customHeight="1">
      <c r="A48" s="202"/>
      <c r="C48" s="367"/>
      <c r="D48" s="1242" t="s">
        <v>1709</v>
      </c>
      <c r="E48" s="1242" t="s">
        <v>3380</v>
      </c>
      <c r="F48" s="1243">
        <v>122990</v>
      </c>
      <c r="G48" s="1243">
        <v>160975</v>
      </c>
      <c r="H48" s="1243">
        <v>195338</v>
      </c>
      <c r="I48" s="1243">
        <v>238786</v>
      </c>
      <c r="J48" s="1243">
        <v>280955</v>
      </c>
      <c r="L48" s="696" t="s">
        <v>1709</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45" customHeight="1">
      <c r="A49" s="202"/>
      <c r="C49" s="367"/>
      <c r="D49" s="1242" t="s">
        <v>1709</v>
      </c>
      <c r="E49" s="1242" t="s">
        <v>3377</v>
      </c>
      <c r="F49" s="1243">
        <v>100398</v>
      </c>
      <c r="G49" s="1243">
        <v>140558</v>
      </c>
      <c r="H49" s="1243">
        <v>180717</v>
      </c>
      <c r="I49" s="1243">
        <v>240956</v>
      </c>
      <c r="J49" s="1243">
        <v>301195</v>
      </c>
      <c r="L49" s="696" t="s">
        <v>1709</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45" customHeight="1">
      <c r="A50" s="202"/>
      <c r="C50" s="367"/>
      <c r="D50" s="1242" t="s">
        <v>1709</v>
      </c>
      <c r="E50" s="1242" t="s">
        <v>3375</v>
      </c>
      <c r="F50" s="1243">
        <v>112773</v>
      </c>
      <c r="G50" s="1243">
        <v>147703</v>
      </c>
      <c r="H50" s="1243">
        <v>179581</v>
      </c>
      <c r="I50" s="1243">
        <v>220415</v>
      </c>
      <c r="J50" s="1243">
        <v>261501</v>
      </c>
      <c r="L50" s="696" t="s">
        <v>1709</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45" customHeight="1">
      <c r="A51" s="202"/>
      <c r="C51" s="367"/>
      <c r="D51" s="1242" t="s">
        <v>1709</v>
      </c>
      <c r="E51" s="1242" t="s">
        <v>3376</v>
      </c>
      <c r="F51" s="1243">
        <v>97643</v>
      </c>
      <c r="G51" s="1243">
        <v>134902</v>
      </c>
      <c r="H51" s="1243">
        <v>171133</v>
      </c>
      <c r="I51" s="1243">
        <v>223548</v>
      </c>
      <c r="J51" s="1243">
        <v>278574</v>
      </c>
      <c r="L51" s="696" t="s">
        <v>1709</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3582</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8"/>
      <c r="W54" s="1228"/>
      <c r="X54" s="1228"/>
      <c r="AA54" s="622"/>
      <c r="AB54" s="622"/>
    </row>
    <row r="55" spans="1:28" s="321" customFormat="1" ht="11.45" customHeight="1">
      <c r="A55" s="202"/>
      <c r="B55" s="202"/>
      <c r="C55" s="202"/>
      <c r="D55" s="199"/>
      <c r="E55" s="199"/>
      <c r="F55" s="202" t="s">
        <v>3569</v>
      </c>
      <c r="G55" s="202"/>
      <c r="H55" s="199"/>
      <c r="I55" s="199"/>
      <c r="J55" s="797">
        <v>110481</v>
      </c>
      <c r="K55" s="797">
        <v>126647</v>
      </c>
      <c r="L55" s="797">
        <v>154003</v>
      </c>
      <c r="M55" s="797">
        <v>199229</v>
      </c>
      <c r="N55" s="797">
        <v>199229</v>
      </c>
      <c r="O55" s="202"/>
      <c r="P55" s="199"/>
      <c r="Q55" s="798">
        <v>1000</v>
      </c>
      <c r="R55" s="798">
        <v>0</v>
      </c>
      <c r="S55" s="342" t="s">
        <v>3568</v>
      </c>
      <c r="T55" s="327"/>
      <c r="U55" s="199"/>
      <c r="V55" s="1228"/>
      <c r="W55" s="1228"/>
      <c r="X55" s="1228"/>
      <c r="AA55" s="622"/>
      <c r="AB55" s="622"/>
    </row>
    <row r="56" spans="1:28" s="321" customFormat="1" ht="11.45" customHeight="1">
      <c r="A56" s="202"/>
      <c r="B56" s="202"/>
      <c r="C56" s="202"/>
      <c r="D56" s="199"/>
      <c r="E56" s="199"/>
      <c r="O56" s="202"/>
      <c r="T56" s="327"/>
      <c r="U56" s="199"/>
      <c r="V56" s="1228"/>
      <c r="W56" s="1228"/>
      <c r="X56" s="1228"/>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3690</v>
      </c>
      <c r="H60" s="199"/>
      <c r="I60" s="199"/>
      <c r="J60" s="202" t="s">
        <v>1542</v>
      </c>
      <c r="K60" s="202"/>
      <c r="L60" s="202"/>
      <c r="M60" s="202"/>
      <c r="N60" s="202"/>
      <c r="O60" s="202"/>
      <c r="P60" s="199"/>
      <c r="Q60" s="1493">
        <v>4500</v>
      </c>
      <c r="R60" s="332" t="s">
        <v>1746</v>
      </c>
      <c r="S60" s="333"/>
      <c r="AA60" s="622"/>
      <c r="AB60" s="622"/>
    </row>
    <row r="61" spans="1:28" s="321" customFormat="1" ht="11.45" customHeight="1">
      <c r="A61" s="199"/>
      <c r="B61" s="202"/>
      <c r="C61" s="202"/>
      <c r="D61" s="199"/>
      <c r="E61" s="199"/>
      <c r="F61" s="202"/>
      <c r="G61" s="202" t="s">
        <v>3689</v>
      </c>
      <c r="H61" s="199"/>
      <c r="I61" s="199"/>
      <c r="J61" s="202" t="s">
        <v>1542</v>
      </c>
      <c r="K61" s="202"/>
      <c r="L61" s="202"/>
      <c r="M61" s="202"/>
      <c r="N61" s="202"/>
      <c r="O61" s="202"/>
      <c r="P61" s="199"/>
      <c r="Q61" s="1493">
        <v>4000</v>
      </c>
      <c r="R61" s="332" t="s">
        <v>1746</v>
      </c>
      <c r="S61" s="333"/>
      <c r="AA61" s="622"/>
      <c r="AB61" s="622"/>
    </row>
    <row r="62" spans="1:28" s="321" customFormat="1" ht="11.45" customHeight="1">
      <c r="A62" s="199"/>
      <c r="B62" s="202"/>
      <c r="C62" s="202"/>
      <c r="D62" s="199"/>
      <c r="E62" s="199"/>
      <c r="F62" s="202" t="s">
        <v>2616</v>
      </c>
      <c r="G62" s="202" t="s">
        <v>2630</v>
      </c>
      <c r="H62" s="199"/>
      <c r="I62" s="199"/>
      <c r="J62" s="202" t="s">
        <v>1542</v>
      </c>
      <c r="K62" s="202"/>
      <c r="L62" s="202"/>
      <c r="M62" s="202"/>
      <c r="N62" s="202"/>
      <c r="O62" s="202"/>
      <c r="P62" s="199"/>
      <c r="Q62" s="1493">
        <v>3500</v>
      </c>
      <c r="R62" s="332" t="s">
        <v>1746</v>
      </c>
      <c r="S62" s="333"/>
      <c r="AA62" s="622"/>
      <c r="AB62" s="622"/>
    </row>
    <row r="63" spans="1:28" s="321" customFormat="1" ht="11.45" customHeight="1">
      <c r="A63" s="202"/>
      <c r="B63" s="202"/>
      <c r="C63" s="202"/>
      <c r="D63" s="199"/>
      <c r="E63" s="199"/>
      <c r="G63" s="202" t="s">
        <v>2629</v>
      </c>
      <c r="H63" s="199"/>
      <c r="I63" s="199"/>
      <c r="J63" s="202" t="s">
        <v>1542</v>
      </c>
      <c r="K63" s="202"/>
      <c r="L63" s="202"/>
      <c r="M63" s="202"/>
      <c r="N63" s="202"/>
      <c r="O63" s="202"/>
      <c r="P63" s="199"/>
      <c r="Q63" s="1493">
        <v>3000</v>
      </c>
      <c r="R63" s="332" t="s">
        <v>1746</v>
      </c>
      <c r="S63" s="333"/>
      <c r="AA63" s="622"/>
      <c r="AB63" s="622"/>
    </row>
    <row r="64" spans="1:28" s="321" customFormat="1" ht="11.45" customHeight="1">
      <c r="A64" s="202"/>
      <c r="B64" s="202"/>
      <c r="C64" s="202"/>
      <c r="D64" s="199"/>
      <c r="E64" s="199"/>
      <c r="G64" s="202" t="s">
        <v>3986</v>
      </c>
      <c r="H64" s="199"/>
      <c r="I64" s="199"/>
      <c r="J64" s="202" t="s">
        <v>1542</v>
      </c>
      <c r="K64" s="202"/>
      <c r="L64" s="202"/>
      <c r="M64" s="202"/>
      <c r="N64" s="202"/>
      <c r="O64" s="202"/>
      <c r="P64" s="199"/>
      <c r="Q64" s="1493">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45" customHeight="1">
      <c r="A67" s="202"/>
      <c r="B67" s="202"/>
      <c r="C67" s="202"/>
      <c r="D67" s="202"/>
      <c r="E67" s="199"/>
      <c r="F67" s="202" t="s">
        <v>3453</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3901</v>
      </c>
      <c r="K71" s="202"/>
      <c r="L71" s="202"/>
      <c r="M71" s="202"/>
      <c r="N71" s="202"/>
      <c r="O71" s="202"/>
      <c r="P71" s="199"/>
      <c r="Q71" s="1391">
        <v>25000</v>
      </c>
      <c r="R71" s="332" t="s">
        <v>512</v>
      </c>
      <c r="S71" s="333"/>
      <c r="T71" s="333"/>
      <c r="U71" s="333"/>
      <c r="AA71" s="622"/>
      <c r="AB71" s="622"/>
    </row>
    <row r="72" spans="1:28" s="321" customFormat="1" ht="11.45" customHeight="1">
      <c r="A72" s="202"/>
      <c r="B72" s="202" t="s">
        <v>1977</v>
      </c>
      <c r="C72" s="202"/>
      <c r="D72" s="199"/>
      <c r="E72" s="199"/>
      <c r="F72" s="202" t="s">
        <v>1209</v>
      </c>
      <c r="G72" s="202"/>
      <c r="H72" s="199"/>
      <c r="I72" s="199"/>
      <c r="J72" s="202" t="s">
        <v>3987</v>
      </c>
      <c r="K72" s="202"/>
      <c r="L72" s="202"/>
      <c r="M72" s="202"/>
      <c r="N72" s="202"/>
      <c r="O72" s="202"/>
      <c r="P72" s="199"/>
      <c r="Q72" s="1390" t="s">
        <v>979</v>
      </c>
      <c r="R72" s="1390">
        <v>0.05</v>
      </c>
      <c r="S72" s="333"/>
      <c r="T72" s="333"/>
      <c r="U72" s="333"/>
      <c r="AA72" s="622"/>
      <c r="AB72" s="622"/>
    </row>
    <row r="73" spans="1:28" s="321" customFormat="1" ht="11.45" customHeight="1">
      <c r="A73" s="202"/>
      <c r="B73" s="202"/>
      <c r="C73" s="202"/>
      <c r="D73" s="199"/>
      <c r="E73" s="199"/>
      <c r="F73" s="202" t="s">
        <v>278</v>
      </c>
      <c r="G73" s="202"/>
      <c r="H73" s="199"/>
      <c r="I73" s="199"/>
      <c r="J73" s="202" t="s">
        <v>3987</v>
      </c>
      <c r="K73" s="202"/>
      <c r="L73" s="202"/>
      <c r="M73" s="202"/>
      <c r="N73" s="202"/>
      <c r="O73" s="202"/>
      <c r="P73" s="199"/>
      <c r="Q73" s="1390" t="s">
        <v>979</v>
      </c>
      <c r="R73" s="1390">
        <v>0.1</v>
      </c>
      <c r="S73" s="333"/>
      <c r="T73" s="333"/>
      <c r="U73" s="333"/>
      <c r="AA73" s="622"/>
      <c r="AB73" s="622"/>
    </row>
    <row r="74" spans="1:28" s="321" customFormat="1" ht="11.45" customHeight="1">
      <c r="A74" s="202"/>
      <c r="B74" s="202" t="s">
        <v>2054</v>
      </c>
      <c r="C74" s="202"/>
      <c r="D74" s="199"/>
      <c r="E74" s="199"/>
      <c r="F74" s="202" t="s">
        <v>1746</v>
      </c>
      <c r="G74" s="202"/>
      <c r="H74" s="199"/>
      <c r="I74" s="199"/>
      <c r="J74" s="202" t="s">
        <v>3988</v>
      </c>
      <c r="K74" s="202"/>
      <c r="L74" s="202"/>
      <c r="M74" s="202"/>
      <c r="N74" s="202"/>
      <c r="O74" s="202"/>
      <c r="P74" s="199"/>
      <c r="Q74" s="332" t="s">
        <v>1746</v>
      </c>
      <c r="R74" s="1390">
        <v>0.06</v>
      </c>
      <c r="S74" s="333"/>
      <c r="T74" s="333"/>
      <c r="U74" s="333"/>
      <c r="AA74" s="622"/>
      <c r="AB74" s="622"/>
    </row>
    <row r="75" spans="1:28" s="321" customFormat="1" ht="11.45" customHeight="1">
      <c r="A75" s="202"/>
      <c r="B75" s="202" t="s">
        <v>2055</v>
      </c>
      <c r="C75" s="202"/>
      <c r="D75" s="199"/>
      <c r="E75" s="199"/>
      <c r="F75" s="202" t="s">
        <v>1746</v>
      </c>
      <c r="G75" s="202"/>
      <c r="H75" s="199"/>
      <c r="I75" s="199"/>
      <c r="J75" s="202" t="s">
        <v>3988</v>
      </c>
      <c r="K75" s="202"/>
      <c r="L75" s="202"/>
      <c r="M75" s="202"/>
      <c r="N75" s="202"/>
      <c r="O75" s="202"/>
      <c r="P75" s="199"/>
      <c r="Q75" s="332" t="s">
        <v>1746</v>
      </c>
      <c r="R75" s="1390">
        <v>0.02</v>
      </c>
      <c r="S75" s="333"/>
      <c r="T75" s="333"/>
      <c r="U75" s="333"/>
      <c r="AA75" s="622"/>
      <c r="AB75" s="622"/>
    </row>
    <row r="76" spans="1:28" s="321" customFormat="1" ht="11.45" customHeight="1">
      <c r="A76" s="202"/>
      <c r="B76" s="202" t="s">
        <v>2835</v>
      </c>
      <c r="C76" s="202"/>
      <c r="D76" s="199"/>
      <c r="E76" s="199"/>
      <c r="F76" s="202" t="s">
        <v>1746</v>
      </c>
      <c r="G76" s="202"/>
      <c r="H76" s="199"/>
      <c r="I76" s="199"/>
      <c r="J76" s="202" t="s">
        <v>3988</v>
      </c>
      <c r="K76" s="202"/>
      <c r="L76" s="202"/>
      <c r="M76" s="202"/>
      <c r="N76" s="202"/>
      <c r="O76" s="202"/>
      <c r="P76" s="199"/>
      <c r="Q76" s="332" t="s">
        <v>1746</v>
      </c>
      <c r="R76" s="1390">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45" customHeight="1">
      <c r="A78" s="199"/>
      <c r="B78" s="333" t="s">
        <v>3882</v>
      </c>
      <c r="C78" s="202"/>
      <c r="D78" s="202"/>
      <c r="E78" s="199"/>
      <c r="F78" s="204" t="s">
        <v>3503</v>
      </c>
      <c r="G78" s="202"/>
      <c r="H78" s="199"/>
      <c r="I78" s="199"/>
      <c r="J78" s="202" t="s">
        <v>1212</v>
      </c>
      <c r="K78" s="202"/>
      <c r="L78" s="202"/>
      <c r="M78" s="202"/>
      <c r="N78" s="202"/>
      <c r="O78" s="202"/>
      <c r="P78" s="199"/>
      <c r="Q78" s="3831">
        <v>1000</v>
      </c>
      <c r="R78" s="3832"/>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31">
        <v>500</v>
      </c>
      <c r="R79" s="3832"/>
      <c r="S79" s="333"/>
      <c r="T79" s="333"/>
      <c r="U79" s="333"/>
      <c r="AA79" s="622"/>
      <c r="AB79" s="622"/>
    </row>
    <row r="80" spans="1:28" s="321" customFormat="1" ht="11.45" customHeight="1">
      <c r="A80" s="202"/>
      <c r="B80" s="202"/>
      <c r="C80" s="202"/>
      <c r="D80" s="202"/>
      <c r="E80" s="199"/>
      <c r="F80" s="204" t="s">
        <v>3996</v>
      </c>
      <c r="G80" s="202"/>
      <c r="H80" s="199"/>
      <c r="I80" s="199"/>
      <c r="J80" s="204" t="s">
        <v>3992</v>
      </c>
      <c r="K80" s="202"/>
      <c r="L80" s="202"/>
      <c r="M80" s="202"/>
      <c r="N80" s="202"/>
      <c r="O80" s="202"/>
      <c r="P80" s="199"/>
      <c r="Q80" s="3831">
        <v>1500</v>
      </c>
      <c r="R80" s="3832"/>
      <c r="S80" s="333"/>
      <c r="T80" s="333"/>
      <c r="U80" s="333"/>
      <c r="AA80" s="622"/>
      <c r="AB80" s="622"/>
    </row>
    <row r="81" spans="1:28" s="321" customFormat="1" ht="11.45" customHeight="1">
      <c r="A81" s="202"/>
      <c r="B81" s="202"/>
      <c r="C81" s="202"/>
      <c r="D81" s="202"/>
      <c r="E81" s="199"/>
      <c r="G81" s="202"/>
      <c r="H81" s="199"/>
      <c r="I81" s="199"/>
      <c r="J81" s="204" t="s">
        <v>3993</v>
      </c>
      <c r="K81" s="202"/>
      <c r="L81" s="202"/>
      <c r="M81" s="202"/>
      <c r="N81" s="202"/>
      <c r="O81" s="202"/>
      <c r="P81" s="199"/>
      <c r="Q81" s="3831">
        <v>1500</v>
      </c>
      <c r="R81" s="3832"/>
      <c r="S81" s="333"/>
      <c r="T81" s="333"/>
      <c r="U81" s="333"/>
      <c r="AA81" s="622"/>
      <c r="AB81" s="622"/>
    </row>
    <row r="82" spans="1:28" s="321" customFormat="1" ht="11.45" customHeight="1">
      <c r="A82" s="202"/>
      <c r="B82" s="202"/>
      <c r="C82" s="202"/>
      <c r="D82" s="202"/>
      <c r="E82" s="199"/>
      <c r="G82" s="202"/>
      <c r="H82" s="199"/>
      <c r="I82" s="199"/>
      <c r="J82" s="204" t="s">
        <v>3994</v>
      </c>
      <c r="K82" s="202"/>
      <c r="L82" s="202"/>
      <c r="M82" s="202"/>
      <c r="N82" s="202"/>
      <c r="O82" s="202"/>
      <c r="P82" s="199"/>
      <c r="Q82" s="3831">
        <v>1500</v>
      </c>
      <c r="R82" s="3832"/>
      <c r="S82" s="333"/>
      <c r="T82" s="333"/>
      <c r="U82" s="333"/>
      <c r="AA82" s="622"/>
      <c r="AB82" s="622"/>
    </row>
    <row r="83" spans="1:28" s="321" customFormat="1" ht="11.45" customHeight="1">
      <c r="A83" s="202"/>
      <c r="B83" s="202"/>
      <c r="C83" s="202"/>
      <c r="D83" s="202"/>
      <c r="E83" s="199"/>
      <c r="G83" s="202"/>
      <c r="H83" s="199"/>
      <c r="I83" s="199"/>
      <c r="J83" s="204" t="s">
        <v>3995</v>
      </c>
      <c r="K83" s="202"/>
      <c r="L83" s="202"/>
      <c r="M83" s="202"/>
      <c r="N83" s="202"/>
      <c r="O83" s="202"/>
      <c r="P83" s="199"/>
      <c r="Q83" s="3831">
        <v>1500</v>
      </c>
      <c r="R83" s="3832"/>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31">
        <v>6500</v>
      </c>
      <c r="R84" s="3832"/>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31">
        <v>5500</v>
      </c>
      <c r="R85" s="3832"/>
      <c r="S85" s="333"/>
      <c r="T85" s="333"/>
      <c r="U85" s="333"/>
      <c r="AA85" s="622"/>
      <c r="AB85" s="622"/>
    </row>
    <row r="86" spans="1:28" s="321" customFormat="1" ht="11.45" customHeight="1">
      <c r="A86" s="202"/>
      <c r="B86" s="202"/>
      <c r="C86" s="202"/>
      <c r="D86" s="202"/>
      <c r="E86" s="199"/>
      <c r="F86" s="204" t="s">
        <v>3461</v>
      </c>
      <c r="G86" s="202"/>
      <c r="H86" s="199"/>
      <c r="I86" s="199"/>
      <c r="J86" s="202"/>
      <c r="K86" s="202"/>
      <c r="L86" s="202"/>
      <c r="M86" s="202"/>
      <c r="N86" s="202"/>
      <c r="O86" s="202"/>
      <c r="P86" s="199"/>
      <c r="Q86" s="3831">
        <v>5000</v>
      </c>
      <c r="R86" s="3832"/>
      <c r="S86" s="333"/>
      <c r="T86" s="333"/>
      <c r="U86" s="333"/>
      <c r="AA86" s="622"/>
      <c r="AB86" s="622"/>
    </row>
    <row r="87" spans="1:28" s="321" customFormat="1" ht="11.45" customHeight="1">
      <c r="A87" s="202"/>
      <c r="B87" s="202"/>
      <c r="C87" s="202"/>
      <c r="D87" s="202"/>
      <c r="E87" s="199"/>
      <c r="F87" s="204" t="s">
        <v>3990</v>
      </c>
      <c r="G87" s="202"/>
      <c r="H87" s="199"/>
      <c r="I87" s="199"/>
      <c r="J87" s="202"/>
      <c r="K87" s="202"/>
      <c r="L87" s="202"/>
      <c r="M87" s="202"/>
      <c r="N87" s="202"/>
      <c r="O87" s="202"/>
      <c r="P87" s="199"/>
      <c r="Q87" s="3831">
        <v>1500</v>
      </c>
      <c r="R87" s="3832"/>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24">
        <v>0.08</v>
      </c>
      <c r="R88" s="3824"/>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24">
        <v>0.08</v>
      </c>
      <c r="R89" s="3824"/>
      <c r="S89" s="333"/>
      <c r="T89" s="333"/>
      <c r="U89" s="333"/>
      <c r="AA89" s="622"/>
      <c r="AB89" s="622"/>
    </row>
    <row r="90" spans="1:28" s="321" customFormat="1" ht="11.45" customHeight="1">
      <c r="A90" s="202"/>
      <c r="C90" s="202"/>
      <c r="D90" s="199"/>
      <c r="E90" s="199"/>
      <c r="F90" s="204" t="s">
        <v>4305</v>
      </c>
      <c r="H90" s="202"/>
      <c r="I90" s="199"/>
      <c r="J90" s="202"/>
      <c r="K90" s="202"/>
      <c r="L90" s="202"/>
      <c r="M90" s="202"/>
      <c r="N90" s="202"/>
      <c r="O90" s="202"/>
      <c r="P90" s="199"/>
      <c r="Q90" s="3831">
        <v>3000</v>
      </c>
      <c r="R90" s="3832"/>
      <c r="S90" s="333"/>
      <c r="T90" s="333"/>
      <c r="U90" s="333"/>
      <c r="AA90" s="622"/>
      <c r="AB90" s="622"/>
    </row>
    <row r="91" spans="1:28" s="321" customFormat="1" ht="11.45" customHeight="1">
      <c r="A91" s="202"/>
      <c r="C91" s="202"/>
      <c r="D91" s="199"/>
      <c r="E91" s="199"/>
      <c r="F91" s="204" t="s">
        <v>3900</v>
      </c>
      <c r="H91" s="202"/>
      <c r="I91" s="199"/>
      <c r="J91" s="202"/>
      <c r="K91" s="202"/>
      <c r="L91" s="202"/>
      <c r="M91" s="202"/>
      <c r="N91" s="202"/>
      <c r="O91" s="202"/>
      <c r="P91" s="199"/>
      <c r="Q91" s="3831">
        <v>1500</v>
      </c>
      <c r="R91" s="3832"/>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2699</v>
      </c>
      <c r="I93" s="346"/>
      <c r="J93" s="204" t="s">
        <v>1542</v>
      </c>
      <c r="K93" s="204" t="s">
        <v>3920</v>
      </c>
      <c r="L93" s="204"/>
      <c r="M93" s="204"/>
      <c r="N93" s="204"/>
      <c r="O93" s="204"/>
      <c r="P93" s="346"/>
      <c r="Q93" s="1475">
        <f>Q92</f>
        <v>800</v>
      </c>
      <c r="R93" s="1475" t="s">
        <v>1746</v>
      </c>
      <c r="S93" s="333"/>
      <c r="T93" s="333"/>
      <c r="U93" s="333"/>
      <c r="AA93" s="622"/>
      <c r="AB93" s="622"/>
    </row>
    <row r="94" spans="1:28" s="321" customFormat="1" ht="11.45"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4260</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3462</v>
      </c>
      <c r="I96" s="199"/>
      <c r="J96" s="202" t="s">
        <v>3463</v>
      </c>
      <c r="K96" s="202"/>
      <c r="L96" s="202" t="s">
        <v>2839</v>
      </c>
      <c r="M96" s="202"/>
      <c r="N96" s="202"/>
      <c r="O96" s="202"/>
      <c r="P96" s="199"/>
      <c r="Q96" s="3831">
        <v>75</v>
      </c>
      <c r="R96" s="3832"/>
      <c r="S96" s="333"/>
      <c r="T96" s="333"/>
      <c r="U96" s="333"/>
      <c r="AA96" s="622"/>
      <c r="AB96" s="622"/>
    </row>
    <row r="97" spans="1:28" s="321" customFormat="1" ht="13.5">
      <c r="A97" s="202"/>
      <c r="B97" s="202" t="s">
        <v>1876</v>
      </c>
      <c r="C97" s="202"/>
      <c r="D97" s="1495" t="s">
        <v>3989</v>
      </c>
      <c r="E97" s="199"/>
      <c r="F97" s="202"/>
      <c r="G97" s="202"/>
      <c r="H97" s="202"/>
      <c r="I97" s="199"/>
      <c r="J97" s="202" t="s">
        <v>1743</v>
      </c>
      <c r="K97" s="202"/>
      <c r="L97" s="202"/>
      <c r="M97" s="202"/>
      <c r="N97" s="202"/>
      <c r="O97" s="202"/>
      <c r="P97" s="199"/>
      <c r="Q97" s="3835">
        <v>1800000</v>
      </c>
      <c r="R97" s="3836"/>
      <c r="S97" s="333"/>
      <c r="T97" s="333"/>
      <c r="U97" s="333"/>
      <c r="AA97" s="622"/>
      <c r="AB97" s="622"/>
    </row>
    <row r="98" spans="1:28" s="321" customFormat="1" ht="13.5">
      <c r="A98" s="202"/>
      <c r="B98" s="202"/>
      <c r="C98" s="202"/>
      <c r="D98" s="199"/>
      <c r="E98" s="199"/>
      <c r="F98" s="202"/>
      <c r="G98" s="202"/>
      <c r="H98" s="202"/>
      <c r="I98" s="199"/>
      <c r="J98" s="202" t="s">
        <v>3439</v>
      </c>
      <c r="K98" s="202"/>
      <c r="L98" s="202"/>
      <c r="M98" s="202"/>
      <c r="N98" s="202"/>
      <c r="O98" s="202"/>
      <c r="P98" s="199"/>
      <c r="Q98" s="3835">
        <v>3500000</v>
      </c>
      <c r="R98" s="3836"/>
      <c r="S98" s="333"/>
      <c r="T98" s="333"/>
      <c r="U98" s="333"/>
      <c r="AA98" s="622"/>
      <c r="AB98" s="622"/>
    </row>
    <row r="99" spans="1:28" s="321" customFormat="1" ht="13.5" hidden="1">
      <c r="A99" s="202"/>
      <c r="B99" s="202"/>
      <c r="C99" s="202"/>
      <c r="D99" s="199"/>
      <c r="E99" s="199"/>
      <c r="F99" s="202" t="s">
        <v>1728</v>
      </c>
      <c r="G99" s="202"/>
      <c r="H99" s="202" t="s">
        <v>2311</v>
      </c>
      <c r="I99" s="199"/>
      <c r="J99" s="202" t="s">
        <v>984</v>
      </c>
      <c r="K99" s="202"/>
      <c r="L99" s="202"/>
      <c r="M99" s="202"/>
      <c r="N99" s="202"/>
      <c r="O99" s="202"/>
      <c r="P99" s="199"/>
      <c r="Q99" s="3833">
        <v>0.15</v>
      </c>
      <c r="R99" s="3834"/>
      <c r="S99" s="333"/>
      <c r="T99" s="333"/>
      <c r="U99" s="333"/>
      <c r="AA99" s="622"/>
      <c r="AB99" s="622"/>
    </row>
    <row r="100" spans="1:28" s="321" customFormat="1" ht="13.5" hidden="1">
      <c r="A100" s="202"/>
      <c r="B100" s="465"/>
      <c r="C100" s="202"/>
      <c r="D100" s="199"/>
      <c r="E100" s="199"/>
      <c r="F100" s="202"/>
      <c r="G100" s="202"/>
      <c r="H100" s="202" t="s">
        <v>3661</v>
      </c>
      <c r="I100" s="202" t="s">
        <v>981</v>
      </c>
      <c r="J100" s="202" t="s">
        <v>983</v>
      </c>
      <c r="K100" s="202"/>
      <c r="L100" s="202"/>
      <c r="M100" s="202"/>
      <c r="N100" s="202"/>
      <c r="O100" s="202"/>
      <c r="P100" s="199"/>
      <c r="Q100" s="3833">
        <v>0.15</v>
      </c>
      <c r="R100" s="3834"/>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33">
        <v>0.15</v>
      </c>
      <c r="R101" s="3834"/>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33">
        <v>0.15</v>
      </c>
      <c r="R102" s="3834"/>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33">
        <v>0.15</v>
      </c>
      <c r="R103" s="3834"/>
      <c r="S103" s="333"/>
      <c r="T103" s="333"/>
      <c r="U103" s="333"/>
      <c r="AA103" s="622"/>
      <c r="AB103" s="622"/>
    </row>
    <row r="104" spans="1:28" s="321" customFormat="1" ht="13.5" hidden="1">
      <c r="A104" s="202"/>
      <c r="B104" s="465"/>
      <c r="C104" s="202"/>
      <c r="D104" s="199"/>
      <c r="E104" s="199"/>
      <c r="F104" s="202" t="s">
        <v>1772</v>
      </c>
      <c r="G104" s="202"/>
      <c r="H104" s="202"/>
      <c r="I104" s="199"/>
      <c r="J104" s="202" t="s">
        <v>2387</v>
      </c>
      <c r="K104" s="202"/>
      <c r="L104" s="202"/>
      <c r="M104" s="202"/>
      <c r="N104" s="202"/>
      <c r="O104" s="202"/>
      <c r="P104" s="199"/>
      <c r="Q104" s="3833">
        <v>0.15</v>
      </c>
      <c r="R104" s="3834"/>
      <c r="S104" s="333"/>
      <c r="T104" s="333"/>
      <c r="U104" s="333"/>
      <c r="AA104" s="622"/>
      <c r="AB104" s="622"/>
    </row>
    <row r="105" spans="1:28" s="321" customFormat="1" ht="13.5" hidden="1">
      <c r="A105" s="202"/>
      <c r="B105" s="465"/>
      <c r="C105" s="202"/>
      <c r="D105" s="199"/>
      <c r="E105" s="199"/>
      <c r="G105" s="202"/>
      <c r="H105" s="202"/>
      <c r="I105" s="199"/>
      <c r="J105" s="202" t="s">
        <v>2388</v>
      </c>
      <c r="K105" s="202"/>
      <c r="L105" s="202"/>
      <c r="M105" s="202"/>
      <c r="N105" s="202"/>
      <c r="O105" s="202"/>
      <c r="P105" s="199"/>
      <c r="Q105" s="3833" t="s">
        <v>2389</v>
      </c>
      <c r="R105" s="3834"/>
      <c r="S105" s="333"/>
      <c r="T105" s="333"/>
      <c r="U105" s="333"/>
      <c r="AA105" s="622"/>
      <c r="AB105" s="622"/>
    </row>
    <row r="106" spans="1:28" s="321" customFormat="1" ht="13.5">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3504</v>
      </c>
      <c r="C111" s="202"/>
      <c r="D111" s="199"/>
      <c r="E111" s="202"/>
      <c r="F111" s="202"/>
      <c r="G111" s="202"/>
      <c r="H111" s="199"/>
      <c r="I111" s="199"/>
      <c r="J111" s="202" t="s">
        <v>1776</v>
      </c>
      <c r="K111" s="202"/>
      <c r="L111" s="202"/>
      <c r="M111" s="202"/>
      <c r="N111" s="202"/>
      <c r="O111" s="202"/>
      <c r="P111" s="199"/>
      <c r="Q111" s="3831">
        <v>3000</v>
      </c>
      <c r="R111" s="3832"/>
      <c r="S111" s="333"/>
      <c r="T111" s="333"/>
      <c r="U111" s="333"/>
      <c r="AA111" s="622"/>
      <c r="AB111" s="622"/>
    </row>
    <row r="112" spans="1:28" s="321" customFormat="1" ht="11.45" customHeight="1">
      <c r="A112" s="202"/>
      <c r="B112" s="202"/>
      <c r="C112" s="202"/>
      <c r="D112" s="199"/>
      <c r="E112" s="199"/>
      <c r="O112" s="202"/>
      <c r="T112" s="327"/>
      <c r="U112" s="199"/>
      <c r="V112" s="1228"/>
      <c r="W112" s="1228"/>
      <c r="X112" s="1228"/>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24">
        <v>0.02</v>
      </c>
      <c r="R119" s="3824"/>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24">
        <v>7.0000000000000007E-2</v>
      </c>
      <c r="R120" s="3824"/>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24">
        <v>7.0000000000000007E-2</v>
      </c>
      <c r="R121" s="3824"/>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24">
        <v>0.03</v>
      </c>
      <c r="R122" s="3824"/>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24">
        <v>0.03</v>
      </c>
      <c r="R123" s="3824"/>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24">
        <v>0</v>
      </c>
      <c r="R124" s="3824"/>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24">
        <v>0.1</v>
      </c>
      <c r="R126" s="3824"/>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3936</v>
      </c>
      <c r="I127" s="199"/>
      <c r="J127" s="202" t="s">
        <v>3937</v>
      </c>
      <c r="K127" s="202"/>
      <c r="L127" s="202"/>
      <c r="M127" s="202"/>
      <c r="N127" s="202"/>
      <c r="O127" s="202"/>
      <c r="P127" s="199"/>
      <c r="Q127" s="3823">
        <v>1000000</v>
      </c>
      <c r="R127" s="3823"/>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3930</v>
      </c>
      <c r="I128" s="199"/>
      <c r="J128" s="202" t="s">
        <v>3938</v>
      </c>
      <c r="K128" s="202"/>
      <c r="L128" s="202"/>
      <c r="M128" s="202"/>
      <c r="N128" s="202"/>
      <c r="O128" s="202"/>
      <c r="P128" s="199"/>
      <c r="Q128" s="3823">
        <v>1500000</v>
      </c>
      <c r="R128" s="3823"/>
      <c r="S128" s="327"/>
      <c r="T128" s="327"/>
      <c r="U128" s="199"/>
      <c r="V128" s="1228"/>
      <c r="W128" s="1228"/>
      <c r="X128" s="1228"/>
      <c r="AA128" s="622"/>
      <c r="AB128" s="622"/>
    </row>
    <row r="129" spans="1:28" s="321" customFormat="1" ht="11.45" customHeight="1">
      <c r="A129" s="202"/>
      <c r="B129" s="202"/>
      <c r="C129" s="202"/>
      <c r="D129" s="199"/>
      <c r="E129" s="199"/>
      <c r="F129" s="202"/>
      <c r="G129" s="202"/>
      <c r="H129" s="202"/>
      <c r="I129" s="199"/>
      <c r="J129" s="202" t="s">
        <v>3939</v>
      </c>
      <c r="K129" s="202"/>
      <c r="L129" s="202"/>
      <c r="M129" s="202"/>
      <c r="N129" s="202"/>
      <c r="O129" s="202"/>
      <c r="P129" s="199"/>
      <c r="Q129" s="3823">
        <v>375000</v>
      </c>
      <c r="R129" s="3823"/>
      <c r="S129" s="327"/>
      <c r="T129" s="327"/>
      <c r="U129" s="199"/>
      <c r="V129" s="1228"/>
      <c r="W129" s="1228"/>
      <c r="X129" s="1228"/>
      <c r="AA129" s="622"/>
      <c r="AB129" s="622"/>
    </row>
    <row r="130" spans="1:28" s="321" customFormat="1" ht="11.45" customHeight="1">
      <c r="A130" s="202"/>
      <c r="B130" s="202"/>
      <c r="C130" s="202"/>
      <c r="D130" s="199"/>
      <c r="E130" s="199"/>
      <c r="F130" s="202" t="s">
        <v>2425</v>
      </c>
      <c r="G130" s="202"/>
      <c r="H130" s="202" t="s">
        <v>2696</v>
      </c>
      <c r="I130" s="199"/>
      <c r="J130" s="202" t="s">
        <v>3985</v>
      </c>
      <c r="K130" s="202"/>
      <c r="L130" s="202"/>
      <c r="M130" s="202"/>
      <c r="N130" s="202"/>
      <c r="O130" s="202"/>
      <c r="P130" s="199"/>
      <c r="Q130" s="3823">
        <v>4000000</v>
      </c>
      <c r="R130" s="3823"/>
      <c r="S130" s="327"/>
      <c r="T130" s="327"/>
      <c r="U130" s="199"/>
      <c r="V130" s="1228"/>
      <c r="W130" s="1228"/>
      <c r="X130" s="1228"/>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2836</v>
      </c>
      <c r="F133" s="202" t="s">
        <v>2616</v>
      </c>
      <c r="G133" s="202"/>
      <c r="H133" s="199"/>
      <c r="I133" s="199"/>
      <c r="J133" s="202" t="s">
        <v>2697</v>
      </c>
      <c r="K133" s="202"/>
      <c r="L133" s="202"/>
      <c r="M133" s="202"/>
      <c r="N133" s="202"/>
      <c r="O133" s="202"/>
      <c r="P133" s="199"/>
      <c r="Q133" s="3824">
        <v>0.35</v>
      </c>
      <c r="R133" s="3824"/>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24" t="s">
        <v>2838</v>
      </c>
      <c r="R134" s="3824"/>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3719</v>
      </c>
      <c r="B136" s="202"/>
      <c r="C136" s="202"/>
      <c r="D136" s="199"/>
      <c r="E136" s="199"/>
      <c r="F136" s="202" t="s">
        <v>3722</v>
      </c>
      <c r="G136" s="202"/>
      <c r="H136" s="199"/>
      <c r="I136" s="199"/>
      <c r="J136" s="202" t="s">
        <v>3723</v>
      </c>
      <c r="K136" s="202"/>
      <c r="L136" s="202"/>
      <c r="M136" s="202"/>
      <c r="N136" s="202"/>
      <c r="O136" s="202"/>
      <c r="P136" s="199"/>
      <c r="Q136" s="3824">
        <v>0.05</v>
      </c>
      <c r="R136" s="3824"/>
      <c r="S136" s="199"/>
      <c r="T136" s="199"/>
      <c r="U136" s="199"/>
      <c r="V136" s="1157"/>
      <c r="W136" s="1157"/>
      <c r="X136" s="203"/>
      <c r="AA136" s="622"/>
      <c r="AB136" s="622"/>
    </row>
    <row r="137" spans="1:28" s="321" customFormat="1" ht="12.75" customHeight="1">
      <c r="A137" s="326"/>
      <c r="B137" s="202"/>
      <c r="C137" s="202"/>
      <c r="D137" s="199"/>
      <c r="E137" s="199"/>
      <c r="F137" s="202"/>
      <c r="G137" s="202" t="s">
        <v>3720</v>
      </c>
      <c r="H137" s="199"/>
      <c r="I137" s="199"/>
      <c r="J137" s="202" t="s">
        <v>3724</v>
      </c>
      <c r="K137" s="202"/>
      <c r="L137" s="202"/>
      <c r="M137" s="202"/>
      <c r="N137" s="202"/>
      <c r="O137" s="202"/>
      <c r="P137" s="199"/>
      <c r="Q137" s="3824">
        <v>0.4</v>
      </c>
      <c r="R137" s="3824"/>
      <c r="S137" s="199"/>
      <c r="T137" s="199"/>
      <c r="U137" s="199"/>
      <c r="V137" s="1157"/>
      <c r="W137" s="1157"/>
      <c r="X137" s="203"/>
      <c r="AA137" s="622"/>
      <c r="AB137" s="622"/>
    </row>
    <row r="138" spans="1:28" s="321" customFormat="1" ht="12.75" customHeight="1">
      <c r="A138" s="326"/>
      <c r="B138" s="202"/>
      <c r="C138" s="202"/>
      <c r="D138" s="199"/>
      <c r="E138" s="199"/>
      <c r="F138" s="202" t="s">
        <v>3721</v>
      </c>
      <c r="G138" s="202"/>
      <c r="H138" s="199"/>
      <c r="I138" s="199"/>
      <c r="J138" s="202" t="s">
        <v>3723</v>
      </c>
      <c r="K138" s="202"/>
      <c r="L138" s="202"/>
      <c r="M138" s="202"/>
      <c r="N138" s="202"/>
      <c r="O138" s="202"/>
      <c r="P138" s="199"/>
      <c r="Q138" s="3824">
        <v>0.02</v>
      </c>
      <c r="R138" s="3824"/>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22" t="s">
        <v>4239</v>
      </c>
      <c r="E151" s="333"/>
      <c r="F151" s="333"/>
    </row>
    <row r="152" spans="2:30" ht="10.5" customHeight="1">
      <c r="C152" s="3822"/>
      <c r="E152" s="333"/>
      <c r="F152" s="333"/>
    </row>
    <row r="153" spans="2:30" ht="10.5" customHeight="1">
      <c r="C153" s="3822"/>
      <c r="D153" s="1730" t="s">
        <v>3998</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3928</v>
      </c>
      <c r="O154" s="682" t="s">
        <v>4358</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2629</v>
      </c>
      <c r="K155" s="1253" t="s">
        <v>1168</v>
      </c>
      <c r="L155" s="1254" t="s">
        <v>425</v>
      </c>
      <c r="M155" s="1483" t="s">
        <v>2616</v>
      </c>
      <c r="N155" s="1483" t="s">
        <v>1338</v>
      </c>
      <c r="O155" s="1815" t="s">
        <v>4359</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2629</v>
      </c>
      <c r="K156" s="1253" t="s">
        <v>1169</v>
      </c>
      <c r="L156" s="1254" t="s">
        <v>425</v>
      </c>
      <c r="M156" s="1483" t="s">
        <v>2616</v>
      </c>
      <c r="N156" s="1483" t="s">
        <v>1709</v>
      </c>
      <c r="O156" s="1815" t="s">
        <v>4360</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2629</v>
      </c>
      <c r="K157" s="1253" t="s">
        <v>1170</v>
      </c>
      <c r="L157" s="1254" t="s">
        <v>425</v>
      </c>
      <c r="M157" s="1483" t="s">
        <v>2616</v>
      </c>
      <c r="N157" s="1483" t="s">
        <v>1709</v>
      </c>
      <c r="O157" s="1815" t="s">
        <v>4361</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2630</v>
      </c>
      <c r="K158" s="1253" t="s">
        <v>1171</v>
      </c>
      <c r="L158" s="1254" t="s">
        <v>426</v>
      </c>
      <c r="M158" s="1483" t="s">
        <v>1207</v>
      </c>
      <c r="N158" s="1483" t="s">
        <v>1795</v>
      </c>
      <c r="O158" s="1815" t="s">
        <v>4362</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2629</v>
      </c>
      <c r="K159" s="1253" t="s">
        <v>1172</v>
      </c>
      <c r="L159" s="1254" t="s">
        <v>425</v>
      </c>
      <c r="M159" s="1483" t="s">
        <v>2616</v>
      </c>
      <c r="N159" s="1483" t="s">
        <v>1332</v>
      </c>
      <c r="O159" s="1815" t="s">
        <v>4363</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2629</v>
      </c>
      <c r="K160" s="1253" t="s">
        <v>1837</v>
      </c>
      <c r="L160" s="1254" t="s">
        <v>425</v>
      </c>
      <c r="M160" s="1483" t="s">
        <v>2616</v>
      </c>
      <c r="N160" s="1483" t="s">
        <v>167</v>
      </c>
      <c r="O160" s="1815" t="s">
        <v>4364</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2630</v>
      </c>
      <c r="K161" s="1253" t="s">
        <v>2593</v>
      </c>
      <c r="L161" s="1254" t="s">
        <v>426</v>
      </c>
      <c r="M161" s="1483" t="s">
        <v>1207</v>
      </c>
      <c r="N161" s="1483" t="s">
        <v>1217</v>
      </c>
      <c r="O161" s="1815" t="s">
        <v>4365</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2630</v>
      </c>
      <c r="K162" s="1253" t="s">
        <v>2593</v>
      </c>
      <c r="L162" s="1254" t="s">
        <v>426</v>
      </c>
      <c r="M162" s="1483" t="s">
        <v>1207</v>
      </c>
      <c r="N162" s="1483" t="s">
        <v>1217</v>
      </c>
      <c r="O162" s="1815" t="s">
        <v>4366</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2629</v>
      </c>
      <c r="K163" s="1253" t="s">
        <v>2594</v>
      </c>
      <c r="L163" s="1254" t="s">
        <v>425</v>
      </c>
      <c r="M163" s="1483" t="s">
        <v>2616</v>
      </c>
      <c r="N163" s="1483" t="s">
        <v>1795</v>
      </c>
      <c r="O163" s="1815" t="s">
        <v>4367</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2629</v>
      </c>
      <c r="K164" s="1253" t="s">
        <v>2595</v>
      </c>
      <c r="L164" s="1254" t="s">
        <v>425</v>
      </c>
      <c r="M164" s="1483" t="s">
        <v>2616</v>
      </c>
      <c r="N164" s="1483" t="s">
        <v>1709</v>
      </c>
      <c r="O164" s="1815" t="s">
        <v>4368</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2630</v>
      </c>
      <c r="K165" s="1253" t="s">
        <v>2596</v>
      </c>
      <c r="L165" s="1254" t="s">
        <v>426</v>
      </c>
      <c r="M165" s="1483" t="s">
        <v>1207</v>
      </c>
      <c r="N165" s="1483" t="s">
        <v>1332</v>
      </c>
      <c r="O165" s="1815" t="s">
        <v>4369</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2629</v>
      </c>
      <c r="K166" s="1253" t="s">
        <v>2597</v>
      </c>
      <c r="L166" s="1254" t="s">
        <v>425</v>
      </c>
      <c r="M166" s="1483" t="s">
        <v>2616</v>
      </c>
      <c r="N166" s="1483" t="s">
        <v>1332</v>
      </c>
      <c r="O166" s="1815" t="s">
        <v>4370</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2630</v>
      </c>
      <c r="K167" s="1253" t="s">
        <v>2598</v>
      </c>
      <c r="L167" s="1254" t="s">
        <v>426</v>
      </c>
      <c r="M167" s="1483" t="s">
        <v>1207</v>
      </c>
      <c r="N167" s="1483" t="s">
        <v>1709</v>
      </c>
      <c r="O167" s="1815" t="s">
        <v>4371</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2630</v>
      </c>
      <c r="K168" s="1253" t="s">
        <v>2599</v>
      </c>
      <c r="L168" s="1254" t="s">
        <v>426</v>
      </c>
      <c r="M168" s="1483" t="s">
        <v>1207</v>
      </c>
      <c r="N168" s="1483" t="s">
        <v>1709</v>
      </c>
      <c r="O168" s="1815" t="s">
        <v>4372</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2630</v>
      </c>
      <c r="K169" s="1253" t="s">
        <v>1475</v>
      </c>
      <c r="L169" s="1254" t="s">
        <v>426</v>
      </c>
      <c r="M169" s="1483" t="s">
        <v>1207</v>
      </c>
      <c r="N169" s="1483" t="s">
        <v>1338</v>
      </c>
      <c r="O169" s="1815" t="s">
        <v>4373</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2629</v>
      </c>
      <c r="K170" s="1253" t="s">
        <v>2614</v>
      </c>
      <c r="L170" s="1254" t="s">
        <v>425</v>
      </c>
      <c r="M170" s="1483" t="s">
        <v>2616</v>
      </c>
      <c r="N170" s="1483" t="s">
        <v>1338</v>
      </c>
      <c r="O170" s="1815" t="s">
        <v>4374</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2630</v>
      </c>
      <c r="K171" s="1253" t="s">
        <v>2615</v>
      </c>
      <c r="L171" s="1254" t="s">
        <v>426</v>
      </c>
      <c r="M171" s="1483" t="s">
        <v>2616</v>
      </c>
      <c r="N171" s="1483" t="s">
        <v>1342</v>
      </c>
      <c r="O171" s="1815" t="s">
        <v>4375</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2630</v>
      </c>
      <c r="K172" s="1253" t="s">
        <v>1269</v>
      </c>
      <c r="L172" s="1254" t="s">
        <v>426</v>
      </c>
      <c r="M172" s="1483" t="s">
        <v>2616</v>
      </c>
      <c r="N172" s="1483" t="s">
        <v>1217</v>
      </c>
      <c r="O172" s="1815" t="s">
        <v>4376</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2629</v>
      </c>
      <c r="K173" s="1253" t="s">
        <v>1270</v>
      </c>
      <c r="L173" s="1254" t="s">
        <v>425</v>
      </c>
      <c r="M173" s="1483" t="s">
        <v>2616</v>
      </c>
      <c r="N173" s="1483" t="s">
        <v>1795</v>
      </c>
      <c r="O173" s="1815" t="s">
        <v>4377</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2629</v>
      </c>
      <c r="K174" s="1253" t="s">
        <v>1271</v>
      </c>
      <c r="L174" s="1254" t="s">
        <v>425</v>
      </c>
      <c r="M174" s="1483" t="s">
        <v>2616</v>
      </c>
      <c r="N174" s="1483" t="s">
        <v>1709</v>
      </c>
      <c r="O174" s="1815" t="s">
        <v>4378</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2629</v>
      </c>
      <c r="K175" s="1253" t="s">
        <v>1724</v>
      </c>
      <c r="L175" s="1254" t="s">
        <v>425</v>
      </c>
      <c r="M175" s="1483" t="s">
        <v>2616</v>
      </c>
      <c r="N175" s="1483" t="s">
        <v>1338</v>
      </c>
      <c r="O175" s="1815" t="s">
        <v>4379</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1" t="s">
        <v>741</v>
      </c>
      <c r="H176" s="1251" t="s">
        <v>1323</v>
      </c>
      <c r="I176" s="1255" t="s">
        <v>772</v>
      </c>
      <c r="J176" s="1255" t="s">
        <v>2630</v>
      </c>
      <c r="K176" s="1253" t="s">
        <v>2593</v>
      </c>
      <c r="L176" s="1254" t="s">
        <v>426</v>
      </c>
      <c r="M176" s="1483" t="s">
        <v>1207</v>
      </c>
      <c r="N176" s="1483" t="s">
        <v>1217</v>
      </c>
      <c r="O176" s="1815" t="s">
        <v>4380</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1" t="s">
        <v>1532</v>
      </c>
      <c r="H177" s="1251" t="s">
        <v>1323</v>
      </c>
      <c r="I177" s="1255" t="s">
        <v>1533</v>
      </c>
      <c r="J177" s="1255" t="s">
        <v>2630</v>
      </c>
      <c r="K177" s="1253" t="s">
        <v>1693</v>
      </c>
      <c r="L177" s="1254" t="s">
        <v>426</v>
      </c>
      <c r="M177" s="1483" t="s">
        <v>2616</v>
      </c>
      <c r="N177" s="1483" t="s">
        <v>1533</v>
      </c>
      <c r="O177" s="1815" t="s">
        <v>4381</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1" t="s">
        <v>158</v>
      </c>
      <c r="H178" s="1251" t="s">
        <v>1223</v>
      </c>
      <c r="I178" s="1252" t="s">
        <v>159</v>
      </c>
      <c r="J178" s="1252" t="s">
        <v>2629</v>
      </c>
      <c r="K178" s="1253" t="s">
        <v>1694</v>
      </c>
      <c r="L178" s="1254" t="s">
        <v>425</v>
      </c>
      <c r="M178" s="1483" t="s">
        <v>2616</v>
      </c>
      <c r="N178" s="1483" t="s">
        <v>1709</v>
      </c>
      <c r="O178" s="1815" t="s">
        <v>4382</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1" t="s">
        <v>160</v>
      </c>
      <c r="H179" s="1251" t="s">
        <v>1223</v>
      </c>
      <c r="I179" s="1255" t="s">
        <v>1338</v>
      </c>
      <c r="J179" s="1255" t="s">
        <v>2630</v>
      </c>
      <c r="K179" s="1253" t="s">
        <v>1475</v>
      </c>
      <c r="L179" s="1254" t="s">
        <v>426</v>
      </c>
      <c r="M179" s="1483" t="s">
        <v>1207</v>
      </c>
      <c r="N179" s="1483" t="s">
        <v>1338</v>
      </c>
      <c r="O179" s="1815" t="s">
        <v>4383</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2630</v>
      </c>
      <c r="K180" s="1253" t="s">
        <v>1695</v>
      </c>
      <c r="L180" s="1254" t="s">
        <v>426</v>
      </c>
      <c r="M180" s="1483" t="s">
        <v>2616</v>
      </c>
      <c r="N180" s="1483" t="s">
        <v>162</v>
      </c>
      <c r="O180" s="1815" t="s">
        <v>4384</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1" t="s">
        <v>163</v>
      </c>
      <c r="H181" s="1251" t="s">
        <v>1323</v>
      </c>
      <c r="I181" s="1252" t="s">
        <v>164</v>
      </c>
      <c r="J181" s="1252" t="s">
        <v>2629</v>
      </c>
      <c r="K181" s="1253" t="s">
        <v>1696</v>
      </c>
      <c r="L181" s="1254" t="s">
        <v>425</v>
      </c>
      <c r="M181" s="1483" t="s">
        <v>2616</v>
      </c>
      <c r="N181" s="1483" t="s">
        <v>1533</v>
      </c>
      <c r="O181" s="1815" t="s">
        <v>4385</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2630</v>
      </c>
      <c r="K182" s="1253" t="s">
        <v>2593</v>
      </c>
      <c r="L182" s="1254" t="s">
        <v>426</v>
      </c>
      <c r="M182" s="1483" t="s">
        <v>1207</v>
      </c>
      <c r="N182" s="1483" t="s">
        <v>1217</v>
      </c>
      <c r="O182" s="1815" t="s">
        <v>4386</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2630</v>
      </c>
      <c r="K183" s="1253" t="s">
        <v>626</v>
      </c>
      <c r="L183" s="1254" t="s">
        <v>426</v>
      </c>
      <c r="M183" s="1484" t="s">
        <v>1207</v>
      </c>
      <c r="N183" s="1484" t="s">
        <v>167</v>
      </c>
      <c r="O183" s="1815" t="s">
        <v>4387</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1" t="s">
        <v>2497</v>
      </c>
      <c r="H184" s="1251" t="s">
        <v>1223</v>
      </c>
      <c r="I184" s="1252" t="s">
        <v>2498</v>
      </c>
      <c r="J184" s="1252" t="s">
        <v>2629</v>
      </c>
      <c r="K184" s="1253" t="s">
        <v>627</v>
      </c>
      <c r="L184" s="1254" t="s">
        <v>425</v>
      </c>
      <c r="M184" s="1484" t="s">
        <v>2616</v>
      </c>
      <c r="N184" s="1484" t="s">
        <v>1795</v>
      </c>
      <c r="O184" s="1815" t="s">
        <v>4388</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1" t="s">
        <v>2499</v>
      </c>
      <c r="H185" s="1251" t="s">
        <v>1323</v>
      </c>
      <c r="I185" s="1255" t="s">
        <v>772</v>
      </c>
      <c r="J185" s="1255" t="s">
        <v>2630</v>
      </c>
      <c r="K185" s="1253" t="s">
        <v>2593</v>
      </c>
      <c r="L185" s="1254" t="s">
        <v>426</v>
      </c>
      <c r="M185" s="1483" t="s">
        <v>1207</v>
      </c>
      <c r="N185" s="1483" t="s">
        <v>1217</v>
      </c>
      <c r="O185" s="1815" t="s">
        <v>4389</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1" t="s">
        <v>2500</v>
      </c>
      <c r="H186" s="1251" t="s">
        <v>1223</v>
      </c>
      <c r="I186" s="1252" t="s">
        <v>2501</v>
      </c>
      <c r="J186" s="1252" t="s">
        <v>2629</v>
      </c>
      <c r="K186" s="1253" t="s">
        <v>628</v>
      </c>
      <c r="L186" s="1254" t="s">
        <v>425</v>
      </c>
      <c r="M186" s="1484" t="s">
        <v>2616</v>
      </c>
      <c r="N186" s="1484" t="s">
        <v>1709</v>
      </c>
      <c r="O186" s="1815" t="s">
        <v>4390</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1" t="s">
        <v>2502</v>
      </c>
      <c r="H187" s="1251" t="s">
        <v>1323</v>
      </c>
      <c r="I187" s="1255" t="s">
        <v>772</v>
      </c>
      <c r="J187" s="1255" t="s">
        <v>2630</v>
      </c>
      <c r="K187" s="1253" t="s">
        <v>2593</v>
      </c>
      <c r="L187" s="1254" t="s">
        <v>426</v>
      </c>
      <c r="M187" s="1483" t="s">
        <v>1207</v>
      </c>
      <c r="N187" s="1483" t="s">
        <v>1217</v>
      </c>
      <c r="O187" s="1815" t="s">
        <v>4391</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1" t="s">
        <v>2503</v>
      </c>
      <c r="H188" s="1251" t="s">
        <v>1223</v>
      </c>
      <c r="I188" s="1252" t="s">
        <v>2504</v>
      </c>
      <c r="J188" s="1252" t="s">
        <v>2629</v>
      </c>
      <c r="K188" s="1253" t="s">
        <v>629</v>
      </c>
      <c r="L188" s="1254" t="s">
        <v>425</v>
      </c>
      <c r="M188" s="1484" t="s">
        <v>2616</v>
      </c>
      <c r="N188" s="1484" t="s">
        <v>1709</v>
      </c>
      <c r="O188" s="1815" t="s">
        <v>4392</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1" t="s">
        <v>2505</v>
      </c>
      <c r="H189" s="1251" t="s">
        <v>1223</v>
      </c>
      <c r="I189" s="1252" t="s">
        <v>2544</v>
      </c>
      <c r="J189" s="1252" t="s">
        <v>2629</v>
      </c>
      <c r="K189" s="1253" t="s">
        <v>630</v>
      </c>
      <c r="L189" s="1254" t="s">
        <v>425</v>
      </c>
      <c r="M189" s="1484" t="s">
        <v>2616</v>
      </c>
      <c r="N189" s="1484" t="s">
        <v>1795</v>
      </c>
      <c r="O189" s="1815" t="s">
        <v>4393</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1" t="s">
        <v>2545</v>
      </c>
      <c r="H190" s="1251" t="s">
        <v>1323</v>
      </c>
      <c r="I190" s="1255" t="s">
        <v>773</v>
      </c>
      <c r="J190" s="1255" t="s">
        <v>2630</v>
      </c>
      <c r="K190" s="1253" t="s">
        <v>2615</v>
      </c>
      <c r="L190" s="1254" t="s">
        <v>426</v>
      </c>
      <c r="M190" s="1483" t="s">
        <v>2616</v>
      </c>
      <c r="N190" s="1483" t="s">
        <v>1342</v>
      </c>
      <c r="O190" s="1815" t="s">
        <v>4394</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1" t="s">
        <v>2546</v>
      </c>
      <c r="H191" s="1251" t="s">
        <v>1223</v>
      </c>
      <c r="I191" s="1252" t="s">
        <v>2547</v>
      </c>
      <c r="J191" s="1252" t="s">
        <v>2629</v>
      </c>
      <c r="K191" s="1253" t="s">
        <v>631</v>
      </c>
      <c r="L191" s="1254" t="s">
        <v>425</v>
      </c>
      <c r="M191" s="1484" t="s">
        <v>2616</v>
      </c>
      <c r="N191" s="1484" t="s">
        <v>1709</v>
      </c>
      <c r="O191" s="1815" t="s">
        <v>4395</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1" t="s">
        <v>2548</v>
      </c>
      <c r="H192" s="1251" t="s">
        <v>1323</v>
      </c>
      <c r="I192" s="1255" t="s">
        <v>772</v>
      </c>
      <c r="J192" s="1255" t="s">
        <v>2630</v>
      </c>
      <c r="K192" s="1253" t="s">
        <v>2593</v>
      </c>
      <c r="L192" s="1254" t="s">
        <v>426</v>
      </c>
      <c r="M192" s="1483" t="s">
        <v>1207</v>
      </c>
      <c r="N192" s="1483" t="s">
        <v>1217</v>
      </c>
      <c r="O192" s="1815" t="s">
        <v>4396</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1" t="s">
        <v>2549</v>
      </c>
      <c r="H193" s="1251" t="s">
        <v>1323</v>
      </c>
      <c r="I193" s="1255" t="s">
        <v>1332</v>
      </c>
      <c r="J193" s="1255" t="s">
        <v>2630</v>
      </c>
      <c r="K193" s="1253" t="s">
        <v>2596</v>
      </c>
      <c r="L193" s="1254" t="s">
        <v>426</v>
      </c>
      <c r="M193" s="1483" t="s">
        <v>2616</v>
      </c>
      <c r="N193" s="1483" t="s">
        <v>1332</v>
      </c>
      <c r="O193" s="1815" t="s">
        <v>4397</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1" t="s">
        <v>2550</v>
      </c>
      <c r="H194" s="1251" t="s">
        <v>1223</v>
      </c>
      <c r="I194" s="1252" t="s">
        <v>195</v>
      </c>
      <c r="J194" s="1252" t="s">
        <v>2629</v>
      </c>
      <c r="K194" s="1253" t="s">
        <v>632</v>
      </c>
      <c r="L194" s="1254" t="s">
        <v>425</v>
      </c>
      <c r="M194" s="1484" t="s">
        <v>2616</v>
      </c>
      <c r="N194" s="1484" t="s">
        <v>1795</v>
      </c>
      <c r="O194" s="1815" t="s">
        <v>4398</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2630</v>
      </c>
      <c r="K195" s="1253" t="s">
        <v>1693</v>
      </c>
      <c r="L195" s="1254" t="s">
        <v>426</v>
      </c>
      <c r="M195" s="1483" t="s">
        <v>2616</v>
      </c>
      <c r="N195" s="1483" t="s">
        <v>1533</v>
      </c>
      <c r="O195" s="1815" t="s">
        <v>4399</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2630</v>
      </c>
      <c r="K196" s="1253" t="s">
        <v>2593</v>
      </c>
      <c r="L196" s="1254" t="s">
        <v>426</v>
      </c>
      <c r="M196" s="1483" t="s">
        <v>1207</v>
      </c>
      <c r="N196" s="1483" t="s">
        <v>1217</v>
      </c>
      <c r="O196" s="1815" t="s">
        <v>4400</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2629</v>
      </c>
      <c r="K197" s="1253" t="s">
        <v>633</v>
      </c>
      <c r="L197" s="1254" t="s">
        <v>425</v>
      </c>
      <c r="M197" s="1484" t="s">
        <v>2616</v>
      </c>
      <c r="N197" s="1484" t="s">
        <v>1795</v>
      </c>
      <c r="O197" s="1815" t="s">
        <v>4401</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2630</v>
      </c>
      <c r="K198" s="1253" t="s">
        <v>2593</v>
      </c>
      <c r="L198" s="1254" t="s">
        <v>426</v>
      </c>
      <c r="M198" s="1483" t="s">
        <v>1207</v>
      </c>
      <c r="N198" s="1483" t="s">
        <v>1217</v>
      </c>
      <c r="O198" s="1815" t="s">
        <v>4402</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2629</v>
      </c>
      <c r="K199" s="1253" t="s">
        <v>1974</v>
      </c>
      <c r="L199" s="1254" t="s">
        <v>425</v>
      </c>
      <c r="M199" s="1484" t="s">
        <v>2616</v>
      </c>
      <c r="N199" s="1484" t="s">
        <v>1332</v>
      </c>
      <c r="O199" s="1815" t="s">
        <v>4403</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2629</v>
      </c>
      <c r="K200" s="1253" t="s">
        <v>1975</v>
      </c>
      <c r="L200" s="1254" t="s">
        <v>425</v>
      </c>
      <c r="M200" s="1484" t="s">
        <v>2616</v>
      </c>
      <c r="N200" s="1484" t="s">
        <v>1795</v>
      </c>
      <c r="O200" s="1815" t="s">
        <v>4404</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2630</v>
      </c>
      <c r="K201" s="1253" t="s">
        <v>1171</v>
      </c>
      <c r="L201" s="1254" t="s">
        <v>426</v>
      </c>
      <c r="M201" s="1484" t="s">
        <v>1207</v>
      </c>
      <c r="N201" s="1484" t="s">
        <v>1795</v>
      </c>
      <c r="O201" s="1815" t="s">
        <v>4405</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2630</v>
      </c>
      <c r="K202" s="1253" t="s">
        <v>2593</v>
      </c>
      <c r="L202" s="1254" t="s">
        <v>426</v>
      </c>
      <c r="M202" s="1483" t="s">
        <v>1207</v>
      </c>
      <c r="N202" s="1483" t="s">
        <v>1217</v>
      </c>
      <c r="O202" s="1815" t="s">
        <v>4406</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2629</v>
      </c>
      <c r="K203" s="1253" t="s">
        <v>1976</v>
      </c>
      <c r="L203" s="1254" t="s">
        <v>425</v>
      </c>
      <c r="M203" s="1484" t="s">
        <v>2616</v>
      </c>
      <c r="N203" s="1484" t="s">
        <v>1795</v>
      </c>
      <c r="O203" s="1815" t="s">
        <v>4407</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2630</v>
      </c>
      <c r="K204" s="1253" t="s">
        <v>2599</v>
      </c>
      <c r="L204" s="1254" t="s">
        <v>426</v>
      </c>
      <c r="M204" s="1483" t="s">
        <v>2616</v>
      </c>
      <c r="N204" s="1483" t="s">
        <v>1709</v>
      </c>
      <c r="O204" s="1815" t="s">
        <v>4408</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2630</v>
      </c>
      <c r="K205" s="1253" t="s">
        <v>1475</v>
      </c>
      <c r="L205" s="1254" t="s">
        <v>426</v>
      </c>
      <c r="M205" s="1483" t="s">
        <v>2616</v>
      </c>
      <c r="N205" s="1483" t="s">
        <v>1338</v>
      </c>
      <c r="O205" s="1815" t="s">
        <v>4409</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2629</v>
      </c>
      <c r="K206" s="1253" t="s">
        <v>1347</v>
      </c>
      <c r="L206" s="1254" t="s">
        <v>425</v>
      </c>
      <c r="M206" s="1484" t="s">
        <v>2616</v>
      </c>
      <c r="N206" s="1484" t="s">
        <v>167</v>
      </c>
      <c r="O206" s="1815" t="s">
        <v>4410</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2629</v>
      </c>
      <c r="K207" s="1253" t="s">
        <v>1348</v>
      </c>
      <c r="L207" s="1254" t="s">
        <v>425</v>
      </c>
      <c r="M207" s="1484" t="s">
        <v>2616</v>
      </c>
      <c r="N207" s="1484" t="s">
        <v>1342</v>
      </c>
      <c r="O207" s="1815" t="s">
        <v>4411</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2629</v>
      </c>
      <c r="K208" s="1253" t="s">
        <v>1349</v>
      </c>
      <c r="L208" s="1254" t="s">
        <v>425</v>
      </c>
      <c r="M208" s="1484" t="s">
        <v>2616</v>
      </c>
      <c r="N208" s="1484" t="s">
        <v>1338</v>
      </c>
      <c r="O208" s="1815" t="s">
        <v>4412</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2629</v>
      </c>
      <c r="K209" s="1253" t="s">
        <v>1350</v>
      </c>
      <c r="L209" s="1254" t="s">
        <v>425</v>
      </c>
      <c r="M209" s="1484" t="s">
        <v>2616</v>
      </c>
      <c r="N209" s="1484" t="s">
        <v>1217</v>
      </c>
      <c r="O209" s="1815" t="s">
        <v>4413</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2630</v>
      </c>
      <c r="K210" s="1253" t="s">
        <v>2593</v>
      </c>
      <c r="L210" s="1254" t="s">
        <v>426</v>
      </c>
      <c r="M210" s="1483" t="s">
        <v>1207</v>
      </c>
      <c r="N210" s="1483" t="s">
        <v>1217</v>
      </c>
      <c r="O210" s="1815" t="s">
        <v>4414</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2630</v>
      </c>
      <c r="K211" s="1253" t="s">
        <v>1351</v>
      </c>
      <c r="L211" s="1254" t="s">
        <v>426</v>
      </c>
      <c r="M211" s="1484" t="s">
        <v>1207</v>
      </c>
      <c r="N211" s="1484" t="s">
        <v>1217</v>
      </c>
      <c r="O211" s="1815" t="s">
        <v>4415</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2630</v>
      </c>
      <c r="K212" s="1253" t="s">
        <v>2593</v>
      </c>
      <c r="L212" s="1254" t="s">
        <v>426</v>
      </c>
      <c r="M212" s="1483" t="s">
        <v>1207</v>
      </c>
      <c r="N212" s="1483" t="s">
        <v>1217</v>
      </c>
      <c r="O212" s="1815" t="s">
        <v>4416</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2629</v>
      </c>
      <c r="K213" s="1253" t="s">
        <v>1352</v>
      </c>
      <c r="L213" s="1254" t="s">
        <v>425</v>
      </c>
      <c r="M213" s="1484" t="s">
        <v>2616</v>
      </c>
      <c r="N213" s="1484" t="s">
        <v>167</v>
      </c>
      <c r="O213" s="1815" t="s">
        <v>4417</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2630</v>
      </c>
      <c r="K214" s="1253" t="s">
        <v>2593</v>
      </c>
      <c r="L214" s="1254" t="s">
        <v>426</v>
      </c>
      <c r="M214" s="1483" t="s">
        <v>1207</v>
      </c>
      <c r="N214" s="1483" t="s">
        <v>1217</v>
      </c>
      <c r="O214" s="1815" t="s">
        <v>4418</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2629</v>
      </c>
      <c r="K215" s="1253" t="s">
        <v>241</v>
      </c>
      <c r="L215" s="1254" t="s">
        <v>425</v>
      </c>
      <c r="M215" s="1484" t="s">
        <v>2616</v>
      </c>
      <c r="N215" s="1484" t="s">
        <v>1217</v>
      </c>
      <c r="O215" s="1815" t="s">
        <v>4419</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2629</v>
      </c>
      <c r="K216" s="1253" t="s">
        <v>242</v>
      </c>
      <c r="L216" s="1254" t="s">
        <v>425</v>
      </c>
      <c r="M216" s="1484" t="s">
        <v>2616</v>
      </c>
      <c r="N216" s="1484" t="s">
        <v>1342</v>
      </c>
      <c r="O216" s="1815" t="s">
        <v>4420</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2630</v>
      </c>
      <c r="K217" s="1253" t="s">
        <v>2598</v>
      </c>
      <c r="L217" s="1254" t="s">
        <v>426</v>
      </c>
      <c r="M217" s="1484" t="s">
        <v>1207</v>
      </c>
      <c r="N217" s="1484" t="s">
        <v>1338</v>
      </c>
      <c r="O217" s="1815" t="s">
        <v>4421</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2629</v>
      </c>
      <c r="K218" s="1253" t="s">
        <v>243</v>
      </c>
      <c r="L218" s="1254" t="s">
        <v>425</v>
      </c>
      <c r="M218" s="1484" t="s">
        <v>2616</v>
      </c>
      <c r="N218" s="1484" t="s">
        <v>1217</v>
      </c>
      <c r="O218" s="1815" t="s">
        <v>4422</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2629</v>
      </c>
      <c r="K219" s="1253" t="s">
        <v>405</v>
      </c>
      <c r="L219" s="1254" t="s">
        <v>425</v>
      </c>
      <c r="M219" s="1484" t="s">
        <v>2616</v>
      </c>
      <c r="N219" s="1484" t="s">
        <v>1795</v>
      </c>
      <c r="O219" s="1815" t="s">
        <v>4423</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2629</v>
      </c>
      <c r="K220" s="1253" t="s">
        <v>406</v>
      </c>
      <c r="L220" s="1254" t="s">
        <v>425</v>
      </c>
      <c r="M220" s="1484" t="s">
        <v>2616</v>
      </c>
      <c r="N220" s="1484" t="s">
        <v>167</v>
      </c>
      <c r="O220" s="1815" t="s">
        <v>4424</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2630</v>
      </c>
      <c r="K221" s="1253" t="s">
        <v>2593</v>
      </c>
      <c r="L221" s="1254" t="s">
        <v>426</v>
      </c>
      <c r="M221" s="1483" t="s">
        <v>1207</v>
      </c>
      <c r="N221" s="1483" t="s">
        <v>1217</v>
      </c>
      <c r="O221" s="1815" t="s">
        <v>4425</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1323</v>
      </c>
      <c r="I222" s="1252" t="s">
        <v>124</v>
      </c>
      <c r="J222" s="1252" t="s">
        <v>2629</v>
      </c>
      <c r="K222" s="1253" t="s">
        <v>407</v>
      </c>
      <c r="L222" s="1254" t="s">
        <v>425</v>
      </c>
      <c r="M222" s="1484" t="s">
        <v>2616</v>
      </c>
      <c r="N222" s="1484" t="s">
        <v>167</v>
      </c>
      <c r="O222" s="1815" t="s">
        <v>4426</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1323</v>
      </c>
      <c r="I223" s="1252" t="s">
        <v>1233</v>
      </c>
      <c r="J223" s="1252" t="s">
        <v>2630</v>
      </c>
      <c r="K223" s="1253" t="s">
        <v>408</v>
      </c>
      <c r="L223" s="1254" t="s">
        <v>426</v>
      </c>
      <c r="M223" s="1484" t="s">
        <v>1207</v>
      </c>
      <c r="N223" s="1484" t="s">
        <v>1217</v>
      </c>
      <c r="O223" s="1815" t="s">
        <v>4427</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2629</v>
      </c>
      <c r="K224" s="1253" t="s">
        <v>409</v>
      </c>
      <c r="L224" s="1254" t="s">
        <v>425</v>
      </c>
      <c r="M224" s="1484" t="s">
        <v>2616</v>
      </c>
      <c r="N224" s="1484" t="s">
        <v>1332</v>
      </c>
      <c r="O224" s="1815" t="s">
        <v>4428</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2630</v>
      </c>
      <c r="K225" s="1253" t="s">
        <v>410</v>
      </c>
      <c r="L225" s="1254" t="s">
        <v>426</v>
      </c>
      <c r="M225" s="1483" t="s">
        <v>2616</v>
      </c>
      <c r="N225" s="1483" t="s">
        <v>1217</v>
      </c>
      <c r="O225" s="1815" t="s">
        <v>4429</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2630</v>
      </c>
      <c r="K226" s="1253" t="s">
        <v>1695</v>
      </c>
      <c r="L226" s="1254" t="s">
        <v>426</v>
      </c>
      <c r="M226" s="1483" t="s">
        <v>2616</v>
      </c>
      <c r="N226" s="1483" t="s">
        <v>162</v>
      </c>
      <c r="O226" s="1815" t="s">
        <v>4430</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2629</v>
      </c>
      <c r="K227" s="1253" t="s">
        <v>411</v>
      </c>
      <c r="L227" s="1254" t="s">
        <v>425</v>
      </c>
      <c r="M227" s="1484" t="s">
        <v>2616</v>
      </c>
      <c r="N227" s="1484" t="s">
        <v>167</v>
      </c>
      <c r="O227" s="1815" t="s">
        <v>4431</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2630</v>
      </c>
      <c r="K228" s="1253" t="s">
        <v>2593</v>
      </c>
      <c r="L228" s="1254" t="s">
        <v>426</v>
      </c>
      <c r="M228" s="1483" t="s">
        <v>1207</v>
      </c>
      <c r="N228" s="1483" t="s">
        <v>1217</v>
      </c>
      <c r="O228" s="1815" t="s">
        <v>4432</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2630</v>
      </c>
      <c r="K229" s="1253" t="s">
        <v>2593</v>
      </c>
      <c r="L229" s="1254" t="s">
        <v>426</v>
      </c>
      <c r="M229" s="1483" t="s">
        <v>1207</v>
      </c>
      <c r="N229" s="1483" t="s">
        <v>1217</v>
      </c>
      <c r="O229" s="1815" t="s">
        <v>4433</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2630</v>
      </c>
      <c r="K230" s="1253" t="s">
        <v>412</v>
      </c>
      <c r="L230" s="1254" t="s">
        <v>426</v>
      </c>
      <c r="M230" s="1484" t="s">
        <v>1207</v>
      </c>
      <c r="N230" s="1484" t="s">
        <v>1332</v>
      </c>
      <c r="O230" s="1815" t="s">
        <v>4434</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2629</v>
      </c>
      <c r="K231" s="1253" t="s">
        <v>654</v>
      </c>
      <c r="L231" s="1254" t="s">
        <v>425</v>
      </c>
      <c r="M231" s="1484" t="s">
        <v>2616</v>
      </c>
      <c r="N231" s="1484" t="s">
        <v>1795</v>
      </c>
      <c r="O231" s="1815" t="s">
        <v>4435</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2629</v>
      </c>
      <c r="K232" s="1253" t="s">
        <v>655</v>
      </c>
      <c r="L232" s="1254" t="s">
        <v>425</v>
      </c>
      <c r="M232" s="1484" t="s">
        <v>2616</v>
      </c>
      <c r="N232" s="1484" t="s">
        <v>1217</v>
      </c>
      <c r="O232" s="1815" t="s">
        <v>4436</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2630</v>
      </c>
      <c r="K233" s="1253" t="s">
        <v>2593</v>
      </c>
      <c r="L233" s="1254" t="s">
        <v>426</v>
      </c>
      <c r="M233" s="1483" t="s">
        <v>1207</v>
      </c>
      <c r="N233" s="1483" t="s">
        <v>1217</v>
      </c>
      <c r="O233" s="1815" t="s">
        <v>4437</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2629</v>
      </c>
      <c r="K234" s="1253" t="s">
        <v>656</v>
      </c>
      <c r="L234" s="1254" t="s">
        <v>425</v>
      </c>
      <c r="M234" s="1484" t="s">
        <v>2616</v>
      </c>
      <c r="N234" s="1484" t="s">
        <v>1709</v>
      </c>
      <c r="O234" s="1815" t="s">
        <v>4438</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2629</v>
      </c>
      <c r="K235" s="1253" t="s">
        <v>266</v>
      </c>
      <c r="L235" s="1254" t="s">
        <v>425</v>
      </c>
      <c r="M235" s="1484" t="s">
        <v>2616</v>
      </c>
      <c r="N235" s="1484" t="s">
        <v>1342</v>
      </c>
      <c r="O235" s="1815" t="s">
        <v>4439</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2629</v>
      </c>
      <c r="K236" s="1253" t="s">
        <v>267</v>
      </c>
      <c r="L236" s="1254" t="s">
        <v>425</v>
      </c>
      <c r="M236" s="1484" t="s">
        <v>2616</v>
      </c>
      <c r="N236" s="1484" t="s">
        <v>1342</v>
      </c>
      <c r="O236" s="1815" t="s">
        <v>4440</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2629</v>
      </c>
      <c r="K237" s="1253" t="s">
        <v>268</v>
      </c>
      <c r="L237" s="1254" t="s">
        <v>425</v>
      </c>
      <c r="M237" s="1484" t="s">
        <v>2616</v>
      </c>
      <c r="N237" s="1484" t="s">
        <v>1332</v>
      </c>
      <c r="O237" s="1815" t="s">
        <v>4441</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2630</v>
      </c>
      <c r="K238" s="1253" t="s">
        <v>2596</v>
      </c>
      <c r="L238" s="1254" t="s">
        <v>426</v>
      </c>
      <c r="M238" s="1483" t="s">
        <v>2616</v>
      </c>
      <c r="N238" s="1483" t="s">
        <v>1332</v>
      </c>
      <c r="O238" s="1815" t="s">
        <v>4442</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2630</v>
      </c>
      <c r="K239" s="1253" t="s">
        <v>269</v>
      </c>
      <c r="L239" s="1254" t="s">
        <v>426</v>
      </c>
      <c r="M239" s="1483" t="s">
        <v>2616</v>
      </c>
      <c r="N239" s="1483" t="s">
        <v>1217</v>
      </c>
      <c r="O239" s="1815" t="s">
        <v>4443</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2630</v>
      </c>
      <c r="K240" s="1253" t="s">
        <v>2599</v>
      </c>
      <c r="L240" s="1254" t="s">
        <v>426</v>
      </c>
      <c r="M240" s="1483" t="s">
        <v>2616</v>
      </c>
      <c r="N240" s="1483" t="s">
        <v>1709</v>
      </c>
      <c r="O240" s="1815" t="s">
        <v>4444</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2629</v>
      </c>
      <c r="K241" s="1253" t="s">
        <v>270</v>
      </c>
      <c r="L241" s="1254" t="s">
        <v>425</v>
      </c>
      <c r="M241" s="1484" t="s">
        <v>2616</v>
      </c>
      <c r="N241" s="1484" t="s">
        <v>1332</v>
      </c>
      <c r="O241" s="1815" t="s">
        <v>4445</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2630</v>
      </c>
      <c r="K242" s="1253" t="s">
        <v>1171</v>
      </c>
      <c r="L242" s="1254" t="s">
        <v>426</v>
      </c>
      <c r="M242" s="1483" t="s">
        <v>2616</v>
      </c>
      <c r="N242" s="1483" t="s">
        <v>1795</v>
      </c>
      <c r="O242" s="1815" t="s">
        <v>4446</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2630</v>
      </c>
      <c r="K243" s="1253" t="s">
        <v>271</v>
      </c>
      <c r="L243" s="1254" t="s">
        <v>426</v>
      </c>
      <c r="M243" s="1484" t="s">
        <v>1207</v>
      </c>
      <c r="N243" s="1484" t="s">
        <v>1338</v>
      </c>
      <c r="O243" s="1815" t="s">
        <v>4447</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2630</v>
      </c>
      <c r="K244" s="1253" t="s">
        <v>3771</v>
      </c>
      <c r="L244" s="1254" t="s">
        <v>426</v>
      </c>
      <c r="M244" s="1484" t="s">
        <v>2616</v>
      </c>
      <c r="N244" s="1484" t="s">
        <v>1342</v>
      </c>
      <c r="O244" s="1815" t="s">
        <v>4448</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2630</v>
      </c>
      <c r="K245" s="1253" t="s">
        <v>700</v>
      </c>
      <c r="L245" s="1254" t="s">
        <v>426</v>
      </c>
      <c r="M245" s="1483" t="s">
        <v>2616</v>
      </c>
      <c r="N245" s="1483" t="s">
        <v>1338</v>
      </c>
      <c r="O245" s="1815" t="s">
        <v>4449</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2630</v>
      </c>
      <c r="K246" s="1253" t="s">
        <v>2599</v>
      </c>
      <c r="L246" s="1254" t="s">
        <v>426</v>
      </c>
      <c r="M246" s="1484" t="s">
        <v>1207</v>
      </c>
      <c r="N246" s="1484" t="s">
        <v>1709</v>
      </c>
      <c r="O246" s="1815" t="s">
        <v>4450</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2629</v>
      </c>
      <c r="K247" s="1253" t="s">
        <v>701</v>
      </c>
      <c r="L247" s="1254" t="s">
        <v>425</v>
      </c>
      <c r="M247" s="1484" t="s">
        <v>2616</v>
      </c>
      <c r="N247" s="1484" t="s">
        <v>1217</v>
      </c>
      <c r="O247" s="1815" t="s">
        <v>4451</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2629</v>
      </c>
      <c r="K248" s="1253" t="s">
        <v>702</v>
      </c>
      <c r="L248" s="1254" t="s">
        <v>425</v>
      </c>
      <c r="M248" s="1484" t="s">
        <v>2616</v>
      </c>
      <c r="N248" s="1484" t="s">
        <v>1332</v>
      </c>
      <c r="O248" s="1815" t="s">
        <v>4452</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2630</v>
      </c>
      <c r="K249" s="1253" t="s">
        <v>626</v>
      </c>
      <c r="L249" s="1254" t="s">
        <v>426</v>
      </c>
      <c r="M249" s="1483" t="s">
        <v>2616</v>
      </c>
      <c r="N249" s="1483" t="s">
        <v>167</v>
      </c>
      <c r="O249" s="1815" t="s">
        <v>4453</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2630</v>
      </c>
      <c r="K250" s="1253" t="s">
        <v>1695</v>
      </c>
      <c r="L250" s="1254" t="s">
        <v>426</v>
      </c>
      <c r="M250" s="1483" t="s">
        <v>2616</v>
      </c>
      <c r="N250" s="1483" t="s">
        <v>162</v>
      </c>
      <c r="O250" s="1815" t="s">
        <v>4454</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2630</v>
      </c>
      <c r="K251" s="1253" t="s">
        <v>2615</v>
      </c>
      <c r="L251" s="1254" t="s">
        <v>426</v>
      </c>
      <c r="M251" s="1483" t="s">
        <v>2616</v>
      </c>
      <c r="N251" s="1483" t="s">
        <v>1342</v>
      </c>
      <c r="O251" s="1815" t="s">
        <v>4455</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2630</v>
      </c>
      <c r="K252" s="1253" t="s">
        <v>2598</v>
      </c>
      <c r="L252" s="1254" t="s">
        <v>426</v>
      </c>
      <c r="M252" s="1483" t="s">
        <v>2616</v>
      </c>
      <c r="N252" s="1483" t="s">
        <v>1338</v>
      </c>
      <c r="O252" s="1815" t="s">
        <v>4456</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2630</v>
      </c>
      <c r="K253" s="1253" t="s">
        <v>703</v>
      </c>
      <c r="L253" s="1254" t="s">
        <v>426</v>
      </c>
      <c r="M253" s="1483" t="s">
        <v>2616</v>
      </c>
      <c r="N253" s="1483" t="s">
        <v>1217</v>
      </c>
      <c r="O253" s="1815" t="s">
        <v>4457</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2629</v>
      </c>
      <c r="K254" s="1253" t="s">
        <v>704</v>
      </c>
      <c r="L254" s="1254" t="s">
        <v>425</v>
      </c>
      <c r="M254" s="1484" t="s">
        <v>2616</v>
      </c>
      <c r="N254" s="1484" t="s">
        <v>1795</v>
      </c>
      <c r="O254" s="1815" t="s">
        <v>4458</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2629</v>
      </c>
      <c r="K255" s="1253" t="s">
        <v>705</v>
      </c>
      <c r="L255" s="1254" t="s">
        <v>425</v>
      </c>
      <c r="M255" s="1484" t="s">
        <v>2616</v>
      </c>
      <c r="N255" s="1484" t="s">
        <v>1795</v>
      </c>
      <c r="O255" s="1815" t="s">
        <v>4459</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2630</v>
      </c>
      <c r="K256" s="1253" t="s">
        <v>706</v>
      </c>
      <c r="L256" s="1254" t="s">
        <v>426</v>
      </c>
      <c r="M256" s="1483" t="s">
        <v>2616</v>
      </c>
      <c r="N256" s="1483" t="s">
        <v>1217</v>
      </c>
      <c r="O256" s="1815" t="s">
        <v>4460</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2629</v>
      </c>
      <c r="K257" s="1253" t="s">
        <v>707</v>
      </c>
      <c r="L257" s="1254" t="s">
        <v>425</v>
      </c>
      <c r="M257" s="1484" t="s">
        <v>2616</v>
      </c>
      <c r="N257" s="1484" t="s">
        <v>1338</v>
      </c>
      <c r="O257" s="1815" t="s">
        <v>4461</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1323</v>
      </c>
      <c r="I258" s="1255" t="s">
        <v>2602</v>
      </c>
      <c r="J258" s="1252" t="s">
        <v>2630</v>
      </c>
      <c r="K258" s="1253" t="s">
        <v>3770</v>
      </c>
      <c r="L258" s="1254" t="s">
        <v>426</v>
      </c>
      <c r="M258" s="1484" t="s">
        <v>2616</v>
      </c>
      <c r="N258" s="1484" t="s">
        <v>1217</v>
      </c>
      <c r="O258" s="1815" t="s">
        <v>4462</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1" t="s">
        <v>2603</v>
      </c>
      <c r="H259" s="1251" t="s">
        <v>1323</v>
      </c>
      <c r="I259" s="1252" t="s">
        <v>2604</v>
      </c>
      <c r="J259" s="1252" t="s">
        <v>2630</v>
      </c>
      <c r="K259" s="1253" t="s">
        <v>1967</v>
      </c>
      <c r="L259" s="1254" t="s">
        <v>426</v>
      </c>
      <c r="M259" s="1483" t="s">
        <v>2616</v>
      </c>
      <c r="N259" s="1483" t="s">
        <v>1217</v>
      </c>
      <c r="O259" s="1815" t="s">
        <v>4463</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1" t="s">
        <v>2605</v>
      </c>
      <c r="H260" s="1251" t="s">
        <v>1323</v>
      </c>
      <c r="I260" s="1255" t="s">
        <v>162</v>
      </c>
      <c r="J260" s="1255" t="s">
        <v>2630</v>
      </c>
      <c r="K260" s="1253" t="s">
        <v>1695</v>
      </c>
      <c r="L260" s="1254" t="s">
        <v>426</v>
      </c>
      <c r="M260" s="1484" t="s">
        <v>1207</v>
      </c>
      <c r="N260" s="1484" t="s">
        <v>162</v>
      </c>
      <c r="O260" s="1815" t="s">
        <v>4464</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1" t="s">
        <v>2606</v>
      </c>
      <c r="H261" s="1251" t="s">
        <v>1323</v>
      </c>
      <c r="I261" s="1255" t="s">
        <v>772</v>
      </c>
      <c r="J261" s="1255" t="s">
        <v>2630</v>
      </c>
      <c r="K261" s="1253" t="s">
        <v>2593</v>
      </c>
      <c r="L261" s="1254" t="s">
        <v>426</v>
      </c>
      <c r="M261" s="1483" t="s">
        <v>1207</v>
      </c>
      <c r="N261" s="1483" t="s">
        <v>1217</v>
      </c>
      <c r="O261" s="1815" t="s">
        <v>4465</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1" t="s">
        <v>2607</v>
      </c>
      <c r="H262" s="1251" t="s">
        <v>1323</v>
      </c>
      <c r="I262" s="1252" t="s">
        <v>2059</v>
      </c>
      <c r="J262" s="1252" t="s">
        <v>2630</v>
      </c>
      <c r="K262" s="1253" t="s">
        <v>626</v>
      </c>
      <c r="L262" s="1254" t="s">
        <v>426</v>
      </c>
      <c r="M262" s="1483" t="s">
        <v>2616</v>
      </c>
      <c r="N262" s="1483" t="s">
        <v>167</v>
      </c>
      <c r="O262" s="1815" t="s">
        <v>4466</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1" t="s">
        <v>2608</v>
      </c>
      <c r="H263" s="1251" t="s">
        <v>1323</v>
      </c>
      <c r="I263" s="1252" t="s">
        <v>2059</v>
      </c>
      <c r="J263" s="1252" t="s">
        <v>2630</v>
      </c>
      <c r="K263" s="1253" t="s">
        <v>626</v>
      </c>
      <c r="L263" s="1254" t="s">
        <v>426</v>
      </c>
      <c r="M263" s="1483" t="s">
        <v>2616</v>
      </c>
      <c r="N263" s="1483" t="s">
        <v>167</v>
      </c>
      <c r="O263" s="1815" t="s">
        <v>4467</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1" t="s">
        <v>2609</v>
      </c>
      <c r="H264" s="1251" t="s">
        <v>1323</v>
      </c>
      <c r="I264" s="1255" t="s">
        <v>772</v>
      </c>
      <c r="J264" s="1255" t="s">
        <v>2630</v>
      </c>
      <c r="K264" s="1253" t="s">
        <v>2593</v>
      </c>
      <c r="L264" s="1254" t="s">
        <v>426</v>
      </c>
      <c r="M264" s="1483" t="s">
        <v>1207</v>
      </c>
      <c r="N264" s="1483" t="s">
        <v>1217</v>
      </c>
      <c r="O264" s="1815" t="s">
        <v>4468</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2629</v>
      </c>
      <c r="K265" s="1253" t="s">
        <v>1968</v>
      </c>
      <c r="L265" s="1254" t="s">
        <v>425</v>
      </c>
      <c r="M265" s="1484" t="s">
        <v>2616</v>
      </c>
      <c r="N265" s="1484" t="s">
        <v>1332</v>
      </c>
      <c r="O265" s="1815" t="s">
        <v>4469</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1" t="s">
        <v>1103</v>
      </c>
      <c r="H266" s="1251" t="s">
        <v>1323</v>
      </c>
      <c r="I266" s="1255" t="s">
        <v>772</v>
      </c>
      <c r="J266" s="1255" t="s">
        <v>2630</v>
      </c>
      <c r="K266" s="1253" t="s">
        <v>2593</v>
      </c>
      <c r="L266" s="1254" t="s">
        <v>426</v>
      </c>
      <c r="M266" s="1483" t="s">
        <v>1207</v>
      </c>
      <c r="N266" s="1483" t="s">
        <v>1217</v>
      </c>
      <c r="O266" s="1815" t="s">
        <v>4470</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1" t="s">
        <v>1104</v>
      </c>
      <c r="H267" s="1251" t="s">
        <v>1223</v>
      </c>
      <c r="I267" s="1252" t="s">
        <v>1105</v>
      </c>
      <c r="J267" s="1252" t="s">
        <v>2629</v>
      </c>
      <c r="K267" s="1253" t="s">
        <v>1969</v>
      </c>
      <c r="L267" s="1254" t="s">
        <v>425</v>
      </c>
      <c r="M267" s="1484" t="s">
        <v>2616</v>
      </c>
      <c r="N267" s="1484" t="s">
        <v>1709</v>
      </c>
      <c r="O267" s="1815" t="s">
        <v>4471</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1" t="s">
        <v>1106</v>
      </c>
      <c r="H268" s="1251" t="s">
        <v>1323</v>
      </c>
      <c r="I268" s="1255" t="s">
        <v>772</v>
      </c>
      <c r="J268" s="1255" t="s">
        <v>2630</v>
      </c>
      <c r="K268" s="1253" t="s">
        <v>2593</v>
      </c>
      <c r="L268" s="1254" t="s">
        <v>426</v>
      </c>
      <c r="M268" s="1483" t="s">
        <v>1207</v>
      </c>
      <c r="N268" s="1483" t="s">
        <v>1217</v>
      </c>
      <c r="O268" s="1815" t="s">
        <v>4472</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1" t="s">
        <v>1107</v>
      </c>
      <c r="H269" s="1251" t="s">
        <v>1323</v>
      </c>
      <c r="I269" s="1252" t="s">
        <v>1108</v>
      </c>
      <c r="J269" s="1252" t="s">
        <v>2629</v>
      </c>
      <c r="K269" s="1253" t="s">
        <v>1970</v>
      </c>
      <c r="L269" s="1254" t="s">
        <v>425</v>
      </c>
      <c r="M269" s="1484" t="s">
        <v>2616</v>
      </c>
      <c r="N269" s="1484" t="s">
        <v>1217</v>
      </c>
      <c r="O269" s="1815" t="s">
        <v>4473</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1" t="s">
        <v>1109</v>
      </c>
      <c r="H270" s="1251" t="s">
        <v>1223</v>
      </c>
      <c r="I270" s="1255" t="s">
        <v>1110</v>
      </c>
      <c r="J270" s="1255" t="s">
        <v>2629</v>
      </c>
      <c r="K270" s="1253" t="s">
        <v>1971</v>
      </c>
      <c r="L270" s="1254" t="s">
        <v>425</v>
      </c>
      <c r="M270" s="1484" t="s">
        <v>2616</v>
      </c>
      <c r="N270" s="1484" t="s">
        <v>1332</v>
      </c>
      <c r="O270" s="1815" t="s">
        <v>4474</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1" t="s">
        <v>1111</v>
      </c>
      <c r="H271" s="1251" t="s">
        <v>1323</v>
      </c>
      <c r="I271" s="1255" t="s">
        <v>1112</v>
      </c>
      <c r="J271" s="1255" t="s">
        <v>2629</v>
      </c>
      <c r="K271" s="1253" t="s">
        <v>1972</v>
      </c>
      <c r="L271" s="1254" t="s">
        <v>425</v>
      </c>
      <c r="M271" s="1484" t="s">
        <v>2616</v>
      </c>
      <c r="N271" s="1484" t="s">
        <v>1217</v>
      </c>
      <c r="O271" s="1815" t="s">
        <v>4475</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1" t="s">
        <v>1113</v>
      </c>
      <c r="H272" s="1251" t="s">
        <v>1223</v>
      </c>
      <c r="I272" s="1252" t="s">
        <v>1114</v>
      </c>
      <c r="J272" s="1252" t="s">
        <v>2629</v>
      </c>
      <c r="K272" s="1253" t="s">
        <v>1797</v>
      </c>
      <c r="L272" s="1254" t="s">
        <v>425</v>
      </c>
      <c r="M272" s="1484" t="s">
        <v>2616</v>
      </c>
      <c r="N272" s="1484" t="s">
        <v>162</v>
      </c>
      <c r="O272" s="1815" t="s">
        <v>4476</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1" t="s">
        <v>1115</v>
      </c>
      <c r="H273" s="1251" t="s">
        <v>1323</v>
      </c>
      <c r="I273" s="1252" t="s">
        <v>1116</v>
      </c>
      <c r="J273" s="1252" t="s">
        <v>2629</v>
      </c>
      <c r="K273" s="1253" t="s">
        <v>1798</v>
      </c>
      <c r="L273" s="1254" t="s">
        <v>425</v>
      </c>
      <c r="M273" s="1484" t="s">
        <v>2616</v>
      </c>
      <c r="N273" s="1484" t="s">
        <v>167</v>
      </c>
      <c r="O273" s="1815" t="s">
        <v>4477</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1117</v>
      </c>
      <c r="H274" s="1251" t="s">
        <v>1223</v>
      </c>
      <c r="I274" s="1252" t="s">
        <v>1118</v>
      </c>
      <c r="J274" s="1252" t="s">
        <v>2629</v>
      </c>
      <c r="K274" s="1253" t="s">
        <v>1799</v>
      </c>
      <c r="L274" s="1254" t="s">
        <v>425</v>
      </c>
      <c r="M274" s="1484" t="s">
        <v>2616</v>
      </c>
      <c r="N274" s="1484" t="s">
        <v>1795</v>
      </c>
      <c r="O274" s="1815" t="s">
        <v>4478</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1" t="s">
        <v>1119</v>
      </c>
      <c r="H275" s="1251" t="s">
        <v>1809</v>
      </c>
      <c r="I275" s="1255" t="s">
        <v>773</v>
      </c>
      <c r="J275" s="1255" t="s">
        <v>2630</v>
      </c>
      <c r="K275" s="1253" t="s">
        <v>2615</v>
      </c>
      <c r="L275" s="1254" t="s">
        <v>426</v>
      </c>
      <c r="M275" s="1484" t="s">
        <v>1207</v>
      </c>
      <c r="N275" s="1484" t="s">
        <v>1342</v>
      </c>
      <c r="O275" s="1815" t="s">
        <v>4479</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1" t="s">
        <v>1120</v>
      </c>
      <c r="H276" s="1251" t="s">
        <v>1323</v>
      </c>
      <c r="I276" s="1255" t="s">
        <v>772</v>
      </c>
      <c r="J276" s="1255" t="s">
        <v>2630</v>
      </c>
      <c r="K276" s="1253" t="s">
        <v>2593</v>
      </c>
      <c r="L276" s="1254" t="s">
        <v>426</v>
      </c>
      <c r="M276" s="1483" t="s">
        <v>1207</v>
      </c>
      <c r="N276" s="1483" t="s">
        <v>1217</v>
      </c>
      <c r="O276" s="1815" t="s">
        <v>4480</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1" t="s">
        <v>1121</v>
      </c>
      <c r="H277" s="1251" t="s">
        <v>1323</v>
      </c>
      <c r="I277" s="1252" t="s">
        <v>2183</v>
      </c>
      <c r="J277" s="1252" t="s">
        <v>2629</v>
      </c>
      <c r="K277" s="1253" t="s">
        <v>1800</v>
      </c>
      <c r="L277" s="1254" t="s">
        <v>425</v>
      </c>
      <c r="M277" s="1484" t="s">
        <v>2616</v>
      </c>
      <c r="N277" s="1484" t="s">
        <v>162</v>
      </c>
      <c r="O277" s="1815" t="s">
        <v>4481</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1" t="s">
        <v>2184</v>
      </c>
      <c r="H278" s="1251" t="s">
        <v>1223</v>
      </c>
      <c r="I278" s="1252" t="s">
        <v>2185</v>
      </c>
      <c r="J278" s="1252" t="s">
        <v>2629</v>
      </c>
      <c r="K278" s="1253" t="s">
        <v>1801</v>
      </c>
      <c r="L278" s="1254" t="s">
        <v>425</v>
      </c>
      <c r="M278" s="1484" t="s">
        <v>2616</v>
      </c>
      <c r="N278" s="1484" t="s">
        <v>1338</v>
      </c>
      <c r="O278" s="1815" t="s">
        <v>4482</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4483</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1" t="s">
        <v>2186</v>
      </c>
      <c r="H280" s="1251" t="s">
        <v>1223</v>
      </c>
      <c r="I280" s="1255" t="s">
        <v>2187</v>
      </c>
      <c r="J280" s="1252" t="s">
        <v>2629</v>
      </c>
      <c r="K280" s="1253" t="s">
        <v>460</v>
      </c>
      <c r="L280" s="1254" t="s">
        <v>425</v>
      </c>
      <c r="M280" s="1484" t="s">
        <v>2616</v>
      </c>
      <c r="N280" s="1484" t="s">
        <v>1795</v>
      </c>
      <c r="O280" s="1815" t="s">
        <v>4484</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1" t="s">
        <v>2188</v>
      </c>
      <c r="H281" s="1251" t="s">
        <v>1323</v>
      </c>
      <c r="I281" s="1255" t="s">
        <v>772</v>
      </c>
      <c r="J281" s="1255" t="s">
        <v>2630</v>
      </c>
      <c r="K281" s="1253" t="s">
        <v>2593</v>
      </c>
      <c r="L281" s="1254" t="s">
        <v>426</v>
      </c>
      <c r="M281" s="1483" t="s">
        <v>1207</v>
      </c>
      <c r="N281" s="1484" t="s">
        <v>1217</v>
      </c>
      <c r="O281" s="1815" t="s">
        <v>4485</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1" t="s">
        <v>2189</v>
      </c>
      <c r="H282" s="1251" t="s">
        <v>1323</v>
      </c>
      <c r="I282" s="1255" t="s">
        <v>2190</v>
      </c>
      <c r="J282" s="1255" t="s">
        <v>2629</v>
      </c>
      <c r="K282" s="1253" t="s">
        <v>223</v>
      </c>
      <c r="L282" s="1254" t="s">
        <v>425</v>
      </c>
      <c r="M282" s="1484" t="s">
        <v>2616</v>
      </c>
      <c r="N282" s="1483" t="s">
        <v>167</v>
      </c>
      <c r="O282" s="1815" t="s">
        <v>4486</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1" t="s">
        <v>2191</v>
      </c>
      <c r="H283" s="1251" t="s">
        <v>1223</v>
      </c>
      <c r="I283" s="1252" t="s">
        <v>2192</v>
      </c>
      <c r="J283" s="1255" t="s">
        <v>2629</v>
      </c>
      <c r="K283" s="1253" t="s">
        <v>1433</v>
      </c>
      <c r="L283" s="1254" t="s">
        <v>425</v>
      </c>
      <c r="M283" s="1484" t="s">
        <v>2616</v>
      </c>
      <c r="N283" s="1484" t="s">
        <v>162</v>
      </c>
      <c r="O283" s="1815" t="s">
        <v>4487</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1" t="s">
        <v>2193</v>
      </c>
      <c r="H284" s="1251" t="s">
        <v>1223</v>
      </c>
      <c r="I284" s="1252" t="s">
        <v>2194</v>
      </c>
      <c r="J284" s="1252" t="s">
        <v>2629</v>
      </c>
      <c r="K284" s="1253" t="s">
        <v>1434</v>
      </c>
      <c r="L284" s="1254" t="s">
        <v>425</v>
      </c>
      <c r="M284" s="1484" t="s">
        <v>2616</v>
      </c>
      <c r="N284" s="1484" t="s">
        <v>1795</v>
      </c>
      <c r="O284" s="1815" t="s">
        <v>4488</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1" t="s">
        <v>2195</v>
      </c>
      <c r="H285" s="1251" t="s">
        <v>1323</v>
      </c>
      <c r="I285" s="1252" t="s">
        <v>2196</v>
      </c>
      <c r="J285" s="1252" t="s">
        <v>2629</v>
      </c>
      <c r="K285" s="1253" t="s">
        <v>1435</v>
      </c>
      <c r="L285" s="1254" t="s">
        <v>425</v>
      </c>
      <c r="M285" s="1484" t="s">
        <v>2616</v>
      </c>
      <c r="N285" s="1484" t="s">
        <v>162</v>
      </c>
      <c r="O285" s="1815" t="s">
        <v>4489</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1" t="s">
        <v>2197</v>
      </c>
      <c r="H286" s="1251" t="s">
        <v>1323</v>
      </c>
      <c r="I286" s="1252" t="s">
        <v>2198</v>
      </c>
      <c r="J286" s="1252" t="s">
        <v>2629</v>
      </c>
      <c r="K286" s="1253" t="s">
        <v>2028</v>
      </c>
      <c r="L286" s="1254" t="s">
        <v>425</v>
      </c>
      <c r="M286" s="1484" t="s">
        <v>2616</v>
      </c>
      <c r="N286" s="1484" t="s">
        <v>167</v>
      </c>
      <c r="O286" s="1815" t="s">
        <v>4490</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1" t="s">
        <v>2199</v>
      </c>
      <c r="H287" s="1251" t="s">
        <v>1223</v>
      </c>
      <c r="I287" s="1252" t="s">
        <v>2200</v>
      </c>
      <c r="J287" s="1252" t="s">
        <v>2629</v>
      </c>
      <c r="K287" s="1253" t="s">
        <v>2029</v>
      </c>
      <c r="L287" s="1254" t="s">
        <v>425</v>
      </c>
      <c r="M287" s="1484" t="s">
        <v>2616</v>
      </c>
      <c r="N287" s="1484" t="s">
        <v>1338</v>
      </c>
      <c r="O287" s="1815" t="s">
        <v>4491</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1" t="s">
        <v>2201</v>
      </c>
      <c r="H288" s="1251" t="s">
        <v>1323</v>
      </c>
      <c r="I288" s="1252" t="s">
        <v>879</v>
      </c>
      <c r="J288" s="1252" t="s">
        <v>2629</v>
      </c>
      <c r="K288" s="1253" t="s">
        <v>2030</v>
      </c>
      <c r="L288" s="1254" t="s">
        <v>425</v>
      </c>
      <c r="M288" s="1484" t="s">
        <v>2616</v>
      </c>
      <c r="N288" s="1484" t="s">
        <v>162</v>
      </c>
      <c r="O288" s="1815" t="s">
        <v>4492</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1" t="s">
        <v>880</v>
      </c>
      <c r="H289" s="1251" t="s">
        <v>1223</v>
      </c>
      <c r="I289" s="1252" t="s">
        <v>881</v>
      </c>
      <c r="J289" s="1252" t="s">
        <v>2629</v>
      </c>
      <c r="K289" s="1253" t="s">
        <v>2031</v>
      </c>
      <c r="L289" s="1254" t="s">
        <v>425</v>
      </c>
      <c r="M289" s="1484" t="s">
        <v>2616</v>
      </c>
      <c r="N289" s="1484" t="s">
        <v>1795</v>
      </c>
      <c r="O289" s="1815" t="s">
        <v>4493</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1" t="s">
        <v>1678</v>
      </c>
      <c r="H290" s="1251" t="s">
        <v>1223</v>
      </c>
      <c r="I290" s="1255" t="s">
        <v>1795</v>
      </c>
      <c r="J290" s="1252" t="s">
        <v>2630</v>
      </c>
      <c r="K290" s="1253" t="s">
        <v>1171</v>
      </c>
      <c r="L290" s="1254" t="s">
        <v>426</v>
      </c>
      <c r="M290" s="1483" t="s">
        <v>2616</v>
      </c>
      <c r="N290" s="1484" t="s">
        <v>1795</v>
      </c>
      <c r="O290" s="1815" t="s">
        <v>4494</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1" t="s">
        <v>1679</v>
      </c>
      <c r="H291" s="1251" t="s">
        <v>1223</v>
      </c>
      <c r="I291" s="1255" t="s">
        <v>1680</v>
      </c>
      <c r="J291" s="1255" t="s">
        <v>2629</v>
      </c>
      <c r="K291" s="1253" t="s">
        <v>2032</v>
      </c>
      <c r="L291" s="1254" t="s">
        <v>425</v>
      </c>
      <c r="M291" s="1484" t="s">
        <v>2616</v>
      </c>
      <c r="N291" s="1483" t="s">
        <v>1709</v>
      </c>
      <c r="O291" s="1815" t="s">
        <v>4495</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1" t="s">
        <v>1681</v>
      </c>
      <c r="H292" s="1251" t="s">
        <v>1223</v>
      </c>
      <c r="I292" s="1255" t="s">
        <v>1923</v>
      </c>
      <c r="J292" s="1255" t="s">
        <v>2629</v>
      </c>
      <c r="K292" s="1253" t="s">
        <v>1176</v>
      </c>
      <c r="L292" s="1254" t="s">
        <v>425</v>
      </c>
      <c r="M292" s="1484" t="s">
        <v>2616</v>
      </c>
      <c r="N292" s="1484" t="s">
        <v>1795</v>
      </c>
      <c r="O292" s="1815" t="s">
        <v>4496</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1" t="s">
        <v>1924</v>
      </c>
      <c r="H293" s="1251" t="s">
        <v>1223</v>
      </c>
      <c r="I293" s="1255" t="s">
        <v>1925</v>
      </c>
      <c r="J293" s="1255" t="s">
        <v>2629</v>
      </c>
      <c r="K293" s="1253" t="s">
        <v>1177</v>
      </c>
      <c r="L293" s="1254" t="s">
        <v>425</v>
      </c>
      <c r="M293" s="1484" t="s">
        <v>2616</v>
      </c>
      <c r="N293" s="1484" t="s">
        <v>1338</v>
      </c>
      <c r="O293" s="1815" t="s">
        <v>4497</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1" t="s">
        <v>1926</v>
      </c>
      <c r="H294" s="1251" t="s">
        <v>1323</v>
      </c>
      <c r="I294" s="1255" t="s">
        <v>1927</v>
      </c>
      <c r="J294" s="1255" t="s">
        <v>2629</v>
      </c>
      <c r="K294" s="1253" t="s">
        <v>1178</v>
      </c>
      <c r="L294" s="1254" t="s">
        <v>425</v>
      </c>
      <c r="M294" s="1484" t="s">
        <v>2616</v>
      </c>
      <c r="N294" s="1484" t="s">
        <v>167</v>
      </c>
      <c r="O294" s="1815" t="s">
        <v>4498</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1" t="s">
        <v>1928</v>
      </c>
      <c r="H295" s="1251" t="s">
        <v>1223</v>
      </c>
      <c r="I295" s="1255" t="s">
        <v>1929</v>
      </c>
      <c r="J295" s="1255" t="s">
        <v>2629</v>
      </c>
      <c r="K295" s="1253" t="s">
        <v>1179</v>
      </c>
      <c r="L295" s="1254" t="s">
        <v>425</v>
      </c>
      <c r="M295" s="1484" t="s">
        <v>2616</v>
      </c>
      <c r="N295" s="1484" t="s">
        <v>1332</v>
      </c>
      <c r="O295" s="1815" t="s">
        <v>4499</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1" t="s">
        <v>1930</v>
      </c>
      <c r="H296" s="1251" t="s">
        <v>1323</v>
      </c>
      <c r="I296" s="1252" t="s">
        <v>1931</v>
      </c>
      <c r="J296" s="1255" t="s">
        <v>2629</v>
      </c>
      <c r="K296" s="1253" t="s">
        <v>1180</v>
      </c>
      <c r="L296" s="1254" t="s">
        <v>425</v>
      </c>
      <c r="M296" s="1484" t="s">
        <v>2616</v>
      </c>
      <c r="N296" s="1484" t="s">
        <v>1217</v>
      </c>
      <c r="O296" s="1815" t="s">
        <v>4500</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1" t="s">
        <v>1932</v>
      </c>
      <c r="H297" s="1251" t="s">
        <v>1223</v>
      </c>
      <c r="I297" s="1255" t="s">
        <v>1933</v>
      </c>
      <c r="J297" s="1252" t="s">
        <v>2629</v>
      </c>
      <c r="K297" s="1253" t="s">
        <v>1181</v>
      </c>
      <c r="L297" s="1254" t="s">
        <v>425</v>
      </c>
      <c r="M297" s="1484" t="s">
        <v>2616</v>
      </c>
      <c r="N297" s="1484" t="s">
        <v>1795</v>
      </c>
      <c r="O297" s="1815" t="s">
        <v>4501</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1" t="s">
        <v>1934</v>
      </c>
      <c r="H298" s="1251" t="s">
        <v>1323</v>
      </c>
      <c r="I298" s="1255" t="s">
        <v>1332</v>
      </c>
      <c r="J298" s="1255" t="s">
        <v>2630</v>
      </c>
      <c r="K298" s="1253" t="s">
        <v>2596</v>
      </c>
      <c r="L298" s="1254" t="s">
        <v>426</v>
      </c>
      <c r="M298" s="1483" t="s">
        <v>2616</v>
      </c>
      <c r="N298" s="1484" t="s">
        <v>1332</v>
      </c>
      <c r="O298" s="1815" t="s">
        <v>4502</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1" t="s">
        <v>1935</v>
      </c>
      <c r="H299" s="1251" t="s">
        <v>1323</v>
      </c>
      <c r="I299" s="1255" t="s">
        <v>1936</v>
      </c>
      <c r="J299" s="1255" t="s">
        <v>2629</v>
      </c>
      <c r="K299" s="1253" t="s">
        <v>1182</v>
      </c>
      <c r="L299" s="1254" t="s">
        <v>425</v>
      </c>
      <c r="M299" s="1484" t="s">
        <v>2616</v>
      </c>
      <c r="N299" s="1483" t="s">
        <v>167</v>
      </c>
      <c r="O299" s="1815" t="s">
        <v>4503</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1" t="s">
        <v>2021</v>
      </c>
      <c r="H300" s="1251" t="s">
        <v>1323</v>
      </c>
      <c r="I300" s="1252" t="s">
        <v>2022</v>
      </c>
      <c r="J300" s="1255" t="s">
        <v>2629</v>
      </c>
      <c r="K300" s="1253" t="s">
        <v>1183</v>
      </c>
      <c r="L300" s="1254" t="s">
        <v>425</v>
      </c>
      <c r="M300" s="1484" t="s">
        <v>2616</v>
      </c>
      <c r="N300" s="1484" t="s">
        <v>1217</v>
      </c>
      <c r="O300" s="1815" t="s">
        <v>4504</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1" t="s">
        <v>2023</v>
      </c>
      <c r="H301" s="1251" t="s">
        <v>1323</v>
      </c>
      <c r="I301" s="1255" t="s">
        <v>1533</v>
      </c>
      <c r="J301" s="1252" t="s">
        <v>2630</v>
      </c>
      <c r="K301" s="1253" t="s">
        <v>1693</v>
      </c>
      <c r="L301" s="1254" t="s">
        <v>426</v>
      </c>
      <c r="M301" s="1483" t="s">
        <v>2616</v>
      </c>
      <c r="N301" s="1484" t="s">
        <v>1533</v>
      </c>
      <c r="O301" s="1815" t="s">
        <v>4505</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1" t="s">
        <v>2024</v>
      </c>
      <c r="H302" s="1251" t="s">
        <v>1323</v>
      </c>
      <c r="I302" s="1255" t="s">
        <v>772</v>
      </c>
      <c r="J302" s="1255" t="s">
        <v>2630</v>
      </c>
      <c r="K302" s="1253" t="s">
        <v>2593</v>
      </c>
      <c r="L302" s="1254" t="s">
        <v>426</v>
      </c>
      <c r="M302" s="1483" t="s">
        <v>1207</v>
      </c>
      <c r="N302" s="1483" t="s">
        <v>1217</v>
      </c>
      <c r="O302" s="1815" t="s">
        <v>4506</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1" t="s">
        <v>2025</v>
      </c>
      <c r="H303" s="1251" t="s">
        <v>1223</v>
      </c>
      <c r="I303" s="1255" t="s">
        <v>104</v>
      </c>
      <c r="J303" s="1255" t="s">
        <v>2629</v>
      </c>
      <c r="K303" s="1253" t="s">
        <v>1184</v>
      </c>
      <c r="L303" s="1254" t="s">
        <v>425</v>
      </c>
      <c r="M303" s="1484" t="s">
        <v>2616</v>
      </c>
      <c r="N303" s="1483" t="s">
        <v>1709</v>
      </c>
      <c r="O303" s="1815" t="s">
        <v>4507</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1323</v>
      </c>
      <c r="I304" s="1255" t="s">
        <v>106</v>
      </c>
      <c r="J304" s="1255" t="s">
        <v>2629</v>
      </c>
      <c r="K304" s="1253" t="s">
        <v>1185</v>
      </c>
      <c r="L304" s="1254" t="s">
        <v>425</v>
      </c>
      <c r="M304" s="1484" t="s">
        <v>2616</v>
      </c>
      <c r="N304" s="1484" t="s">
        <v>1342</v>
      </c>
      <c r="O304" s="1815" t="s">
        <v>4508</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1" t="s">
        <v>107</v>
      </c>
      <c r="H305" s="1251" t="s">
        <v>1323</v>
      </c>
      <c r="I305" s="1255" t="s">
        <v>108</v>
      </c>
      <c r="J305" s="1255" t="s">
        <v>2629</v>
      </c>
      <c r="K305" s="1253" t="s">
        <v>1186</v>
      </c>
      <c r="L305" s="1254" t="s">
        <v>425</v>
      </c>
      <c r="M305" s="1484" t="s">
        <v>2616</v>
      </c>
      <c r="N305" s="1484" t="s">
        <v>1332</v>
      </c>
      <c r="O305" s="1815" t="s">
        <v>4509</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1" t="s">
        <v>109</v>
      </c>
      <c r="H306" s="1251" t="s">
        <v>1223</v>
      </c>
      <c r="I306" s="1255" t="s">
        <v>110</v>
      </c>
      <c r="J306" s="1255" t="s">
        <v>2629</v>
      </c>
      <c r="K306" s="1253" t="s">
        <v>1187</v>
      </c>
      <c r="L306" s="1254" t="s">
        <v>425</v>
      </c>
      <c r="M306" s="1484" t="s">
        <v>2616</v>
      </c>
      <c r="N306" s="1484" t="s">
        <v>1338</v>
      </c>
      <c r="O306" s="1815" t="s">
        <v>4510</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1" t="s">
        <v>111</v>
      </c>
      <c r="H307" s="1251" t="s">
        <v>1223</v>
      </c>
      <c r="I307" s="1255" t="s">
        <v>112</v>
      </c>
      <c r="J307" s="1255" t="s">
        <v>2629</v>
      </c>
      <c r="K307" s="1253" t="s">
        <v>1188</v>
      </c>
      <c r="L307" s="1254" t="s">
        <v>425</v>
      </c>
      <c r="M307" s="1484" t="s">
        <v>2616</v>
      </c>
      <c r="N307" s="1484" t="s">
        <v>162</v>
      </c>
      <c r="O307" s="1815" t="s">
        <v>4511</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1" t="s">
        <v>113</v>
      </c>
      <c r="H308" s="1251" t="s">
        <v>1223</v>
      </c>
      <c r="I308" s="1255" t="s">
        <v>114</v>
      </c>
      <c r="J308" s="1255" t="s">
        <v>2629</v>
      </c>
      <c r="K308" s="1253" t="s">
        <v>2373</v>
      </c>
      <c r="L308" s="1254" t="s">
        <v>425</v>
      </c>
      <c r="M308" s="1484" t="s">
        <v>2616</v>
      </c>
      <c r="N308" s="1484" t="s">
        <v>1332</v>
      </c>
      <c r="O308" s="1815" t="s">
        <v>4512</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1" t="s">
        <v>115</v>
      </c>
      <c r="H309" s="1251" t="s">
        <v>1323</v>
      </c>
      <c r="I309" s="1255" t="s">
        <v>116</v>
      </c>
      <c r="J309" s="1255" t="s">
        <v>2629</v>
      </c>
      <c r="K309" s="1253" t="s">
        <v>2374</v>
      </c>
      <c r="L309" s="1254" t="s">
        <v>425</v>
      </c>
      <c r="M309" s="1484" t="s">
        <v>2616</v>
      </c>
      <c r="N309" s="1484" t="s">
        <v>167</v>
      </c>
      <c r="O309" s="1815" t="s">
        <v>4513</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1323</v>
      </c>
      <c r="I310" s="1252" t="s">
        <v>337</v>
      </c>
      <c r="J310" s="1255" t="s">
        <v>2630</v>
      </c>
      <c r="K310" s="1253" t="s">
        <v>2375</v>
      </c>
      <c r="L310" s="1254" t="s">
        <v>426</v>
      </c>
      <c r="M310" s="1484" t="s">
        <v>1207</v>
      </c>
      <c r="N310" s="1484" t="s">
        <v>1533</v>
      </c>
      <c r="O310" s="1815" t="s">
        <v>4514</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1223</v>
      </c>
      <c r="I311" s="1255" t="s">
        <v>2412</v>
      </c>
      <c r="J311" s="1252" t="s">
        <v>2629</v>
      </c>
      <c r="K311" s="1253" t="s">
        <v>2376</v>
      </c>
      <c r="L311" s="1254" t="s">
        <v>425</v>
      </c>
      <c r="M311" s="1484" t="s">
        <v>2616</v>
      </c>
      <c r="N311" s="1484" t="s">
        <v>1795</v>
      </c>
      <c r="O311" s="1815" t="s">
        <v>4515</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1323</v>
      </c>
      <c r="I312" s="1255" t="s">
        <v>2414</v>
      </c>
      <c r="J312" s="1255" t="s">
        <v>2629</v>
      </c>
      <c r="K312" s="1253" t="s">
        <v>423</v>
      </c>
      <c r="L312" s="1254" t="s">
        <v>425</v>
      </c>
      <c r="M312" s="1484" t="s">
        <v>2616</v>
      </c>
      <c r="N312" s="1484" t="s">
        <v>1342</v>
      </c>
      <c r="O312" s="1815" t="s">
        <v>4516</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1323</v>
      </c>
      <c r="I313" s="1255" t="s">
        <v>2416</v>
      </c>
      <c r="J313" s="1255" t="s">
        <v>2629</v>
      </c>
      <c r="K313" s="1253" t="s">
        <v>424</v>
      </c>
      <c r="L313" s="1254" t="s">
        <v>425</v>
      </c>
      <c r="M313" s="1484" t="s">
        <v>2616</v>
      </c>
      <c r="N313" s="1484" t="s">
        <v>1332</v>
      </c>
      <c r="O313" s="1815" t="s">
        <v>4517</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1" t="s">
        <v>2417</v>
      </c>
      <c r="H314" s="1251" t="s">
        <v>1223</v>
      </c>
      <c r="I314" s="1255" t="s">
        <v>1795</v>
      </c>
      <c r="J314" s="1255" t="s">
        <v>2630</v>
      </c>
      <c r="K314" s="1253" t="s">
        <v>1171</v>
      </c>
      <c r="L314" s="1254" t="s">
        <v>426</v>
      </c>
      <c r="M314" s="1483" t="s">
        <v>2616</v>
      </c>
      <c r="N314" s="1484" t="s">
        <v>1795</v>
      </c>
      <c r="O314" s="1815" t="s">
        <v>4518</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3759</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6" t="s">
        <v>988</v>
      </c>
    </row>
    <row r="2" spans="1:16" ht="16.5">
      <c r="A2" s="1867" t="str">
        <f>'Part I-Project Information'!F34</f>
        <v>McIntosh Woods</v>
      </c>
    </row>
    <row r="3" spans="1:16" ht="16.5">
      <c r="A3" s="1867" t="str">
        <f>CONCATENATE('Part I-Project Information'!F38,", ", 'Part I-Project Information'!J39," County")</f>
        <v>Newnan, Coweta County</v>
      </c>
    </row>
    <row r="5" spans="1:16" ht="12.75" customHeight="1">
      <c r="A5" s="1905" t="str">
        <f>'Project Narrative'!$A$5</f>
        <v xml:space="preserve">     The proposed McIntosh Woods project involves new construction of 96 townhome units on approximately 15 acres of a 19 acre tract at the intersection of Greison Trail and McIntosh Parkway within the city limits of Newnan, (Coweta County) Georgia. (The remaining portions of the parcel are located in wetland and/or flood zones and will not be disturbed, but contribute significant value to the project by increasing the allowable density of the project.) Newnan is an established, growing community approximately 40 minutes southwest of downtown Atlanta. Most of the comparable properties in the area are utilizing wait lists for new tenants, and this project will provide quality affordable housing to a population which is currently underserved.  The proposed project will target family tenancy and will feature family-oriented amenities such as a clubhouse with fitness center and computer center, playground, on-site management, and outdoor spaces such as a grilling pavilion and covered patio gathering area. Units will be a mix of two- and three-bedroom, and rents will be targeted to families at 60% AMI. The anticipated financing for this project will come from a mixture of federal and state 4% LIHTC equity and mortgage debt. Some or all of the construction and/or permanent debt will be financed with tax-exempt financing. The applicant has already secured bond inducement and TEFRA approval.
     The proposed project will consist of individually-platted condo/townhome units and has a tenant ownership plan in place which outlines the means by which existing tenants shall have a right of first refusal to purchase their units at the end of the 15-year compliance period, in accordance with all Section 42 requirements. The applicant requests DCA’s cooperation in executing this tenant ownership plan, including the release of LURC requirements for units which are sold under the tenant ownership plan, in accordance with Section 42 guidelines, at the end of the 15-year compliance period.</v>
      </c>
    </row>
    <row r="6" spans="1:16">
      <c r="A6" s="1905"/>
    </row>
    <row r="7" spans="1:16">
      <c r="A7" s="1905"/>
    </row>
    <row r="8" spans="1:16">
      <c r="A8" s="1905"/>
    </row>
    <row r="9" spans="1:16">
      <c r="A9" s="1905"/>
    </row>
    <row r="10" spans="1:16">
      <c r="A10" s="1905"/>
    </row>
    <row r="11" spans="1:16">
      <c r="A11" s="1905"/>
    </row>
    <row r="12" spans="1:16">
      <c r="A12" s="1851" t="str">
        <f>CONCATENATE("PART ONE - PROJECT INFORMATION"," - ",$O$6," ",$F$34,", ",'Part I-Project Information'!F49,", ",'Part I-Project Information'!J50," County")</f>
        <v>PART ONE - PROJECT INFORMATION -  316022711, 302632607,  County</v>
      </c>
      <c r="B12" s="1851"/>
      <c r="C12" s="1851"/>
      <c r="D12" s="1851"/>
      <c r="E12" s="1851"/>
      <c r="F12" s="1851"/>
      <c r="G12" s="1851"/>
      <c r="H12" s="1851"/>
      <c r="I12" s="1851"/>
      <c r="J12" s="1851"/>
      <c r="K12" s="1851"/>
      <c r="L12" s="1851"/>
      <c r="M12" s="1851"/>
      <c r="N12" s="1851"/>
      <c r="O12" s="1851"/>
      <c r="P12" s="1851"/>
    </row>
    <row r="13" spans="1:16">
      <c r="A13" s="1868"/>
      <c r="B13" s="1868"/>
      <c r="C13" s="1868"/>
      <c r="D13" s="1868"/>
      <c r="E13" s="1868"/>
      <c r="F13" s="1868"/>
      <c r="G13" s="1868"/>
      <c r="H13" s="1868"/>
      <c r="I13" s="1868"/>
      <c r="J13" s="1868"/>
      <c r="K13" s="1868"/>
      <c r="L13" s="1868"/>
      <c r="M13" s="1868"/>
      <c r="N13" s="1868"/>
      <c r="O13" s="1868"/>
      <c r="P13" s="1868"/>
    </row>
    <row r="14" spans="1:16" ht="12.75" customHeight="1">
      <c r="A14" s="1869" t="s">
        <v>4527</v>
      </c>
      <c r="B14" s="1869"/>
      <c r="C14" s="1869"/>
      <c r="D14" s="1869"/>
      <c r="E14" s="1869"/>
      <c r="F14" s="1869"/>
      <c r="G14" s="1869"/>
      <c r="H14" s="1869"/>
      <c r="I14" s="1869"/>
      <c r="J14" s="1869"/>
      <c r="K14" s="1869"/>
      <c r="L14" s="1869"/>
      <c r="M14" s="1869"/>
      <c r="N14" s="1869"/>
      <c r="O14" s="1869"/>
      <c r="P14" s="1869"/>
    </row>
    <row r="15" spans="1:16">
      <c r="A15" s="1868"/>
      <c r="B15" s="1868"/>
      <c r="C15" s="1868"/>
      <c r="D15" s="1868"/>
      <c r="E15" s="1868"/>
      <c r="F15" s="1868"/>
      <c r="G15" s="1868"/>
      <c r="H15" s="1868"/>
      <c r="I15" s="1868"/>
      <c r="J15" s="1868"/>
      <c r="K15" s="1868"/>
      <c r="L15" s="1868"/>
      <c r="M15" s="1868"/>
      <c r="N15" s="1868"/>
      <c r="O15" s="1868"/>
      <c r="P15" s="1868"/>
    </row>
    <row r="16" spans="1:16" ht="13.5">
      <c r="A16" s="1870"/>
      <c r="B16" s="1871" t="s">
        <v>2380</v>
      </c>
      <c r="C16" s="1870"/>
      <c r="D16" s="1870"/>
      <c r="E16" s="1870"/>
      <c r="F16" s="1868"/>
      <c r="G16" s="1872" t="s">
        <v>4550</v>
      </c>
      <c r="H16" s="1870"/>
      <c r="I16" s="1870"/>
      <c r="J16" s="1870"/>
      <c r="K16" s="1870"/>
      <c r="L16" s="1868"/>
      <c r="M16" s="1870"/>
      <c r="N16" s="1870"/>
      <c r="O16" s="1870"/>
      <c r="P16" s="1873" t="s">
        <v>3905</v>
      </c>
    </row>
    <row r="17" spans="1:16" ht="14.25" customHeight="1">
      <c r="A17" s="1870"/>
      <c r="B17" s="1854"/>
      <c r="C17" s="1854"/>
      <c r="D17" s="1854"/>
      <c r="E17" s="1854"/>
      <c r="F17" s="1868"/>
      <c r="G17" s="1872" t="s">
        <v>4551</v>
      </c>
      <c r="H17" s="1874"/>
      <c r="I17" s="1874"/>
      <c r="J17" s="1874"/>
      <c r="K17" s="1870"/>
      <c r="L17" s="1870"/>
      <c r="M17" s="1870"/>
      <c r="N17" s="1870"/>
      <c r="O17" s="1851" t="str">
        <f>'Part I-Project Information'!$O$6</f>
        <v>2018-0</v>
      </c>
      <c r="P17" s="1851"/>
    </row>
    <row r="18" spans="1:16">
      <c r="A18" s="1870"/>
      <c r="B18" s="1854"/>
      <c r="C18" s="1854"/>
      <c r="D18" s="1854"/>
      <c r="E18" s="1854"/>
      <c r="F18" s="1851"/>
      <c r="G18" s="1875" t="s">
        <v>3340</v>
      </c>
      <c r="H18" s="1874"/>
      <c r="I18" s="1874"/>
      <c r="J18" s="1874"/>
      <c r="K18" s="1870"/>
      <c r="L18" s="1870"/>
      <c r="M18" s="1870"/>
      <c r="N18" s="1870"/>
      <c r="O18" s="1870"/>
      <c r="P18" s="1870"/>
    </row>
    <row r="19" spans="1:16">
      <c r="A19" s="1868"/>
      <c r="B19" s="1851"/>
      <c r="C19" s="1851"/>
      <c r="D19" s="1851"/>
      <c r="E19" s="1874"/>
      <c r="F19" s="1870"/>
      <c r="G19" s="1870"/>
      <c r="H19" s="1874"/>
      <c r="I19" s="1874"/>
      <c r="J19" s="1870"/>
      <c r="K19" s="1870"/>
      <c r="L19" s="1870"/>
      <c r="M19" s="1874"/>
      <c r="N19" s="1870"/>
      <c r="O19" s="1870"/>
      <c r="P19" s="1870"/>
    </row>
    <row r="20" spans="1:16">
      <c r="A20" s="1851" t="s">
        <v>622</v>
      </c>
      <c r="B20" s="1851" t="s">
        <v>2391</v>
      </c>
      <c r="C20" s="1870"/>
      <c r="D20" s="1876"/>
      <c r="E20" s="1874"/>
      <c r="F20" s="1877" t="s">
        <v>3832</v>
      </c>
      <c r="G20" s="1870"/>
      <c r="H20" s="1870"/>
      <c r="I20" s="1878">
        <f>'Part IV-A-Uses of Funds'!$J$175</f>
        <v>764793</v>
      </c>
      <c r="J20" s="1878"/>
      <c r="K20" s="1870"/>
      <c r="L20" s="1870" t="s">
        <v>3833</v>
      </c>
      <c r="M20" s="1870"/>
      <c r="N20" s="1870"/>
      <c r="O20" s="1879">
        <f>'Part III-Sources of Funds'!$E$11</f>
        <v>0</v>
      </c>
      <c r="P20" s="1879"/>
    </row>
    <row r="21" spans="1:16">
      <c r="A21" s="1851"/>
      <c r="B21" s="1851"/>
      <c r="C21" s="1870"/>
      <c r="D21" s="1876"/>
      <c r="E21" s="1874"/>
      <c r="F21" s="1874"/>
      <c r="G21" s="1870"/>
      <c r="H21" s="1870"/>
      <c r="I21" s="1871"/>
      <c r="J21" s="1870"/>
      <c r="K21" s="1870"/>
      <c r="L21" s="1870"/>
      <c r="M21" s="1870"/>
      <c r="N21" s="1880"/>
      <c r="O21" s="1870"/>
      <c r="P21" s="1870"/>
    </row>
    <row r="22" spans="1:16" ht="13.5">
      <c r="A22" s="1871" t="s">
        <v>748</v>
      </c>
      <c r="B22" s="1851" t="s">
        <v>2056</v>
      </c>
      <c r="C22" s="1870"/>
      <c r="D22" s="1870"/>
      <c r="E22" s="1870"/>
      <c r="F22" s="1933" t="str">
        <f>'Part I-Project Information'!$F$11</f>
        <v>4% Credit/TE Bond</v>
      </c>
      <c r="G22" s="1933"/>
      <c r="H22" s="1933"/>
      <c r="I22" s="2337" t="s">
        <v>3745</v>
      </c>
      <c r="J22" s="1851" t="s">
        <v>4552</v>
      </c>
      <c r="K22" s="1851"/>
      <c r="L22" s="1874"/>
      <c r="M22" s="1870"/>
      <c r="N22" s="1870"/>
      <c r="O22" s="1870" t="str">
        <f>'Part I-Project Information'!$O$11</f>
        <v>2018PA-509</v>
      </c>
      <c r="P22" s="1870"/>
    </row>
    <row r="23" spans="1:16" ht="13.5" customHeight="1">
      <c r="A23" s="1868"/>
      <c r="B23" s="1881" t="s">
        <v>4528</v>
      </c>
      <c r="C23" s="1881"/>
      <c r="D23" s="1881"/>
      <c r="E23" s="1870"/>
      <c r="F23" s="1870"/>
      <c r="G23" s="1870"/>
      <c r="H23" s="1874"/>
      <c r="I23" s="1870"/>
      <c r="J23" s="1877" t="s">
        <v>2751</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c r="A25" s="1868"/>
      <c r="B25" s="1881"/>
      <c r="C25" s="1881"/>
      <c r="D25" s="1881"/>
      <c r="E25" s="1870"/>
      <c r="F25" s="1952" t="str">
        <f>'Part I-Project Information'!$F$14</f>
        <v>No</v>
      </c>
      <c r="G25" s="1877" t="s">
        <v>3830</v>
      </c>
      <c r="K25" s="1870"/>
      <c r="L25" s="1870"/>
      <c r="M25" s="1870"/>
      <c r="N25" s="1870"/>
      <c r="O25" s="1870"/>
      <c r="P25" s="1870"/>
    </row>
    <row r="26" spans="1:16">
      <c r="A26" s="1868"/>
      <c r="B26" s="1870" t="s">
        <v>3906</v>
      </c>
      <c r="C26" s="1870"/>
      <c r="D26" s="1851"/>
      <c r="E26" s="1870"/>
      <c r="F26" s="2246">
        <f>'Part I-Project Information'!$F$15</f>
        <v>0</v>
      </c>
      <c r="G26" s="2246"/>
      <c r="H26" s="2246"/>
      <c r="I26" s="2246"/>
      <c r="J26" s="2246"/>
      <c r="K26" s="2246"/>
      <c r="L26" s="1870" t="s">
        <v>3829</v>
      </c>
      <c r="M26" s="1870"/>
      <c r="N26" s="1870"/>
      <c r="O26" s="1870">
        <f>'Part I-Project Information'!$O$15</f>
        <v>0</v>
      </c>
      <c r="P26" s="1870"/>
    </row>
    <row r="27" spans="1:16">
      <c r="A27" s="1868"/>
      <c r="B27" s="1870" t="s">
        <v>3831</v>
      </c>
      <c r="C27" s="1870"/>
      <c r="D27" s="1870"/>
      <c r="E27" s="1870"/>
      <c r="F27" s="1952">
        <f>'Part I-Project Information'!F16</f>
        <v>0</v>
      </c>
      <c r="G27" s="1870" t="s">
        <v>3888</v>
      </c>
      <c r="H27" s="1874"/>
      <c r="I27" s="1875"/>
      <c r="J27" s="1877"/>
      <c r="K27" s="1870"/>
      <c r="L27" s="1870"/>
      <c r="M27" s="2074" t="str">
        <f>'Part I-Project Information'!M16</f>
        <v>&lt;&lt; Select Designation &gt;&gt;</v>
      </c>
      <c r="N27" s="2074"/>
      <c r="O27" s="2074"/>
      <c r="P27" s="2074"/>
    </row>
    <row r="28" spans="1:16">
      <c r="A28" s="1870"/>
      <c r="B28" s="1870"/>
      <c r="C28" s="1870"/>
      <c r="D28" s="1870"/>
      <c r="E28" s="1870"/>
      <c r="F28" s="1870"/>
      <c r="G28" s="1870"/>
      <c r="H28" s="1870"/>
      <c r="I28" s="1876"/>
      <c r="J28" s="1876"/>
      <c r="K28" s="1876"/>
      <c r="L28" s="1876"/>
      <c r="M28" s="1876"/>
      <c r="N28" s="1876"/>
      <c r="O28" s="1876"/>
      <c r="P28" s="1876"/>
    </row>
    <row r="29" spans="1:16">
      <c r="A29" s="1871" t="s">
        <v>750</v>
      </c>
      <c r="B29" s="1851" t="s">
        <v>1485</v>
      </c>
      <c r="C29" s="1870"/>
      <c r="D29" s="1877"/>
      <c r="E29" s="1874"/>
      <c r="F29" s="1870"/>
      <c r="G29" s="1874"/>
      <c r="H29" s="1874"/>
      <c r="I29" s="1874"/>
      <c r="J29" s="1870"/>
      <c r="K29" s="1870"/>
      <c r="L29" s="1880"/>
      <c r="M29" s="1870"/>
      <c r="N29" s="1870"/>
      <c r="O29" s="1870"/>
      <c r="P29" s="1870"/>
    </row>
    <row r="30" spans="1:16">
      <c r="A30" s="1871"/>
      <c r="B30" s="1874"/>
      <c r="C30" s="1851"/>
      <c r="D30" s="1877"/>
      <c r="E30" s="1874"/>
      <c r="F30" s="1870"/>
      <c r="G30" s="1874"/>
      <c r="H30" s="1874"/>
      <c r="I30" s="1874"/>
      <c r="J30" s="1870"/>
      <c r="K30" s="1880"/>
      <c r="L30" s="1880"/>
      <c r="M30" s="1870"/>
      <c r="N30" s="1870"/>
      <c r="O30" s="1868"/>
      <c r="P30" s="1870"/>
    </row>
    <row r="31" spans="1:16">
      <c r="A31" s="1870"/>
      <c r="B31" s="1870" t="s">
        <v>3918</v>
      </c>
      <c r="C31" s="1870"/>
      <c r="D31" s="1870"/>
      <c r="E31" s="1870"/>
      <c r="F31" s="1870" t="str">
        <f>'Part I-Project Information'!F20</f>
        <v>Park Terrace Development, LLC</v>
      </c>
      <c r="G31" s="1870">
        <f>'Part I-Project Information'!G20</f>
        <v>0</v>
      </c>
      <c r="H31" s="1870">
        <f>'Part I-Project Information'!H20</f>
        <v>0</v>
      </c>
      <c r="I31" s="1870" t="s">
        <v>1810</v>
      </c>
      <c r="J31" s="1870" t="str">
        <f>'Part I-Project Information'!J20</f>
        <v>Thompson Gooding</v>
      </c>
      <c r="K31" s="1870">
        <f>'Part I-Project Information'!K20</f>
        <v>0</v>
      </c>
      <c r="L31" s="1870">
        <f>'Part I-Project Information'!L20</f>
        <v>0</v>
      </c>
      <c r="M31" s="1877" t="s">
        <v>1996</v>
      </c>
      <c r="N31" s="1870" t="str">
        <f>'Part I-Project Information'!N20</f>
        <v>President</v>
      </c>
      <c r="O31" s="1870">
        <f>'Part I-Project Information'!O20</f>
        <v>0</v>
      </c>
      <c r="P31" s="1870">
        <f>'Part I-Project Information'!P20</f>
        <v>0</v>
      </c>
    </row>
    <row r="32" spans="1:16" ht="12.75" customHeight="1">
      <c r="A32" s="1870"/>
      <c r="B32" s="1877" t="s">
        <v>1997</v>
      </c>
      <c r="C32" s="1870"/>
      <c r="D32" s="1870"/>
      <c r="E32" s="1870"/>
      <c r="F32" s="1870" t="str">
        <f>'Part I-Project Information'!F21</f>
        <v>1214 Hickory Drive</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3916</v>
      </c>
      <c r="N32" s="1882"/>
      <c r="O32" s="1882"/>
      <c r="P32" s="1882"/>
    </row>
    <row r="33" spans="1:16" ht="12.75" customHeight="1">
      <c r="A33" s="1870"/>
      <c r="B33" s="1877" t="s">
        <v>624</v>
      </c>
      <c r="C33" s="1870"/>
      <c r="D33" s="1870"/>
      <c r="E33" s="1870"/>
      <c r="F33" s="1870" t="str">
        <f>'Part I-Project Information'!F22</f>
        <v>Valdosta</v>
      </c>
      <c r="G33" s="1870">
        <f>'Part I-Project Information'!G22</f>
        <v>0</v>
      </c>
      <c r="H33" s="1870">
        <f>'Part I-Project Information'!H22</f>
        <v>0</v>
      </c>
      <c r="I33" s="1877" t="s">
        <v>1812</v>
      </c>
      <c r="J33" s="1903" t="str">
        <f>'Part I-Project Information'!J22</f>
        <v>GA</v>
      </c>
      <c r="K33" s="1870"/>
      <c r="L33" s="1870"/>
      <c r="M33" s="1882"/>
      <c r="N33" s="1882"/>
      <c r="O33" s="1882"/>
      <c r="P33" s="1882"/>
    </row>
    <row r="34" spans="1:16">
      <c r="A34" s="1870"/>
      <c r="B34" s="1877" t="s">
        <v>2245</v>
      </c>
      <c r="C34" s="1870"/>
      <c r="D34" s="1870"/>
      <c r="E34" s="1870"/>
      <c r="F34" s="2338">
        <f>'Part I-Project Information'!F23</f>
        <v>316022711</v>
      </c>
      <c r="G34" s="2338">
        <f>'Part I-Project Information'!G23</f>
        <v>0</v>
      </c>
      <c r="H34" s="2338">
        <f>'Part I-Project Information'!H23</f>
        <v>0</v>
      </c>
      <c r="I34" s="1877" t="s">
        <v>1733</v>
      </c>
      <c r="J34" s="2339">
        <f>'Part I-Project Information'!J23</f>
        <v>2292516399</v>
      </c>
      <c r="K34" s="2339">
        <f>'Part I-Project Information'!K23</f>
        <v>0</v>
      </c>
      <c r="L34" s="1874" t="s">
        <v>1732</v>
      </c>
      <c r="M34" s="1874">
        <f>'Part I-Project Information'!M23</f>
        <v>0</v>
      </c>
      <c r="N34" s="1877" t="s">
        <v>1734</v>
      </c>
      <c r="O34" s="2339">
        <f>'Part I-Project Information'!O23</f>
        <v>2292516399</v>
      </c>
      <c r="P34" s="2339">
        <f>'Part I-Project Information'!P23</f>
        <v>0</v>
      </c>
    </row>
    <row r="35" spans="1:16">
      <c r="A35" s="1870"/>
      <c r="B35" s="1877" t="s">
        <v>2000</v>
      </c>
      <c r="C35" s="1870"/>
      <c r="D35" s="1870"/>
      <c r="E35" s="1870"/>
      <c r="F35" s="1870" t="str">
        <f>'Part I-Project Information'!F24</f>
        <v>tgooding@parkterracecompanies.com</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2292516399</v>
      </c>
      <c r="P35" s="2339">
        <f>'Part I-Project Information'!P24</f>
        <v>0</v>
      </c>
    </row>
    <row r="36" spans="1:16">
      <c r="A36" s="1868"/>
      <c r="B36" s="1851" t="s">
        <v>4119</v>
      </c>
      <c r="C36" s="1876"/>
      <c r="D36" s="1870"/>
      <c r="E36" s="1870"/>
      <c r="F36" s="1870"/>
      <c r="G36" s="1870"/>
      <c r="H36" s="1874"/>
      <c r="I36" s="1870"/>
      <c r="J36" s="1876"/>
      <c r="K36" s="1870"/>
      <c r="L36" s="1870"/>
      <c r="M36" s="1870"/>
      <c r="N36" s="1870"/>
      <c r="O36" s="1870"/>
      <c r="P36" s="1883"/>
    </row>
    <row r="37" spans="1:16">
      <c r="A37" s="1870"/>
      <c r="B37" s="1870" t="s">
        <v>3918</v>
      </c>
      <c r="C37" s="1870"/>
      <c r="D37" s="1870"/>
      <c r="E37" s="1870"/>
      <c r="F37" s="1870" t="str">
        <f>'Part I-Project Information'!F26</f>
        <v>Oracle Consulting Services</v>
      </c>
      <c r="G37" s="1870">
        <f>'Part I-Project Information'!G26</f>
        <v>0</v>
      </c>
      <c r="H37" s="1870">
        <f>'Part I-Project Information'!H26</f>
        <v>0</v>
      </c>
      <c r="I37" s="1870" t="s">
        <v>1810</v>
      </c>
      <c r="J37" s="1870" t="str">
        <f>'Part I-Project Information'!J26</f>
        <v>Caryn Winter</v>
      </c>
      <c r="K37" s="1870">
        <f>'Part I-Project Information'!K26</f>
        <v>0</v>
      </c>
      <c r="L37" s="1870">
        <f>'Part I-Project Information'!L26</f>
        <v>0</v>
      </c>
      <c r="M37" s="1877" t="s">
        <v>1996</v>
      </c>
      <c r="N37" s="1870" t="str">
        <f>'Part I-Project Information'!N26</f>
        <v>Member</v>
      </c>
      <c r="O37" s="1870">
        <f>'Part I-Project Information'!O26</f>
        <v>0</v>
      </c>
      <c r="P37" s="1870">
        <f>'Part I-Project Information'!P26</f>
        <v>0</v>
      </c>
    </row>
    <row r="38" spans="1:16" ht="12.75" customHeight="1">
      <c r="A38" s="1870"/>
      <c r="B38" s="1877" t="s">
        <v>1997</v>
      </c>
      <c r="C38" s="1870"/>
      <c r="D38" s="1870"/>
      <c r="E38" s="1870"/>
      <c r="F38" s="1870" t="str">
        <f>'Part I-Project Information'!F27</f>
        <v>P.O. Box 22378</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3916</v>
      </c>
      <c r="N38" s="1882"/>
      <c r="O38" s="1882"/>
      <c r="P38" s="1882"/>
    </row>
    <row r="39" spans="1:16" ht="12.75" customHeight="1">
      <c r="A39" s="1870"/>
      <c r="B39" s="1877" t="s">
        <v>624</v>
      </c>
      <c r="C39" s="1870"/>
      <c r="D39" s="1870"/>
      <c r="E39" s="1870"/>
      <c r="F39" s="1870" t="str">
        <f>'Part I-Project Information'!F28</f>
        <v>Louisville</v>
      </c>
      <c r="G39" s="1870">
        <f>'Part I-Project Information'!G28</f>
        <v>0</v>
      </c>
      <c r="H39" s="1870">
        <f>'Part I-Project Information'!H28</f>
        <v>0</v>
      </c>
      <c r="I39" s="1877" t="s">
        <v>1812</v>
      </c>
      <c r="J39" s="1903" t="str">
        <f>'Part I-Project Information'!J28</f>
        <v>KY</v>
      </c>
      <c r="K39" s="1870"/>
      <c r="L39" s="1870"/>
      <c r="M39" s="1882"/>
      <c r="N39" s="1882"/>
      <c r="O39" s="1882"/>
      <c r="P39" s="1882"/>
    </row>
    <row r="40" spans="1:16">
      <c r="A40" s="1870"/>
      <c r="B40" s="1877" t="s">
        <v>2245</v>
      </c>
      <c r="C40" s="1870"/>
      <c r="D40" s="1870"/>
      <c r="E40" s="1870"/>
      <c r="F40" s="2338">
        <f>'Part I-Project Information'!F29</f>
        <v>402520378</v>
      </c>
      <c r="G40" s="2338">
        <f>'Part I-Project Information'!G29</f>
        <v>0</v>
      </c>
      <c r="H40" s="2338">
        <f>'Part I-Project Information'!H29</f>
        <v>0</v>
      </c>
      <c r="I40" s="1877" t="s">
        <v>1733</v>
      </c>
      <c r="J40" s="2339">
        <f>'Part I-Project Information'!J29</f>
        <v>3174086628</v>
      </c>
      <c r="K40" s="2339">
        <f>'Part I-Project Information'!K29</f>
        <v>0</v>
      </c>
      <c r="L40" s="1874" t="s">
        <v>1732</v>
      </c>
      <c r="M40" s="1874">
        <f>'Part I-Project Information'!M29</f>
        <v>0</v>
      </c>
      <c r="N40" s="1877" t="s">
        <v>1734</v>
      </c>
      <c r="O40" s="2339">
        <f>'Part I-Project Information'!O29</f>
        <v>3174086628</v>
      </c>
      <c r="P40" s="2339">
        <f>'Part I-Project Information'!P29</f>
        <v>0</v>
      </c>
    </row>
    <row r="41" spans="1:16">
      <c r="A41" s="1870"/>
      <c r="B41" s="1877" t="s">
        <v>2000</v>
      </c>
      <c r="C41" s="1870"/>
      <c r="D41" s="1870"/>
      <c r="E41" s="1870"/>
      <c r="F41" s="1870" t="str">
        <f>'Part I-Project Information'!F30</f>
        <v>c.winter@oracledesign.net</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3174086628</v>
      </c>
      <c r="P41" s="2339">
        <f>'Part I-Project Information'!P30</f>
        <v>0</v>
      </c>
    </row>
    <row r="42" spans="1:16">
      <c r="A42" s="1868"/>
      <c r="B42" s="1868"/>
      <c r="C42" s="1876"/>
      <c r="D42" s="1870"/>
      <c r="E42" s="1870"/>
      <c r="F42" s="1870"/>
      <c r="G42" s="1870"/>
      <c r="H42" s="1874"/>
      <c r="I42" s="1870"/>
      <c r="J42" s="1876"/>
      <c r="K42" s="1870"/>
      <c r="L42" s="1870"/>
      <c r="M42" s="1870"/>
      <c r="N42" s="1870"/>
      <c r="O42" s="1870"/>
      <c r="P42" s="1883"/>
    </row>
    <row r="43" spans="1:16">
      <c r="A43" s="1871" t="s">
        <v>1805</v>
      </c>
      <c r="B43" s="1851" t="s">
        <v>1486</v>
      </c>
      <c r="C43" s="1870"/>
      <c r="D43" s="1876"/>
      <c r="E43" s="1874"/>
      <c r="F43" s="1874"/>
      <c r="G43" s="1877"/>
      <c r="H43" s="1874"/>
      <c r="I43" s="1874"/>
      <c r="J43" s="1874"/>
      <c r="K43" s="1870"/>
      <c r="L43" s="1880"/>
      <c r="M43" s="1880"/>
      <c r="N43" s="1870"/>
      <c r="O43" s="1870"/>
      <c r="P43" s="1870"/>
    </row>
    <row r="44" spans="1:16">
      <c r="A44" s="1871"/>
      <c r="B44" s="1851"/>
      <c r="C44" s="1870"/>
      <c r="D44" s="1876"/>
      <c r="E44" s="1874"/>
      <c r="F44" s="1874"/>
      <c r="G44" s="1877"/>
      <c r="H44" s="1874"/>
      <c r="I44" s="1874"/>
      <c r="J44" s="1874"/>
      <c r="K44" s="1870"/>
      <c r="L44" s="1880"/>
      <c r="M44" s="1870"/>
      <c r="N44" s="1870"/>
      <c r="O44" s="1870"/>
      <c r="P44" s="1870"/>
    </row>
    <row r="45" spans="1:16">
      <c r="A45" s="1851"/>
      <c r="B45" s="1870" t="s">
        <v>623</v>
      </c>
      <c r="C45" s="1870"/>
      <c r="D45" s="1851"/>
      <c r="E45" s="1870"/>
      <c r="F45" s="2246" t="str">
        <f>'Part I-Project Information'!F34</f>
        <v>McIntosh Woods</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c r="A46" s="1873"/>
      <c r="B46" s="1870" t="s">
        <v>2716</v>
      </c>
      <c r="C46" s="1870"/>
      <c r="D46" s="1880"/>
      <c r="E46" s="1870"/>
      <c r="F46" s="1870">
        <f>'Part I-Project Information'!F35</f>
        <v>0</v>
      </c>
      <c r="G46" s="1870">
        <f>'Part I-Project Information'!G35</f>
        <v>0</v>
      </c>
      <c r="H46" s="1870">
        <f>'Part I-Project Information'!H35</f>
        <v>0</v>
      </c>
      <c r="I46" s="1870">
        <f>'Part I-Project Information'!I35</f>
        <v>0</v>
      </c>
      <c r="J46" s="1870">
        <f>'Part I-Project Information'!J35</f>
        <v>0</v>
      </c>
      <c r="K46" s="1870">
        <f>'Part I-Project Information'!K35</f>
        <v>0</v>
      </c>
      <c r="L46" s="1870" t="s">
        <v>3711</v>
      </c>
      <c r="M46" s="1870"/>
      <c r="N46" s="1870"/>
      <c r="O46" s="1870">
        <f>'Part I-Project Information'!O35</f>
        <v>0</v>
      </c>
      <c r="P46" s="1870">
        <f>'Part I-Project Information'!P35</f>
        <v>0</v>
      </c>
    </row>
    <row r="47" spans="1:16">
      <c r="A47" s="1873"/>
      <c r="B47" s="1870" t="s">
        <v>4553</v>
      </c>
      <c r="C47" s="1870"/>
      <c r="D47" s="1880"/>
      <c r="E47" s="1870"/>
      <c r="F47" s="1870" t="str">
        <f>'Part I-Project Information'!F36</f>
        <v>123 Chastain Loop</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3710</v>
      </c>
      <c r="P47" s="1874">
        <f>'Part I-Project Information'!P36</f>
        <v>1</v>
      </c>
    </row>
    <row r="48" spans="1:16">
      <c r="A48" s="1873"/>
      <c r="B48" s="1870" t="s">
        <v>3767</v>
      </c>
      <c r="C48" s="1870"/>
      <c r="D48" s="1880"/>
      <c r="E48" s="1870"/>
      <c r="F48" s="1870" t="s">
        <v>3747</v>
      </c>
      <c r="G48" s="2340" t="str">
        <f>'Part I-Project Information'!G37</f>
        <v>33.375611°</v>
      </c>
      <c r="H48" s="2340">
        <f>'Part I-Project Information'!H37</f>
        <v>0</v>
      </c>
      <c r="I48" s="1874" t="s">
        <v>3748</v>
      </c>
      <c r="J48" s="2340" t="str">
        <f>'Part I-Project Information'!J37</f>
        <v>-84.777895°</v>
      </c>
      <c r="K48" s="2340">
        <f>'Part I-Project Information'!K37</f>
        <v>0</v>
      </c>
      <c r="L48" s="1877" t="s">
        <v>2299</v>
      </c>
      <c r="M48" s="1870"/>
      <c r="N48" s="1870"/>
      <c r="O48" s="2341">
        <f>'Part I-Project Information'!O37</f>
        <v>19.850000000000001</v>
      </c>
      <c r="P48" s="2341">
        <f>'Part I-Project Information'!P37</f>
        <v>0</v>
      </c>
    </row>
    <row r="49" spans="1:16" ht="16.5">
      <c r="A49" s="1868"/>
      <c r="B49" s="1870" t="s">
        <v>624</v>
      </c>
      <c r="C49" s="1870"/>
      <c r="D49" s="1870"/>
      <c r="E49" s="1870"/>
      <c r="F49" s="1870" t="str">
        <f>'Part I-Project Information'!F38</f>
        <v>Newnan</v>
      </c>
      <c r="G49" s="1870">
        <f>'Part I-Project Information'!G38</f>
        <v>0</v>
      </c>
      <c r="H49" s="1870">
        <f>'Part I-Project Information'!H38</f>
        <v>0</v>
      </c>
      <c r="I49" s="1884" t="s">
        <v>4554</v>
      </c>
      <c r="J49" s="2338">
        <f>'Part I-Project Information'!J38</f>
        <v>302638600</v>
      </c>
      <c r="K49" s="2338">
        <f>'Part I-Project Information'!K38</f>
        <v>0</v>
      </c>
      <c r="L49" s="1851" t="str">
        <f>IF(AND(NOT(F45=""),NOT(F49="Select from list"),J49=""),"Enter Zip!","")</f>
        <v/>
      </c>
      <c r="M49" s="1885" t="s">
        <v>2926</v>
      </c>
      <c r="N49" s="1870"/>
      <c r="O49" s="2342" t="str">
        <f>'Part I-Project Information'!O38</f>
        <v>130771703.05</v>
      </c>
      <c r="P49" s="2343">
        <f>'Part I-Project Information'!P38</f>
        <v>0</v>
      </c>
    </row>
    <row r="50" spans="1:16">
      <c r="A50" s="1868"/>
      <c r="B50" s="1870" t="s">
        <v>3593</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Coweta</v>
      </c>
      <c r="K50" s="2246">
        <f>'Part I-Project Information'!K39</f>
        <v>0</v>
      </c>
      <c r="L50" s="1870"/>
      <c r="M50" s="1877" t="s">
        <v>455</v>
      </c>
      <c r="N50" s="1887" t="str">
        <f>'Part I-Project Information'!N39</f>
        <v>Yes</v>
      </c>
      <c r="O50" s="1874" t="s">
        <v>456</v>
      </c>
      <c r="P50" s="1887">
        <f>'Part I-Project Information'!P39</f>
        <v>0</v>
      </c>
    </row>
    <row r="51" spans="1:16">
      <c r="A51" s="1868"/>
      <c r="B51" s="1851"/>
      <c r="C51" s="1870" t="s">
        <v>1570</v>
      </c>
      <c r="D51" s="1870"/>
      <c r="E51" s="1870"/>
      <c r="F51" s="1877" t="str">
        <f>'Part I-Project Information'!F40</f>
        <v>No</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Atlanta-Sandy Springs-Marietta</v>
      </c>
      <c r="P51" s="1870">
        <f>'Part I-Project Information'!P40</f>
        <v>0</v>
      </c>
    </row>
    <row r="52" spans="1:16">
      <c r="A52" s="1868"/>
      <c r="B52" s="1851"/>
      <c r="C52" s="1851"/>
      <c r="D52" s="1870"/>
      <c r="E52" s="1870"/>
      <c r="F52" s="1870"/>
      <c r="G52" s="1870"/>
      <c r="H52" s="1870"/>
      <c r="I52" s="1877"/>
      <c r="J52" s="1870"/>
      <c r="K52" s="1870"/>
      <c r="L52" s="1887"/>
      <c r="M52" s="1887"/>
      <c r="N52" s="1887"/>
      <c r="O52" s="1887"/>
      <c r="P52" s="1887"/>
    </row>
    <row r="53" spans="1:16" ht="13.5">
      <c r="A53" s="1868"/>
      <c r="B53" s="1870"/>
      <c r="C53" s="1870" t="s">
        <v>4555</v>
      </c>
      <c r="D53" s="1870"/>
      <c r="E53" s="1870"/>
      <c r="F53" s="1888" t="s">
        <v>2780</v>
      </c>
      <c r="G53" s="1888"/>
      <c r="H53" s="1870" t="s">
        <v>744</v>
      </c>
      <c r="I53" s="1870"/>
      <c r="J53" s="1870" t="s">
        <v>745</v>
      </c>
      <c r="K53" s="1870"/>
      <c r="L53" s="1889" t="s">
        <v>4556</v>
      </c>
      <c r="M53" s="1870"/>
      <c r="N53" s="1870"/>
      <c r="O53" s="1870"/>
      <c r="P53" s="1870"/>
    </row>
    <row r="54" spans="1:16">
      <c r="A54" s="1868"/>
      <c r="B54" s="1870" t="s">
        <v>4557</v>
      </c>
      <c r="C54" s="1870"/>
      <c r="D54" s="1851"/>
      <c r="E54" s="1870"/>
      <c r="F54" s="2344">
        <f>'Part I-Project Information'!F43</f>
        <v>3</v>
      </c>
      <c r="G54" s="2344">
        <f>'Part I-Project Information'!G43</f>
        <v>0</v>
      </c>
      <c r="H54" s="2344">
        <f>'Part I-Project Information'!H43</f>
        <v>28</v>
      </c>
      <c r="I54" s="2344">
        <f>'Part I-Project Information'!I43</f>
        <v>0</v>
      </c>
      <c r="J54" s="2344">
        <f>'Part I-Project Information'!J43</f>
        <v>70</v>
      </c>
      <c r="K54" s="2344">
        <f>'Part I-Project Information'!K43</f>
        <v>0</v>
      </c>
      <c r="L54" s="1875" t="s">
        <v>1295</v>
      </c>
      <c r="M54" s="1870"/>
      <c r="N54" s="1890" t="s">
        <v>1296</v>
      </c>
      <c r="O54" s="1890"/>
      <c r="P54" s="1890"/>
    </row>
    <row r="55" spans="1:16">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c r="A56" s="1868"/>
      <c r="B56" s="1870"/>
      <c r="C56" s="1870"/>
      <c r="D56" s="1870"/>
      <c r="E56" s="1870"/>
      <c r="F56" s="1870"/>
      <c r="G56" s="1870"/>
      <c r="H56" s="1870"/>
      <c r="I56" s="1887"/>
      <c r="J56" s="1887"/>
      <c r="K56" s="1887"/>
      <c r="L56" s="1870"/>
      <c r="M56" s="1870"/>
      <c r="N56" s="1870"/>
      <c r="O56" s="1870"/>
      <c r="P56" s="1870"/>
    </row>
    <row r="57" spans="1:16">
      <c r="A57" s="1868"/>
      <c r="B57" s="1851" t="s">
        <v>643</v>
      </c>
      <c r="C57" s="1870"/>
      <c r="D57" s="1870"/>
      <c r="E57" s="1870"/>
      <c r="F57" s="2002" t="str">
        <f>'Part I-Project Information'!F46</f>
        <v>City of Newnan, Georgia</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http://www.cityofnewnan.org</v>
      </c>
      <c r="N57" s="1870">
        <f>'Part I-Project Information'!N46</f>
        <v>0</v>
      </c>
      <c r="O57" s="1870">
        <f>'Part I-Project Information'!O46</f>
        <v>0</v>
      </c>
      <c r="P57" s="1870">
        <f>'Part I-Project Information'!P46</f>
        <v>0</v>
      </c>
    </row>
    <row r="58" spans="1:16">
      <c r="A58" s="1868"/>
      <c r="B58" s="1870" t="s">
        <v>644</v>
      </c>
      <c r="C58" s="1870"/>
      <c r="D58" s="1870"/>
      <c r="E58" s="1870"/>
      <c r="F58" s="2002" t="str">
        <f>'Part I-Project Information'!F47</f>
        <v>Keith Brady</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c r="A59" s="1868"/>
      <c r="B59" s="1870" t="s">
        <v>1997</v>
      </c>
      <c r="C59" s="1870"/>
      <c r="D59" s="1870"/>
      <c r="E59" s="1870"/>
      <c r="F59" s="2002" t="str">
        <f>'Part I-Project Information'!F48</f>
        <v>25 LaGrange Street</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Newnan</v>
      </c>
      <c r="N59" s="2002">
        <f>'Part I-Project Information'!N48</f>
        <v>0</v>
      </c>
      <c r="O59" s="2002">
        <f>'Part I-Project Information'!O48</f>
        <v>0</v>
      </c>
      <c r="P59" s="2002">
        <f>'Part I-Project Information'!P48</f>
        <v>0</v>
      </c>
    </row>
    <row r="60" spans="1:16">
      <c r="A60" s="1868"/>
      <c r="B60" s="1877" t="s">
        <v>2245</v>
      </c>
      <c r="C60" s="1870"/>
      <c r="D60" s="1870"/>
      <c r="E60" s="1870"/>
      <c r="F60" s="2338">
        <f>'Part I-Project Information'!F49</f>
        <v>302632607</v>
      </c>
      <c r="G60" s="2338">
        <f>'Part I-Project Information'!G49</f>
        <v>0</v>
      </c>
      <c r="H60" s="1874" t="s">
        <v>1998</v>
      </c>
      <c r="I60" s="2339">
        <f>'Part I-Project Information'!I49</f>
        <v>7702532682</v>
      </c>
      <c r="J60" s="2339">
        <f>'Part I-Project Information'!J49</f>
        <v>0</v>
      </c>
      <c r="K60" s="2339">
        <f>'Part I-Project Information'!K49</f>
        <v>0</v>
      </c>
      <c r="L60" s="1877" t="s">
        <v>1813</v>
      </c>
      <c r="M60" s="2002" t="str">
        <f>'Part I-Project Information'!M49</f>
        <v>kbrady@cityofnewnan.ord</v>
      </c>
      <c r="N60" s="2002">
        <f>'Part I-Project Information'!N49</f>
        <v>0</v>
      </c>
      <c r="O60" s="2002">
        <f>'Part I-Project Information'!O49</f>
        <v>0</v>
      </c>
      <c r="P60" s="2002">
        <f>'Part I-Project Information'!P49</f>
        <v>0</v>
      </c>
    </row>
    <row r="61" spans="1:16">
      <c r="A61" s="1868"/>
      <c r="B61" s="1868"/>
      <c r="C61" s="1893"/>
      <c r="D61" s="1884"/>
      <c r="E61" s="1884"/>
      <c r="F61" s="1874"/>
      <c r="G61" s="1874"/>
      <c r="H61" s="1874"/>
      <c r="I61" s="1874"/>
      <c r="J61" s="1884"/>
      <c r="K61" s="1874"/>
      <c r="L61" s="1874"/>
      <c r="M61" s="1870"/>
      <c r="N61" s="1870"/>
      <c r="O61" s="1870"/>
      <c r="P61" s="1883"/>
    </row>
    <row r="62" spans="1:16">
      <c r="A62" s="1868"/>
      <c r="B62" s="1868"/>
      <c r="C62" s="1893"/>
      <c r="D62" s="1884"/>
      <c r="E62" s="1884"/>
      <c r="F62" s="1874"/>
      <c r="G62" s="1874"/>
      <c r="H62" s="1874"/>
      <c r="I62" s="1874"/>
      <c r="J62" s="1884"/>
      <c r="K62" s="1874"/>
      <c r="L62" s="1874"/>
      <c r="M62" s="1870"/>
      <c r="N62" s="1870"/>
      <c r="O62" s="1870"/>
      <c r="P62" s="1883"/>
    </row>
    <row r="63" spans="1:16">
      <c r="A63" s="1871" t="s">
        <v>1807</v>
      </c>
      <c r="B63" s="1851" t="s">
        <v>1487</v>
      </c>
      <c r="C63" s="1870"/>
      <c r="D63" s="1870"/>
      <c r="E63" s="1870"/>
      <c r="F63" s="1894"/>
      <c r="G63" s="1870"/>
      <c r="H63" s="1870"/>
      <c r="I63" s="1877"/>
      <c r="J63" s="1870"/>
      <c r="K63" s="1870"/>
      <c r="L63" s="1870"/>
      <c r="M63" s="1870"/>
      <c r="N63" s="1870"/>
      <c r="O63" s="1870"/>
      <c r="P63" s="1870"/>
    </row>
    <row r="64" spans="1:16">
      <c r="A64" s="1868"/>
      <c r="B64" s="1851"/>
      <c r="C64" s="1851"/>
      <c r="D64" s="1870"/>
      <c r="E64" s="1870"/>
      <c r="F64" s="1870"/>
      <c r="G64" s="1870"/>
      <c r="H64" s="1870"/>
      <c r="I64" s="1877"/>
      <c r="J64" s="1870"/>
      <c r="K64" s="1870"/>
      <c r="L64" s="1870"/>
      <c r="M64" s="1870"/>
      <c r="N64" s="1870"/>
      <c r="O64" s="1870"/>
      <c r="P64" s="1870"/>
    </row>
    <row r="65" spans="1:16">
      <c r="A65" s="1868"/>
      <c r="B65" s="1868" t="s">
        <v>1999</v>
      </c>
      <c r="C65" s="1851" t="s">
        <v>4558</v>
      </c>
      <c r="D65" s="1870"/>
      <c r="E65" s="1870"/>
      <c r="F65" s="1870"/>
      <c r="G65" s="1870"/>
      <c r="H65" s="1870"/>
      <c r="I65" s="1870"/>
      <c r="J65" s="1870"/>
      <c r="K65" s="1875"/>
      <c r="L65" s="1870"/>
      <c r="M65" s="1890"/>
      <c r="N65" s="1890"/>
      <c r="O65" s="1890"/>
      <c r="P65" s="1890"/>
    </row>
    <row r="66" spans="1:16" ht="13.5">
      <c r="A66" s="1876"/>
      <c r="B66" s="1868"/>
      <c r="C66" s="1870" t="s">
        <v>2311</v>
      </c>
      <c r="D66" s="1870"/>
      <c r="E66" s="1870"/>
      <c r="F66" s="1876"/>
      <c r="G66" s="1876"/>
      <c r="H66" s="1895">
        <f>'Part VI-Revenues &amp; Expenses'!$O$74</f>
        <v>96</v>
      </c>
      <c r="I66" s="1876"/>
      <c r="J66" s="1876"/>
      <c r="K66" s="1877" t="s">
        <v>3702</v>
      </c>
      <c r="L66" s="1870"/>
      <c r="M66" s="1896" t="s">
        <v>3701</v>
      </c>
      <c r="N66" s="1895">
        <f>'Part VI-Revenues &amp; Expenses'!$O$81</f>
        <v>0</v>
      </c>
      <c r="O66" s="1897" t="s">
        <v>3379</v>
      </c>
      <c r="P66" s="1895">
        <f>'Part VI-Revenues &amp; Expenses'!$O$82</f>
        <v>0</v>
      </c>
    </row>
    <row r="67" spans="1:16">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c r="A68" s="1870"/>
      <c r="B68" s="1868"/>
      <c r="C68" s="1877" t="s">
        <v>348</v>
      </c>
      <c r="D68" s="1870"/>
      <c r="E68" s="1870"/>
      <c r="F68" s="1870"/>
      <c r="G68" s="1870"/>
      <c r="H68" s="1895">
        <f>'Part VI-Revenues &amp; Expenses'!$O$77</f>
        <v>0</v>
      </c>
      <c r="I68" s="1899" t="s">
        <v>2931</v>
      </c>
      <c r="J68" s="1870"/>
      <c r="K68" s="1870" t="s">
        <v>350</v>
      </c>
      <c r="L68" s="1870"/>
      <c r="M68" s="1870"/>
      <c r="N68" s="1870"/>
      <c r="O68" s="1870"/>
      <c r="P68" s="2345">
        <f>'Part I-Project Information'!P57</f>
        <v>0</v>
      </c>
    </row>
    <row r="69" spans="1:16">
      <c r="A69" s="1868"/>
      <c r="B69" s="1870"/>
      <c r="C69" s="1870"/>
      <c r="D69" s="1870"/>
      <c r="E69" s="1870"/>
      <c r="F69" s="1870"/>
      <c r="G69" s="1870"/>
      <c r="H69" s="1870"/>
      <c r="I69" s="1870"/>
      <c r="J69" s="1870"/>
      <c r="K69" s="1870"/>
      <c r="L69" s="1870"/>
      <c r="M69" s="1870"/>
      <c r="N69" s="1870"/>
      <c r="O69" s="1870"/>
      <c r="P69" s="1870"/>
    </row>
    <row r="70" spans="1:16">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c r="A71" s="1868"/>
      <c r="B71" s="1870"/>
      <c r="C71" s="1870"/>
      <c r="D71" s="1870"/>
      <c r="E71" s="1870"/>
      <c r="F71" s="1870"/>
      <c r="G71" s="1870"/>
      <c r="H71" s="1870"/>
      <c r="I71" s="1870"/>
      <c r="J71" s="1875"/>
      <c r="K71" s="1900"/>
      <c r="L71" s="1875"/>
      <c r="M71" s="1900"/>
      <c r="N71" s="1900"/>
      <c r="O71" s="1900"/>
      <c r="P71" s="1900"/>
    </row>
    <row r="72" spans="1:16">
      <c r="A72" s="1868"/>
      <c r="B72" s="1873" t="s">
        <v>757</v>
      </c>
      <c r="C72" s="1851" t="s">
        <v>2292</v>
      </c>
      <c r="D72" s="1870"/>
      <c r="E72" s="1870"/>
      <c r="F72" s="1870"/>
      <c r="G72" s="1870"/>
      <c r="H72" s="1870"/>
      <c r="I72" s="1901" t="s">
        <v>3589</v>
      </c>
      <c r="J72" s="1873" t="s">
        <v>2131</v>
      </c>
      <c r="K72" s="1902" t="s">
        <v>2318</v>
      </c>
      <c r="L72" s="1870"/>
      <c r="M72" s="1870"/>
      <c r="N72" s="1870"/>
      <c r="O72" s="1870"/>
      <c r="P72" s="1874"/>
    </row>
    <row r="73" spans="1:16">
      <c r="A73" s="1868"/>
      <c r="B73" s="1903"/>
      <c r="C73" s="1876" t="s">
        <v>2293</v>
      </c>
      <c r="D73" s="1870"/>
      <c r="E73" s="1870"/>
      <c r="F73" s="1870"/>
      <c r="G73" s="1870"/>
      <c r="H73" s="1904">
        <f>SUM(H74:H75)</f>
        <v>96</v>
      </c>
      <c r="I73" s="1904">
        <f>SUM(I74:I75)</f>
        <v>0</v>
      </c>
      <c r="J73" s="1868"/>
      <c r="K73" s="1876" t="s">
        <v>2791</v>
      </c>
      <c r="L73" s="1870"/>
      <c r="M73" s="1870"/>
      <c r="N73" s="1870"/>
      <c r="O73" s="1870"/>
      <c r="P73" s="1904">
        <f>'Part VI-Revenues &amp; Expenses'!$O$115</f>
        <v>119300</v>
      </c>
    </row>
    <row r="74" spans="1:16">
      <c r="A74" s="1868"/>
      <c r="B74" s="1876"/>
      <c r="C74" s="1870"/>
      <c r="D74" s="1888" t="s">
        <v>387</v>
      </c>
      <c r="E74" s="1870"/>
      <c r="F74" s="1870"/>
      <c r="G74" s="1870"/>
      <c r="H74" s="1904">
        <f>'Part VI-Revenues &amp; Expenses'!$O$57</f>
        <v>0</v>
      </c>
      <c r="I74" s="1904">
        <f>'Part VI-Revenues &amp; Expenses'!$O$65</f>
        <v>0</v>
      </c>
      <c r="J74" s="1870"/>
      <c r="K74" s="1876" t="s">
        <v>2792</v>
      </c>
      <c r="L74" s="1870"/>
      <c r="M74" s="1870"/>
      <c r="N74" s="1870"/>
      <c r="O74" s="1870"/>
      <c r="P74" s="1904">
        <f>'Part VI-Revenues &amp; Expenses'!$O$116</f>
        <v>0</v>
      </c>
    </row>
    <row r="75" spans="1:16">
      <c r="A75" s="1868"/>
      <c r="B75" s="1870"/>
      <c r="C75" s="1870"/>
      <c r="D75" s="1888" t="s">
        <v>1835</v>
      </c>
      <c r="E75" s="1888"/>
      <c r="F75" s="1870"/>
      <c r="G75" s="1870"/>
      <c r="H75" s="1904">
        <f>'Part VI-Revenues &amp; Expenses'!$O$56</f>
        <v>96</v>
      </c>
      <c r="I75" s="1904">
        <f>'Part VI-Revenues &amp; Expenses'!$O$64</f>
        <v>0</v>
      </c>
      <c r="J75" s="1870"/>
      <c r="K75" s="1876" t="s">
        <v>2793</v>
      </c>
      <c r="L75" s="1870"/>
      <c r="M75" s="1870"/>
      <c r="N75" s="1870"/>
      <c r="O75" s="1870"/>
      <c r="P75" s="1904">
        <f>P73+P74</f>
        <v>119300</v>
      </c>
    </row>
    <row r="76" spans="1:16">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c r="A77" s="1868"/>
      <c r="B77" s="1870"/>
      <c r="C77" s="1876" t="s">
        <v>2423</v>
      </c>
      <c r="D77" s="1870"/>
      <c r="E77" s="1870"/>
      <c r="F77" s="1870"/>
      <c r="G77" s="1870"/>
      <c r="H77" s="1904">
        <f>H73+H76</f>
        <v>96</v>
      </c>
      <c r="I77" s="1870"/>
      <c r="J77" s="1868"/>
      <c r="K77" s="1876" t="s">
        <v>1432</v>
      </c>
      <c r="L77" s="1870"/>
      <c r="M77" s="1870"/>
      <c r="N77" s="1870"/>
      <c r="O77" s="1870"/>
      <c r="P77" s="1904">
        <f>+P75+P76</f>
        <v>119300</v>
      </c>
    </row>
    <row r="78" spans="1:16">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c r="A79" s="1868"/>
      <c r="B79" s="1870"/>
      <c r="C79" s="1876" t="s">
        <v>1806</v>
      </c>
      <c r="D79" s="1870"/>
      <c r="E79" s="1870"/>
      <c r="F79" s="1870"/>
      <c r="G79" s="1870"/>
      <c r="H79" s="1904">
        <f>+H77+H78</f>
        <v>96</v>
      </c>
      <c r="I79" s="1870"/>
      <c r="J79" s="1870"/>
      <c r="K79" s="1870"/>
      <c r="L79" s="1870"/>
      <c r="M79" s="1870"/>
      <c r="N79" s="1870"/>
      <c r="O79" s="1870"/>
      <c r="P79" s="1870"/>
    </row>
    <row r="80" spans="1:16">
      <c r="A80" s="1868"/>
      <c r="B80" s="1870"/>
      <c r="C80" s="1870"/>
      <c r="D80" s="1870"/>
      <c r="E80" s="1870"/>
      <c r="F80" s="1870"/>
      <c r="G80" s="1870"/>
      <c r="H80" s="1870"/>
      <c r="I80" s="1874"/>
      <c r="J80" s="1870"/>
      <c r="K80" s="1870"/>
      <c r="L80" s="1874"/>
      <c r="M80" s="1874"/>
      <c r="N80" s="1870"/>
      <c r="O80" s="1870"/>
      <c r="P80" s="1883"/>
    </row>
    <row r="81" spans="1:16">
      <c r="A81" s="1868"/>
      <c r="B81" s="1868" t="s">
        <v>1748</v>
      </c>
      <c r="C81" s="1851" t="s">
        <v>2313</v>
      </c>
      <c r="D81" s="1888" t="s">
        <v>2012</v>
      </c>
      <c r="E81" s="1870"/>
      <c r="F81" s="1870"/>
      <c r="G81" s="1870"/>
      <c r="H81" s="1904">
        <f>'Part I-Project Information'!H70</f>
        <v>16</v>
      </c>
      <c r="I81" s="1870"/>
      <c r="J81" s="1870"/>
      <c r="K81" s="1876" t="s">
        <v>4109</v>
      </c>
      <c r="L81" s="1870"/>
      <c r="M81" s="1870"/>
      <c r="N81" s="1870"/>
      <c r="O81" s="1870"/>
      <c r="P81" s="1904">
        <f>'Part I-Project Information'!P70</f>
        <v>3000</v>
      </c>
    </row>
    <row r="82" spans="1:16">
      <c r="A82" s="1868"/>
      <c r="B82" s="1868"/>
      <c r="C82" s="1870"/>
      <c r="D82" s="1903" t="s">
        <v>2013</v>
      </c>
      <c r="E82" s="1870"/>
      <c r="F82" s="1870"/>
      <c r="G82" s="1870"/>
      <c r="H82" s="1904">
        <f>'Part I-Project Information'!H71</f>
        <v>1</v>
      </c>
      <c r="I82" s="1870"/>
      <c r="J82" s="1870"/>
      <c r="K82" s="1876" t="s">
        <v>254</v>
      </c>
      <c r="L82" s="1870"/>
      <c r="M82" s="1870"/>
      <c r="N82" s="1870"/>
      <c r="O82" s="1870"/>
      <c r="P82" s="1904">
        <f>+P77+P81</f>
        <v>122300</v>
      </c>
    </row>
    <row r="83" spans="1:16">
      <c r="A83" s="1868"/>
      <c r="B83" s="1868"/>
      <c r="C83" s="1870"/>
      <c r="D83" s="1903" t="s">
        <v>2014</v>
      </c>
      <c r="E83" s="1870"/>
      <c r="F83" s="1870"/>
      <c r="G83" s="1870"/>
      <c r="H83" s="1904">
        <f>+H81+H82</f>
        <v>17</v>
      </c>
      <c r="I83" s="1870"/>
      <c r="J83" s="1870"/>
      <c r="K83" s="1870"/>
      <c r="L83" s="1870"/>
      <c r="M83" s="1870"/>
      <c r="N83" s="1870"/>
      <c r="O83" s="1870"/>
      <c r="P83" s="1870"/>
    </row>
    <row r="84" spans="1:16">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2861</v>
      </c>
      <c r="D85" s="1870"/>
      <c r="E85" s="1870"/>
      <c r="F85" s="1870"/>
      <c r="G85" s="1870"/>
      <c r="H85" s="1904">
        <f>'Part I-Project Information'!H74</f>
        <v>196</v>
      </c>
      <c r="I85" s="1870"/>
      <c r="J85" s="1870"/>
      <c r="K85" s="1905" t="s">
        <v>3889</v>
      </c>
      <c r="L85" s="1905"/>
      <c r="M85" s="1905"/>
      <c r="N85" s="1905"/>
      <c r="O85" s="1905"/>
      <c r="P85" s="1905"/>
    </row>
    <row r="86" spans="1:16">
      <c r="A86" s="1868"/>
      <c r="B86" s="1868"/>
      <c r="C86" s="1876"/>
      <c r="D86" s="1870"/>
      <c r="E86" s="1870"/>
      <c r="F86" s="1870"/>
      <c r="G86" s="1874"/>
      <c r="H86" s="1870"/>
      <c r="I86" s="1876"/>
      <c r="J86" s="1876"/>
      <c r="K86" s="1905"/>
      <c r="L86" s="1905"/>
      <c r="M86" s="1905"/>
      <c r="N86" s="1905"/>
      <c r="O86" s="1905"/>
      <c r="P86" s="1905"/>
    </row>
    <row r="87" spans="1:16">
      <c r="A87" s="1868" t="s">
        <v>535</v>
      </c>
      <c r="B87" s="1906" t="s">
        <v>1202</v>
      </c>
      <c r="C87" s="1870"/>
      <c r="D87" s="1906"/>
      <c r="E87" s="1906"/>
      <c r="F87" s="1870"/>
      <c r="G87" s="1874"/>
      <c r="H87" s="1870"/>
      <c r="I87" s="1870"/>
      <c r="J87" s="1870"/>
      <c r="K87" s="1905"/>
      <c r="L87" s="1905"/>
      <c r="M87" s="1905"/>
      <c r="N87" s="1905"/>
      <c r="O87" s="1905"/>
      <c r="P87" s="1905"/>
    </row>
    <row r="88" spans="1:16">
      <c r="A88" s="1868"/>
      <c r="B88" s="1870"/>
      <c r="C88" s="1907"/>
      <c r="D88" s="1907"/>
      <c r="E88" s="1907"/>
      <c r="F88" s="1870"/>
      <c r="G88" s="1874"/>
      <c r="H88" s="1870"/>
      <c r="I88" s="1870"/>
      <c r="J88" s="1870"/>
      <c r="K88" s="1870"/>
      <c r="L88" s="1870"/>
      <c r="M88" s="1870"/>
      <c r="N88" s="1870"/>
      <c r="O88" s="1870"/>
      <c r="P88" s="1883"/>
    </row>
    <row r="89" spans="1:16">
      <c r="A89" s="1868"/>
      <c r="B89" s="1868" t="s">
        <v>1999</v>
      </c>
      <c r="C89" s="1871" t="s">
        <v>4559</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3911</v>
      </c>
      <c r="I91" s="1905"/>
      <c r="J91" s="1870"/>
      <c r="K91" s="1908" t="s">
        <v>2932</v>
      </c>
      <c r="L91" s="1904">
        <f>'Part I-Project Information'!L80</f>
        <v>96</v>
      </c>
      <c r="M91" s="1908" t="s">
        <v>2933</v>
      </c>
      <c r="N91" s="1904">
        <f>'Part I-Project Information'!N80</f>
        <v>0</v>
      </c>
      <c r="O91" s="1870"/>
      <c r="P91" s="1880" t="s">
        <v>3913</v>
      </c>
    </row>
    <row r="92" spans="1:16">
      <c r="A92" s="1868"/>
      <c r="B92" s="1868"/>
      <c r="C92" s="1870"/>
      <c r="D92" s="1877"/>
      <c r="E92" s="1907"/>
      <c r="F92" s="1870"/>
      <c r="G92" s="1870"/>
      <c r="H92" s="1905"/>
      <c r="I92" s="1905"/>
      <c r="J92" s="1870"/>
      <c r="K92" s="1880" t="s">
        <v>2934</v>
      </c>
      <c r="L92" s="1904">
        <f>'Part I-Project Information'!L81</f>
        <v>0</v>
      </c>
      <c r="M92" s="1880" t="s">
        <v>3912</v>
      </c>
      <c r="N92" s="1904">
        <f>'Part I-Project Information'!N81</f>
        <v>0</v>
      </c>
      <c r="O92" s="1870"/>
      <c r="P92" s="1904">
        <f>'Part I-Project Information'!P81</f>
        <v>0</v>
      </c>
    </row>
    <row r="93" spans="1:16">
      <c r="A93" s="1868"/>
      <c r="B93" s="1868"/>
      <c r="C93" s="1870"/>
      <c r="D93" s="1903"/>
      <c r="E93" s="1903"/>
      <c r="F93" s="1903"/>
      <c r="G93" s="1903"/>
      <c r="H93" s="1870"/>
      <c r="I93" s="1874"/>
      <c r="J93" s="1870"/>
      <c r="K93" s="1877"/>
      <c r="L93" s="1877"/>
      <c r="M93" s="1874"/>
      <c r="N93" s="1870"/>
      <c r="O93" s="1870"/>
      <c r="P93" s="1883"/>
    </row>
    <row r="94" spans="1:16">
      <c r="A94" s="1868"/>
      <c r="B94" s="1868" t="s">
        <v>2001</v>
      </c>
      <c r="C94" s="1851" t="s">
        <v>1423</v>
      </c>
      <c r="D94" s="1870"/>
      <c r="E94" s="1888"/>
      <c r="F94" s="1903" t="s">
        <v>804</v>
      </c>
      <c r="G94" s="1870"/>
      <c r="H94" s="1904">
        <f>'Part VIII-Threshold Criteria'!K301</f>
        <v>5</v>
      </c>
      <c r="I94" s="1870"/>
      <c r="J94" s="1870"/>
      <c r="K94" s="1870" t="s">
        <v>525</v>
      </c>
      <c r="L94" s="1870"/>
      <c r="M94" s="1870"/>
      <c r="N94" s="1909">
        <f>IF('Part VI-Revenues &amp; Expenses'!$O$62=0,0,H94/'Part VI-Revenues &amp; Expenses'!$O$62)</f>
        <v>5.2083333333333336E-2</v>
      </c>
      <c r="O94" s="1880" t="s">
        <v>3725</v>
      </c>
      <c r="P94" s="1910">
        <f>'DCA Underwriting Assumptions'!$Q$136</f>
        <v>0.05</v>
      </c>
    </row>
    <row r="95" spans="1:16">
      <c r="A95" s="1868"/>
      <c r="B95" s="1868"/>
      <c r="C95" s="1870"/>
      <c r="D95" s="1903" t="s">
        <v>2859</v>
      </c>
      <c r="E95" s="1903"/>
      <c r="F95" s="1903" t="s">
        <v>804</v>
      </c>
      <c r="G95" s="1870"/>
      <c r="H95" s="1904">
        <f>'Part VIII-Threshold Criteria'!K302</f>
        <v>0</v>
      </c>
      <c r="I95" s="1870"/>
      <c r="J95" s="1870"/>
      <c r="K95" s="1870" t="s">
        <v>2860</v>
      </c>
      <c r="L95" s="1870"/>
      <c r="M95" s="1870"/>
      <c r="N95" s="1909">
        <f>IF(H94=0,0,H95/H94)</f>
        <v>0</v>
      </c>
      <c r="O95" s="1880" t="s">
        <v>3725</v>
      </c>
      <c r="P95" s="1910">
        <f>'DCA Underwriting Assumptions'!$Q$137</f>
        <v>0.4</v>
      </c>
    </row>
    <row r="96" spans="1:16">
      <c r="A96" s="1868"/>
      <c r="B96" s="1868"/>
      <c r="C96" s="1870"/>
      <c r="D96" s="1903"/>
      <c r="E96" s="1903"/>
      <c r="F96" s="1903"/>
      <c r="G96" s="1870"/>
      <c r="H96" s="1870"/>
      <c r="I96" s="1874"/>
      <c r="J96" s="1870"/>
      <c r="K96" s="1877"/>
      <c r="L96" s="1877"/>
      <c r="M96" s="1874"/>
      <c r="N96" s="1874"/>
      <c r="O96" s="1870"/>
      <c r="P96" s="1874"/>
    </row>
    <row r="97" spans="1:16">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3725</v>
      </c>
      <c r="P97" s="1910">
        <f>'DCA Underwriting Assumptions'!$Q$138</f>
        <v>0.02</v>
      </c>
    </row>
    <row r="98" spans="1:16">
      <c r="A98" s="1868"/>
      <c r="B98" s="1868"/>
      <c r="C98" s="1870"/>
      <c r="D98" s="1903"/>
      <c r="E98" s="1903"/>
      <c r="F98" s="1903"/>
      <c r="G98" s="1903"/>
      <c r="H98" s="1870"/>
      <c r="I98" s="1874"/>
      <c r="J98" s="1874"/>
      <c r="K98" s="1874"/>
      <c r="L98" s="1874"/>
      <c r="M98" s="1874"/>
      <c r="N98" s="1870"/>
      <c r="O98" s="1870"/>
      <c r="P98" s="1883"/>
    </row>
    <row r="99" spans="1:16">
      <c r="A99" s="1902" t="s">
        <v>780</v>
      </c>
      <c r="B99" s="1907" t="s">
        <v>2393</v>
      </c>
      <c r="C99" s="1870"/>
      <c r="D99" s="1903"/>
      <c r="E99" s="1903"/>
      <c r="F99" s="1903"/>
      <c r="G99" s="1903"/>
      <c r="H99" s="1903"/>
      <c r="I99" s="1874"/>
      <c r="J99" s="1870"/>
      <c r="K99" s="1870"/>
      <c r="L99" s="1870"/>
      <c r="M99" s="1874"/>
      <c r="N99" s="1870"/>
      <c r="O99" s="1870"/>
      <c r="P99" s="1883"/>
    </row>
    <row r="100" spans="1:16">
      <c r="A100" s="1868"/>
      <c r="B100" s="1868"/>
      <c r="C100" s="1907"/>
      <c r="D100" s="1903"/>
      <c r="E100" s="1903"/>
      <c r="F100" s="1903"/>
      <c r="G100" s="1870"/>
      <c r="H100" s="1870"/>
      <c r="I100" s="1870"/>
      <c r="J100" s="1870"/>
      <c r="K100" s="1870"/>
      <c r="L100" s="1874"/>
      <c r="M100" s="1874"/>
      <c r="N100" s="1870"/>
      <c r="O100" s="1870"/>
      <c r="P100" s="1883"/>
    </row>
    <row r="101" spans="1:16">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c r="A102" s="1868"/>
      <c r="B102" s="1868"/>
      <c r="C102" s="1870"/>
      <c r="D102" s="1903"/>
      <c r="E102" s="1903"/>
      <c r="F102" s="1903"/>
      <c r="G102" s="1903"/>
      <c r="H102" s="1870"/>
      <c r="I102" s="1874"/>
      <c r="J102" s="1874"/>
      <c r="K102" s="1874"/>
      <c r="L102" s="1874"/>
      <c r="M102" s="1874"/>
      <c r="N102" s="1870"/>
      <c r="O102" s="1870"/>
      <c r="P102" s="1883"/>
    </row>
    <row r="103" spans="1:16">
      <c r="A103" s="1870"/>
      <c r="B103" s="1868" t="s">
        <v>2001</v>
      </c>
      <c r="C103" s="1851" t="s">
        <v>1546</v>
      </c>
      <c r="D103" s="1870"/>
      <c r="E103" s="1870"/>
      <c r="F103" s="1870"/>
      <c r="G103" s="1870"/>
      <c r="H103" s="1870"/>
      <c r="I103" s="1870"/>
      <c r="J103" s="1870"/>
      <c r="K103" s="1877" t="s">
        <v>877</v>
      </c>
      <c r="L103" s="1870"/>
      <c r="M103" s="1870"/>
      <c r="N103" s="1911"/>
      <c r="O103" s="1870"/>
      <c r="P103" s="1874">
        <f>'Part I-Project Information'!P92</f>
        <v>0</v>
      </c>
    </row>
    <row r="104" spans="1:16">
      <c r="A104" s="1868"/>
      <c r="B104" s="1868"/>
      <c r="C104" s="1851"/>
      <c r="D104" s="1903"/>
      <c r="E104" s="1903"/>
      <c r="F104" s="1903"/>
      <c r="G104" s="1903"/>
      <c r="H104" s="1870"/>
      <c r="I104" s="1874"/>
      <c r="J104" s="1874"/>
      <c r="K104" s="1874"/>
      <c r="L104" s="1874"/>
      <c r="M104" s="1874"/>
      <c r="N104" s="1870"/>
      <c r="O104" s="1870"/>
      <c r="P104" s="1883"/>
    </row>
    <row r="105" spans="1:16">
      <c r="A105" s="1902" t="s">
        <v>294</v>
      </c>
      <c r="B105" s="1907" t="s">
        <v>2057</v>
      </c>
      <c r="C105" s="1870"/>
      <c r="D105" s="1903"/>
      <c r="E105" s="1870"/>
      <c r="F105" s="1870"/>
      <c r="G105" s="1870"/>
      <c r="H105" s="1870"/>
      <c r="I105" s="1870"/>
      <c r="J105" s="1870"/>
      <c r="K105" s="1870"/>
      <c r="L105" s="1870"/>
      <c r="M105" s="1870"/>
      <c r="N105" s="1870"/>
      <c r="O105" s="1870"/>
      <c r="P105" s="1870"/>
    </row>
    <row r="106" spans="1:16">
      <c r="A106" s="1868"/>
      <c r="B106" s="1868"/>
      <c r="C106" s="1870"/>
      <c r="D106" s="1903"/>
      <c r="E106" s="1870"/>
      <c r="F106" s="1870"/>
      <c r="G106" s="1870"/>
      <c r="H106" s="1870"/>
      <c r="I106" s="1870"/>
      <c r="J106" s="1870"/>
      <c r="K106" s="1870"/>
      <c r="L106" s="1870"/>
      <c r="M106" s="1870"/>
      <c r="N106" s="1870"/>
      <c r="O106" s="1870"/>
      <c r="P106" s="1883"/>
    </row>
    <row r="107" spans="1:16">
      <c r="A107" s="1902"/>
      <c r="B107" s="1868" t="s">
        <v>1999</v>
      </c>
      <c r="C107" s="1851" t="s">
        <v>2726</v>
      </c>
      <c r="D107" s="1870"/>
      <c r="E107" s="1870"/>
      <c r="F107" s="1888" t="s">
        <v>2617</v>
      </c>
      <c r="G107" s="1870"/>
      <c r="H107" s="1874">
        <f>'Part I-Project Information'!H96</f>
        <v>0</v>
      </c>
      <c r="I107" s="1870"/>
      <c r="J107" s="1870"/>
      <c r="K107" s="1888" t="s">
        <v>3936</v>
      </c>
      <c r="L107" s="1874">
        <f>'Part I-Project Information'!L96</f>
        <v>0</v>
      </c>
      <c r="M107" s="1870"/>
      <c r="N107" s="1870"/>
      <c r="O107" s="1880" t="s">
        <v>3930</v>
      </c>
      <c r="P107" s="1874">
        <f>'Part I-Project Information'!P96</f>
        <v>0</v>
      </c>
    </row>
    <row r="108" spans="1:16">
      <c r="A108" s="1868"/>
      <c r="B108" s="1868"/>
      <c r="C108" s="1907"/>
      <c r="D108" s="1870"/>
      <c r="E108" s="1870"/>
      <c r="F108" s="1903"/>
      <c r="G108" s="1870"/>
      <c r="H108" s="1903"/>
      <c r="I108" s="1870"/>
      <c r="J108" s="1874"/>
      <c r="K108" s="1874"/>
      <c r="L108" s="1874"/>
      <c r="M108" s="1874"/>
      <c r="N108" s="1874"/>
      <c r="O108" s="1870"/>
      <c r="P108" s="1883"/>
    </row>
    <row r="109" spans="1:16">
      <c r="A109" s="1902"/>
      <c r="B109" s="1868" t="s">
        <v>2001</v>
      </c>
      <c r="C109" s="1851" t="s">
        <v>2727</v>
      </c>
      <c r="D109" s="1870"/>
      <c r="E109" s="1870"/>
      <c r="F109" s="1877" t="s">
        <v>2696</v>
      </c>
      <c r="G109" s="1870"/>
      <c r="H109" s="1874">
        <f>'Part I-Project Information'!H98</f>
        <v>0</v>
      </c>
      <c r="I109" s="1912" t="s">
        <v>2728</v>
      </c>
      <c r="J109" s="1874"/>
      <c r="K109" s="1870"/>
      <c r="L109" s="1874"/>
      <c r="M109" s="1870"/>
      <c r="N109" s="1870"/>
      <c r="O109" s="1870"/>
      <c r="P109" s="1870"/>
    </row>
    <row r="110" spans="1:16">
      <c r="A110" s="1868"/>
      <c r="B110" s="1868"/>
      <c r="C110" s="1851"/>
      <c r="D110" s="1903"/>
      <c r="E110" s="1903"/>
      <c r="F110" s="1903"/>
      <c r="G110" s="1903"/>
      <c r="H110" s="1870"/>
      <c r="I110" s="1874"/>
      <c r="J110" s="1874"/>
      <c r="K110" s="1874"/>
      <c r="L110" s="1874"/>
      <c r="M110" s="1874"/>
      <c r="N110" s="1870"/>
      <c r="O110" s="1870"/>
      <c r="P110" s="1883"/>
    </row>
    <row r="111" spans="1:16">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c r="A112" s="1868"/>
      <c r="B112" s="1870"/>
      <c r="C112" s="1870"/>
      <c r="D112" s="1884"/>
      <c r="E112" s="1870"/>
      <c r="F112" s="1870"/>
      <c r="G112" s="1870"/>
      <c r="H112" s="1870"/>
      <c r="I112" s="1884"/>
      <c r="J112" s="1876"/>
      <c r="K112" s="1870"/>
      <c r="L112" s="1870"/>
      <c r="M112" s="1870"/>
      <c r="N112" s="1870"/>
      <c r="O112" s="1870"/>
      <c r="P112" s="1883"/>
    </row>
    <row r="113" spans="1:16">
      <c r="A113" s="1902" t="s">
        <v>364</v>
      </c>
      <c r="B113" s="1902" t="s">
        <v>1200</v>
      </c>
      <c r="C113" s="1870"/>
      <c r="D113" s="1870"/>
      <c r="E113" s="1870"/>
      <c r="F113" s="1870"/>
      <c r="G113" s="1870"/>
      <c r="H113" s="1870"/>
      <c r="I113" s="1884"/>
      <c r="J113" s="1876"/>
      <c r="K113" s="1870"/>
      <c r="L113" s="1870"/>
      <c r="M113" s="1870"/>
      <c r="N113" s="1870"/>
      <c r="O113" s="1870"/>
      <c r="P113" s="1883"/>
    </row>
    <row r="114" spans="1:16">
      <c r="A114" s="1902"/>
      <c r="B114" s="1868"/>
      <c r="C114" s="1902"/>
      <c r="D114" s="1870"/>
      <c r="E114" s="1870"/>
      <c r="F114" s="1870"/>
      <c r="G114" s="1870"/>
      <c r="H114" s="1870"/>
      <c r="I114" s="1884"/>
      <c r="J114" s="1876"/>
      <c r="K114" s="1870"/>
      <c r="L114" s="1870"/>
      <c r="M114" s="1870"/>
      <c r="N114" s="1870"/>
      <c r="O114" s="1870"/>
      <c r="P114" s="1870"/>
    </row>
    <row r="115" spans="1:16">
      <c r="A115" s="1868"/>
      <c r="B115" s="1868"/>
      <c r="C115" s="1876" t="s">
        <v>557</v>
      </c>
      <c r="D115" s="1870"/>
      <c r="E115" s="1870" t="str">
        <f>'Part I-Project Information'!E104</f>
        <v>The Housing Authority of the City of Newnan</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f>'Part I-Project Information'!O104</f>
        <v>43122</v>
      </c>
      <c r="P115" s="2346">
        <f>'Part I-Project Information'!P104</f>
        <v>0</v>
      </c>
    </row>
    <row r="116" spans="1:16">
      <c r="A116" s="1870"/>
      <c r="B116" s="1870"/>
      <c r="C116" s="1877" t="s">
        <v>1031</v>
      </c>
      <c r="D116" s="1880"/>
      <c r="E116" s="1870" t="str">
        <f>'Part I-Project Information'!E105</f>
        <v>48 Ball Street</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c r="A117" s="1870"/>
      <c r="B117" s="1870"/>
      <c r="C117" s="1877" t="s">
        <v>624</v>
      </c>
      <c r="D117" s="1870"/>
      <c r="E117" s="1870" t="str">
        <f>'Part I-Project Information'!E106</f>
        <v>Newnan</v>
      </c>
      <c r="F117" s="1888">
        <f>'Part I-Project Information'!F106</f>
        <v>0</v>
      </c>
      <c r="G117" s="1888">
        <f>'Part I-Project Information'!G106</f>
        <v>0</v>
      </c>
      <c r="H117" s="1874" t="s">
        <v>1812</v>
      </c>
      <c r="I117" s="1874" t="str">
        <f>'Part I-Project Information'!I106</f>
        <v>GA</v>
      </c>
      <c r="J117" s="1874" t="s">
        <v>2245</v>
      </c>
      <c r="K117" s="2338"/>
      <c r="L117" s="1888"/>
      <c r="M117" s="1876" t="s">
        <v>3692</v>
      </c>
      <c r="N117" s="1876"/>
      <c r="O117" s="1989">
        <f>'Part I-Project Information'!O106</f>
        <v>18000000</v>
      </c>
      <c r="P117" s="1989">
        <f>'Part I-Project Information'!P106</f>
        <v>0</v>
      </c>
    </row>
    <row r="118" spans="1:16">
      <c r="A118" s="1870"/>
      <c r="B118" s="1870"/>
      <c r="C118" s="1870" t="s">
        <v>2210</v>
      </c>
      <c r="D118" s="1870"/>
      <c r="E118" s="1870" t="str">
        <f>'Part I-Project Information'!E107</f>
        <v>Sandra Strozier</v>
      </c>
      <c r="F118" s="1888">
        <f>'Part I-Project Information'!F107</f>
        <v>0</v>
      </c>
      <c r="G118" s="1888">
        <f>'Part I-Project Information'!G107</f>
        <v>0</v>
      </c>
      <c r="H118" s="1874" t="s">
        <v>1996</v>
      </c>
      <c r="I118" s="1870" t="str">
        <f>'Part I-Project Information'!I107</f>
        <v>Executive Director</v>
      </c>
      <c r="J118" s="1888">
        <f>'Part I-Project Information'!J107</f>
        <v>0</v>
      </c>
      <c r="K118" s="1888">
        <f>'Part I-Project Information'!K107</f>
        <v>0</v>
      </c>
      <c r="L118" s="1874" t="s">
        <v>2000</v>
      </c>
      <c r="M118" s="1870">
        <f>'Part I-Project Information'!M107</f>
        <v>0</v>
      </c>
      <c r="N118" s="1888">
        <f>'Part I-Project Information'!N107</f>
        <v>0</v>
      </c>
      <c r="O118" s="1888">
        <f>'Part I-Project Information'!O107</f>
        <v>0</v>
      </c>
      <c r="P118" s="1888">
        <f>'Part I-Project Information'!P107</f>
        <v>0</v>
      </c>
    </row>
    <row r="119" spans="1:16">
      <c r="A119" s="1870"/>
      <c r="B119" s="1870"/>
      <c r="C119" s="1877" t="s">
        <v>2209</v>
      </c>
      <c r="D119" s="1870"/>
      <c r="E119" s="2339">
        <f>'Part I-Project Information'!E108</f>
        <v>7702536461</v>
      </c>
      <c r="F119" s="2339">
        <f>'Part I-Project Information'!F108</f>
        <v>0</v>
      </c>
      <c r="G119" s="2339">
        <f>'Part I-Project Information'!G108</f>
        <v>0</v>
      </c>
      <c r="H119" s="1874" t="s">
        <v>1815</v>
      </c>
      <c r="I119" s="2339">
        <f>'Part I-Project Information'!I108</f>
        <v>7706838237</v>
      </c>
      <c r="J119" s="1888">
        <f>'Part I-Project Information'!J108</f>
        <v>0</v>
      </c>
      <c r="K119" s="1874" t="s">
        <v>2722</v>
      </c>
      <c r="L119" s="2246">
        <f>'Part I-Project Information'!L108</f>
        <v>0</v>
      </c>
      <c r="M119" s="2246">
        <f>'Part I-Project Information'!M108</f>
        <v>0</v>
      </c>
      <c r="N119" s="2246">
        <f>'Part I-Project Information'!N108</f>
        <v>0</v>
      </c>
      <c r="O119" s="2246">
        <f>'Part I-Project Information'!O108</f>
        <v>0</v>
      </c>
      <c r="P119" s="2246">
        <f>'Part I-Project Information'!P108</f>
        <v>0</v>
      </c>
    </row>
    <row r="120" spans="1:16">
      <c r="A120" s="1868"/>
      <c r="B120" s="1868"/>
      <c r="C120" s="1870"/>
      <c r="D120" s="1870"/>
      <c r="E120" s="1870"/>
      <c r="F120" s="1870"/>
      <c r="G120" s="1884"/>
      <c r="H120" s="1874"/>
      <c r="I120" s="1874"/>
      <c r="J120" s="1870"/>
      <c r="K120" s="1870"/>
      <c r="L120" s="1870"/>
      <c r="M120" s="1883"/>
      <c r="N120" s="1870"/>
      <c r="O120" s="1870"/>
      <c r="P120" s="1870"/>
    </row>
    <row r="121" spans="1:16">
      <c r="A121" s="1902" t="s">
        <v>365</v>
      </c>
      <c r="B121" s="1907" t="s">
        <v>1682</v>
      </c>
      <c r="C121" s="1870"/>
      <c r="D121" s="1884"/>
      <c r="E121" s="1884"/>
      <c r="F121" s="1874"/>
      <c r="G121" s="1874"/>
      <c r="H121" s="1874"/>
      <c r="I121" s="1870"/>
      <c r="J121" s="1870"/>
      <c r="K121" s="1870"/>
      <c r="L121" s="1870"/>
      <c r="M121" s="1870"/>
      <c r="N121" s="1870"/>
      <c r="O121" s="1870"/>
      <c r="P121" s="1883"/>
    </row>
    <row r="122" spans="1:16">
      <c r="A122" s="1902"/>
      <c r="B122" s="1907"/>
      <c r="C122" s="1870"/>
      <c r="D122" s="1884"/>
      <c r="E122" s="1884"/>
      <c r="F122" s="1874"/>
      <c r="G122" s="1874"/>
      <c r="H122" s="1874"/>
      <c r="I122" s="1874"/>
      <c r="J122" s="1884"/>
      <c r="K122" s="1874"/>
      <c r="L122" s="1874"/>
      <c r="M122" s="1870"/>
      <c r="N122" s="1870"/>
      <c r="O122" s="1870"/>
      <c r="P122" s="1883"/>
    </row>
    <row r="123" spans="1:16">
      <c r="A123" s="1870"/>
      <c r="B123" s="1888" t="s">
        <v>2169</v>
      </c>
      <c r="C123" s="1870"/>
      <c r="D123" s="1881"/>
      <c r="E123" s="1881"/>
      <c r="F123" s="1881"/>
      <c r="G123" s="1881"/>
      <c r="H123" s="1881"/>
      <c r="I123" s="1881"/>
      <c r="J123" s="1881"/>
      <c r="K123" s="1881"/>
      <c r="L123" s="1881"/>
      <c r="M123" s="1881"/>
      <c r="N123" s="1881"/>
      <c r="O123" s="1881"/>
      <c r="P123" s="1881"/>
    </row>
    <row r="124" spans="1:16">
      <c r="A124" s="1868"/>
      <c r="B124" s="1868"/>
      <c r="C124" s="1913"/>
      <c r="D124" s="1913"/>
      <c r="E124" s="1913"/>
      <c r="F124" s="1913"/>
      <c r="G124" s="1913"/>
      <c r="H124" s="1913"/>
      <c r="I124" s="1913"/>
      <c r="J124" s="1913"/>
      <c r="K124" s="1913"/>
      <c r="L124" s="1913"/>
      <c r="M124" s="1913"/>
      <c r="N124" s="1913"/>
      <c r="O124" s="1913"/>
      <c r="P124" s="1913"/>
    </row>
    <row r="125" spans="1:16">
      <c r="A125" s="1868"/>
      <c r="B125" s="1868" t="s">
        <v>1999</v>
      </c>
      <c r="C125" s="1907" t="s">
        <v>1424</v>
      </c>
      <c r="D125" s="1903"/>
      <c r="E125" s="1903"/>
      <c r="F125" s="1874"/>
      <c r="G125" s="1874"/>
      <c r="H125" s="1884">
        <f>'Part I-Project Information'!H114</f>
        <v>0</v>
      </c>
      <c r="I125" s="1870"/>
      <c r="J125" s="1870"/>
      <c r="K125" s="1870"/>
      <c r="L125" s="1870"/>
      <c r="M125" s="1870"/>
      <c r="N125" s="1870"/>
      <c r="O125" s="1870"/>
      <c r="P125" s="1870"/>
    </row>
    <row r="126" spans="1:16">
      <c r="A126" s="1868"/>
      <c r="B126" s="1868"/>
      <c r="C126" s="1913"/>
      <c r="D126" s="1913"/>
      <c r="E126" s="1913"/>
      <c r="F126" s="1913"/>
      <c r="G126" s="1913"/>
      <c r="H126" s="1913"/>
      <c r="I126" s="1870"/>
      <c r="J126" s="1913"/>
      <c r="K126" s="1870"/>
      <c r="L126" s="1870"/>
      <c r="M126" s="1913"/>
      <c r="N126" s="1913"/>
      <c r="O126" s="1913"/>
      <c r="P126" s="1870"/>
    </row>
    <row r="127" spans="1:16">
      <c r="A127" s="1868"/>
      <c r="B127" s="1868" t="s">
        <v>2001</v>
      </c>
      <c r="C127" s="1907" t="s">
        <v>418</v>
      </c>
      <c r="D127" s="1903"/>
      <c r="E127" s="1903"/>
      <c r="F127" s="1874"/>
      <c r="G127" s="1874"/>
      <c r="H127" s="2347">
        <f>'Part I-Project Information'!H116</f>
        <v>0</v>
      </c>
      <c r="I127" s="1870"/>
      <c r="J127" s="1884"/>
      <c r="K127" s="1877"/>
      <c r="L127" s="1870"/>
      <c r="M127" s="1870"/>
      <c r="N127" s="1870"/>
      <c r="O127" s="1870"/>
      <c r="P127" s="1870"/>
    </row>
    <row r="128" spans="1:16">
      <c r="A128" s="1868"/>
      <c r="B128" s="1868"/>
      <c r="C128" s="1913"/>
      <c r="D128" s="1913"/>
      <c r="E128" s="1913"/>
      <c r="F128" s="1913"/>
      <c r="G128" s="1913"/>
      <c r="H128" s="1913"/>
      <c r="I128" s="1913"/>
      <c r="J128" s="1913"/>
      <c r="K128" s="1913"/>
      <c r="L128" s="1870"/>
      <c r="M128" s="1913"/>
      <c r="N128" s="1913"/>
      <c r="O128" s="1913"/>
      <c r="P128" s="1913"/>
    </row>
    <row r="129" spans="1:16">
      <c r="A129" s="1870"/>
      <c r="B129" s="1868" t="s">
        <v>757</v>
      </c>
      <c r="C129" s="1907" t="s">
        <v>304</v>
      </c>
      <c r="D129" s="1903"/>
      <c r="E129" s="1903"/>
      <c r="F129" s="1874"/>
      <c r="G129" s="1874"/>
      <c r="H129" s="1874"/>
      <c r="I129" s="1874"/>
      <c r="J129" s="1884"/>
      <c r="K129" s="1874"/>
      <c r="L129" s="1874"/>
      <c r="M129" s="1870"/>
      <c r="N129" s="1870"/>
      <c r="O129" s="1870"/>
      <c r="P129" s="1870"/>
    </row>
    <row r="130" spans="1:16">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5">
      <c r="A131" s="1868"/>
      <c r="B131" s="1868"/>
      <c r="C131" s="1933">
        <f>'Part I-Project Information'!C120</f>
        <v>1</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5">
      <c r="A132" s="1868"/>
      <c r="B132" s="1868"/>
      <c r="C132" s="1933">
        <f>'Part I-Project Information'!C121</f>
        <v>2</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5">
      <c r="A133" s="1868"/>
      <c r="B133" s="1868"/>
      <c r="C133" s="1933">
        <f>'Part I-Project Information'!C122</f>
        <v>3</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5">
      <c r="A134" s="1868"/>
      <c r="B134" s="1868"/>
      <c r="C134" s="1933">
        <f>'Part I-Project Information'!C123</f>
        <v>4</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5">
      <c r="A135" s="1868"/>
      <c r="B135" s="1868"/>
      <c r="C135" s="1933">
        <f>'Part I-Project Information'!C124</f>
        <v>5</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5">
      <c r="A136" s="1868"/>
      <c r="B136" s="1868"/>
      <c r="C136" s="1933">
        <f>'Part I-Project Information'!C125</f>
        <v>6</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c r="A139" s="1868"/>
      <c r="B139" s="1868"/>
      <c r="C139" s="1914"/>
      <c r="D139" s="1914"/>
      <c r="E139" s="1914"/>
      <c r="F139" s="1914"/>
      <c r="G139" s="1914"/>
      <c r="H139" s="1914"/>
      <c r="I139" s="1914"/>
      <c r="J139" s="1914"/>
      <c r="K139" s="1914"/>
      <c r="L139" s="1914"/>
      <c r="M139" s="1914"/>
      <c r="N139" s="1914"/>
      <c r="O139" s="1914"/>
      <c r="P139" s="1914"/>
    </row>
    <row r="140" spans="1:16">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5">
      <c r="A141" s="1868"/>
      <c r="B141" s="1868"/>
      <c r="C141" s="1933">
        <f>'Part I-Project Information'!C130</f>
        <v>1</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5">
      <c r="A142" s="1868"/>
      <c r="B142" s="1868"/>
      <c r="C142" s="1933">
        <f>'Part I-Project Information'!C131</f>
        <v>2</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5">
      <c r="A143" s="1868"/>
      <c r="B143" s="1868"/>
      <c r="C143" s="1933">
        <f>'Part I-Project Information'!C132</f>
        <v>3</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5">
      <c r="A144" s="1868"/>
      <c r="B144" s="1868"/>
      <c r="C144" s="1933">
        <f>'Part I-Project Information'!C133</f>
        <v>4</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5">
      <c r="A145" s="1868"/>
      <c r="B145" s="1868"/>
      <c r="C145" s="1933">
        <f>'Part I-Project Information'!C134</f>
        <v>5</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5">
      <c r="A146" s="1868"/>
      <c r="B146" s="1868"/>
      <c r="C146" s="1933">
        <f>'Part I-Project Information'!C135</f>
        <v>6</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c r="A147" s="1868"/>
      <c r="B147" s="1868"/>
      <c r="C147" s="1903"/>
      <c r="D147" s="1903"/>
      <c r="E147" s="1903"/>
      <c r="F147" s="1874"/>
      <c r="G147" s="1874"/>
      <c r="H147" s="1874"/>
      <c r="I147" s="1874"/>
      <c r="J147" s="1884"/>
      <c r="K147" s="1874"/>
      <c r="L147" s="1874"/>
      <c r="M147" s="1870"/>
      <c r="N147" s="1870"/>
      <c r="O147" s="1870"/>
      <c r="P147" s="1883"/>
    </row>
    <row r="148" spans="1:16">
      <c r="A148" s="1868"/>
      <c r="B148" s="1868"/>
      <c r="C148" s="1903"/>
      <c r="D148" s="1903"/>
      <c r="E148" s="1903"/>
      <c r="F148" s="1874"/>
      <c r="G148" s="1874"/>
      <c r="H148" s="1874"/>
      <c r="I148" s="1874"/>
      <c r="J148" s="1884"/>
      <c r="K148" s="1874"/>
      <c r="L148" s="1874"/>
      <c r="M148" s="1870"/>
      <c r="N148" s="1870"/>
      <c r="O148" s="1870"/>
      <c r="P148" s="1883"/>
    </row>
    <row r="149" spans="1:16">
      <c r="A149" s="1902" t="s">
        <v>366</v>
      </c>
      <c r="B149" s="1906" t="s">
        <v>2434</v>
      </c>
      <c r="C149" s="1870"/>
      <c r="D149" s="1906"/>
      <c r="E149" s="1906"/>
      <c r="F149" s="1906"/>
      <c r="G149" s="1870"/>
      <c r="H149" s="1870"/>
      <c r="I149" s="1874" t="str">
        <f>'Part I-Project Information'!I138</f>
        <v>No</v>
      </c>
      <c r="J149" s="1870"/>
      <c r="K149" s="1870"/>
      <c r="L149" s="1870"/>
      <c r="M149" s="1874"/>
      <c r="N149" s="1870"/>
      <c r="O149" s="1870"/>
      <c r="P149" s="1883"/>
    </row>
    <row r="150" spans="1:16">
      <c r="A150" s="1902"/>
      <c r="B150" s="1868"/>
      <c r="C150" s="1907"/>
      <c r="D150" s="1907"/>
      <c r="E150" s="1907"/>
      <c r="F150" s="1907"/>
      <c r="G150" s="1874"/>
      <c r="H150" s="1870"/>
      <c r="I150" s="1870"/>
      <c r="J150" s="1870"/>
      <c r="K150" s="1870"/>
      <c r="L150" s="1870"/>
      <c r="M150" s="1874"/>
      <c r="N150" s="1870"/>
      <c r="O150" s="1870"/>
      <c r="P150" s="1870"/>
    </row>
    <row r="151" spans="1:16">
      <c r="A151" s="1868"/>
      <c r="B151" s="1868" t="s">
        <v>1999</v>
      </c>
      <c r="C151" s="1871" t="s">
        <v>1726</v>
      </c>
      <c r="D151" s="1870"/>
      <c r="E151" s="1870"/>
      <c r="F151" s="1870"/>
      <c r="G151" s="1870"/>
      <c r="H151" s="1870"/>
      <c r="I151" s="1874">
        <f>'Part I-Project Information'!I140</f>
        <v>0</v>
      </c>
      <c r="J151" s="1870"/>
      <c r="K151" s="1870"/>
      <c r="L151" s="1870"/>
      <c r="M151" s="1874"/>
      <c r="N151" s="1870"/>
      <c r="O151" s="1870"/>
      <c r="P151" s="1883"/>
    </row>
    <row r="152" spans="1:16">
      <c r="A152" s="1868"/>
      <c r="B152" s="1868"/>
      <c r="C152" s="1903" t="s">
        <v>2436</v>
      </c>
      <c r="D152" s="1903"/>
      <c r="E152" s="1903"/>
      <c r="F152" s="1874"/>
      <c r="G152" s="1870"/>
      <c r="H152" s="1870"/>
      <c r="I152" s="1874">
        <f>'Part I-Project Information'!I141</f>
        <v>0</v>
      </c>
      <c r="J152" s="1870"/>
      <c r="K152" s="1870"/>
      <c r="L152" s="1870"/>
      <c r="M152" s="1870"/>
      <c r="N152" s="1870"/>
      <c r="O152" s="1870"/>
      <c r="P152" s="1883"/>
    </row>
    <row r="153" spans="1:16">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c r="A154" s="1868"/>
      <c r="B154" s="1868"/>
      <c r="C154" s="1903" t="s">
        <v>2437</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c r="A155" s="1868"/>
      <c r="B155" s="1868"/>
      <c r="C155" s="1903" t="s">
        <v>2435</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c r="A157" s="1868"/>
      <c r="B157" s="1868"/>
      <c r="C157" s="1903"/>
      <c r="D157" s="1903"/>
      <c r="E157" s="1903"/>
      <c r="F157" s="1874"/>
      <c r="G157" s="1870"/>
      <c r="H157" s="1870"/>
      <c r="I157" s="1870"/>
      <c r="J157" s="1870"/>
      <c r="K157" s="1870"/>
      <c r="L157" s="1870"/>
      <c r="M157" s="1870"/>
      <c r="N157" s="1870"/>
      <c r="O157" s="1870"/>
      <c r="P157" s="1883"/>
    </row>
    <row r="158" spans="1:16">
      <c r="A158" s="1868"/>
      <c r="B158" s="1868" t="s">
        <v>2001</v>
      </c>
      <c r="C158" s="1907" t="s">
        <v>2506</v>
      </c>
      <c r="D158" s="1903"/>
      <c r="E158" s="1903"/>
      <c r="F158" s="1874"/>
      <c r="G158" s="1870"/>
      <c r="H158" s="1870"/>
      <c r="I158" s="1884">
        <f>'Part I-Project Information'!I147</f>
        <v>0</v>
      </c>
      <c r="J158" s="1870"/>
      <c r="K158" s="1870"/>
      <c r="L158" s="1870"/>
      <c r="M158" s="1870"/>
      <c r="N158" s="1870"/>
      <c r="O158" s="1870"/>
      <c r="P158" s="1883"/>
    </row>
    <row r="159" spans="1:16">
      <c r="A159" s="1868"/>
      <c r="B159" s="1868"/>
      <c r="C159" s="1903"/>
      <c r="D159" s="1903"/>
      <c r="E159" s="1903"/>
      <c r="F159" s="1874"/>
      <c r="G159" s="1874"/>
      <c r="H159" s="1870"/>
      <c r="I159" s="1870"/>
      <c r="J159" s="1870"/>
      <c r="K159" s="1870"/>
      <c r="L159" s="1870"/>
      <c r="M159" s="1874"/>
      <c r="N159" s="1870"/>
      <c r="O159" s="1870"/>
      <c r="P159" s="1883"/>
    </row>
    <row r="160" spans="1:16">
      <c r="A160" s="1868"/>
      <c r="B160" s="1868" t="s">
        <v>757</v>
      </c>
      <c r="C160" s="1907" t="s">
        <v>2719</v>
      </c>
      <c r="D160" s="1903"/>
      <c r="E160" s="1903"/>
      <c r="F160" s="1874"/>
      <c r="G160" s="1874"/>
      <c r="H160" s="1870"/>
      <c r="I160" s="1870"/>
      <c r="J160" s="1870"/>
      <c r="K160" s="1870"/>
      <c r="L160" s="1870"/>
      <c r="M160" s="1870"/>
      <c r="N160" s="1870"/>
      <c r="O160" s="1870"/>
      <c r="P160" s="1883"/>
    </row>
    <row r="161" spans="1:16">
      <c r="A161" s="1868"/>
      <c r="B161" s="1868"/>
      <c r="C161" s="1903" t="s">
        <v>4560</v>
      </c>
      <c r="D161" s="1903"/>
      <c r="E161" s="1903"/>
      <c r="F161" s="1874"/>
      <c r="G161" s="1874"/>
      <c r="H161" s="1870"/>
      <c r="I161" s="1884">
        <f>'Part I-Project Information'!I150</f>
        <v>0</v>
      </c>
      <c r="J161" s="1870"/>
      <c r="K161" s="1903" t="s">
        <v>1547</v>
      </c>
      <c r="L161" s="1903"/>
      <c r="M161" s="1874"/>
      <c r="N161" s="1874"/>
      <c r="O161" s="1884">
        <f>'Part I-Project Information'!O150</f>
        <v>0</v>
      </c>
      <c r="P161" s="1883"/>
    </row>
    <row r="162" spans="1:16">
      <c r="A162" s="1868"/>
      <c r="B162" s="1868"/>
      <c r="C162" s="1903"/>
      <c r="D162" s="1903"/>
      <c r="E162" s="1903"/>
      <c r="F162" s="1874"/>
      <c r="G162" s="1874"/>
      <c r="H162" s="1874"/>
      <c r="I162" s="1874"/>
      <c r="J162" s="1884"/>
      <c r="K162" s="1874"/>
      <c r="L162" s="1874"/>
      <c r="M162" s="1870"/>
      <c r="N162" s="1870"/>
      <c r="O162" s="1870"/>
      <c r="P162" s="1883"/>
    </row>
    <row r="163" spans="1:16">
      <c r="A163" s="1902" t="s">
        <v>1739</v>
      </c>
      <c r="B163" s="1906" t="s">
        <v>1201</v>
      </c>
      <c r="C163" s="1870"/>
      <c r="D163" s="1906"/>
      <c r="E163" s="1906"/>
      <c r="F163" s="1906"/>
      <c r="G163" s="1874"/>
      <c r="H163" s="1874"/>
      <c r="I163" s="1874"/>
      <c r="J163" s="1884"/>
      <c r="K163" s="1874"/>
      <c r="L163" s="1874"/>
      <c r="M163" s="1870"/>
      <c r="N163" s="1870"/>
      <c r="O163" s="1870"/>
      <c r="P163" s="1883"/>
    </row>
    <row r="164" spans="1:16">
      <c r="A164" s="1902"/>
      <c r="B164" s="1868"/>
      <c r="C164" s="1907"/>
      <c r="D164" s="1907"/>
      <c r="E164" s="1907"/>
      <c r="F164" s="1907"/>
      <c r="G164" s="1874"/>
      <c r="H164" s="1874"/>
      <c r="I164" s="1874"/>
      <c r="J164" s="1884"/>
      <c r="K164" s="1874"/>
      <c r="L164" s="1874"/>
      <c r="M164" s="1870"/>
      <c r="N164" s="1870"/>
      <c r="O164" s="1870"/>
      <c r="P164" s="1870"/>
    </row>
    <row r="165" spans="1:16">
      <c r="A165" s="1868"/>
      <c r="B165" s="1868" t="s">
        <v>1999</v>
      </c>
      <c r="C165" s="1893" t="s">
        <v>1836</v>
      </c>
      <c r="D165" s="1870"/>
      <c r="E165" s="1870"/>
      <c r="F165" s="1874"/>
      <c r="G165" s="1874"/>
      <c r="H165" s="1874"/>
      <c r="I165" s="1874"/>
      <c r="J165" s="1884"/>
      <c r="K165" s="1874"/>
      <c r="L165" s="1874"/>
      <c r="M165" s="1870"/>
      <c r="N165" s="1870"/>
      <c r="O165" s="1870"/>
      <c r="P165" s="1883"/>
    </row>
    <row r="166" spans="1:16">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c r="A167" s="1868"/>
      <c r="B167" s="1868"/>
      <c r="C167" s="1870" t="s">
        <v>621</v>
      </c>
      <c r="D167" s="1870"/>
      <c r="E167" s="1870"/>
      <c r="F167" s="1870"/>
      <c r="G167" s="1870"/>
      <c r="H167" s="1870"/>
      <c r="I167" s="1870"/>
      <c r="J167" s="1870"/>
      <c r="K167" s="1884">
        <f>'Part I-Project Information'!K156</f>
        <v>0</v>
      </c>
      <c r="L167" s="1877" t="s">
        <v>1808</v>
      </c>
      <c r="M167" s="1870"/>
      <c r="N167" s="1870"/>
      <c r="O167" s="1870"/>
      <c r="P167" s="1916">
        <f>IF('Part VI-Revenues &amp; Expenses'!O$60=0,0,K167/'Part VI-Revenues &amp; Expenses'!$O$60)</f>
        <v>0</v>
      </c>
    </row>
    <row r="168" spans="1:16">
      <c r="A168" s="1868"/>
      <c r="B168" s="1868"/>
      <c r="C168" s="1870" t="s">
        <v>4561</v>
      </c>
      <c r="D168" s="1870"/>
      <c r="E168" s="1870"/>
      <c r="F168" s="1870"/>
      <c r="G168" s="1870"/>
      <c r="H168" s="1904">
        <f>'Part I-Project Information'!H157</f>
        <v>0</v>
      </c>
      <c r="I168" s="1875"/>
      <c r="J168" s="1917" t="s">
        <v>3756</v>
      </c>
      <c r="K168" s="1884">
        <f>'Part I-Project Information'!K157</f>
        <v>0</v>
      </c>
      <c r="L168" s="1877" t="s">
        <v>1808</v>
      </c>
      <c r="M168" s="1870"/>
      <c r="N168" s="1870"/>
      <c r="O168" s="1916">
        <f>IF('Part VI-Revenues &amp; Expenses'!$O$60=0,0,H168/'Part VI-Revenues &amp; Expenses'!$O$60)</f>
        <v>0</v>
      </c>
      <c r="P168" s="1916">
        <f>IF('Part VI-Revenues &amp; Expenses'!O$60=0,0,K168/'Part VI-Revenues &amp; Expenses'!$O$60)</f>
        <v>0</v>
      </c>
    </row>
    <row r="169" spans="1:16">
      <c r="A169" s="1868"/>
      <c r="B169" s="1868"/>
      <c r="C169" s="1870" t="s">
        <v>1809</v>
      </c>
      <c r="D169" s="1870"/>
      <c r="E169" s="1870">
        <f>'Part I-Project Information'!E158</f>
        <v>0</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f>'Part I-Project Information'!M158</f>
        <v>0</v>
      </c>
      <c r="N169" s="1870">
        <f>'Part I-Project Information'!N158</f>
        <v>0</v>
      </c>
      <c r="O169" s="1870">
        <f>'Part I-Project Information'!O158</f>
        <v>0</v>
      </c>
      <c r="P169" s="1870">
        <f>'Part I-Project Information'!P158</f>
        <v>0</v>
      </c>
    </row>
    <row r="170" spans="1:16">
      <c r="A170" s="1868"/>
      <c r="B170" s="1868"/>
      <c r="C170" s="1877" t="s">
        <v>1811</v>
      </c>
      <c r="D170" s="1880"/>
      <c r="E170" s="1870">
        <f>'Part I-Project Information'!E159</f>
        <v>0</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0</v>
      </c>
      <c r="N170" s="2339">
        <f>'Part I-Project Information'!N159</f>
        <v>0</v>
      </c>
      <c r="O170" s="2339">
        <f>'Part I-Project Information'!O159</f>
        <v>0</v>
      </c>
      <c r="P170" s="1870"/>
    </row>
    <row r="171" spans="1:16">
      <c r="A171" s="1868"/>
      <c r="B171" s="1868"/>
      <c r="C171" s="1877" t="s">
        <v>624</v>
      </c>
      <c r="D171" s="1870"/>
      <c r="E171" s="1870">
        <f>'Part I-Project Information'!E160</f>
        <v>0</v>
      </c>
      <c r="F171" s="1870">
        <f>'Part I-Project Information'!F160</f>
        <v>0</v>
      </c>
      <c r="G171" s="1870">
        <f>'Part I-Project Information'!G160</f>
        <v>0</v>
      </c>
      <c r="H171" s="1870">
        <f>'Part I-Project Information'!H160</f>
        <v>0</v>
      </c>
      <c r="I171" s="1874" t="s">
        <v>2245</v>
      </c>
      <c r="J171" s="2338">
        <f>'Part I-Project Information'!J160</f>
        <v>0</v>
      </c>
      <c r="K171" s="2338">
        <f>'Part I-Project Information'!K160</f>
        <v>0</v>
      </c>
      <c r="L171" s="1877" t="s">
        <v>1995</v>
      </c>
      <c r="M171" s="2339">
        <f>'Part I-Project Information'!M160</f>
        <v>0</v>
      </c>
      <c r="N171" s="2339">
        <f>'Part I-Project Information'!N160</f>
        <v>0</v>
      </c>
      <c r="O171" s="2339">
        <f>'Part I-Project Information'!O160</f>
        <v>0</v>
      </c>
      <c r="P171" s="1870"/>
    </row>
    <row r="172" spans="1:16">
      <c r="A172" s="1868"/>
      <c r="B172" s="1868"/>
      <c r="C172" s="1877" t="s">
        <v>1814</v>
      </c>
      <c r="D172" s="1870"/>
      <c r="E172" s="2339">
        <f>'Part I-Project Information'!E161</f>
        <v>0</v>
      </c>
      <c r="F172" s="2339">
        <f>'Part I-Project Information'!F161</f>
        <v>0</v>
      </c>
      <c r="G172" s="2339">
        <f>'Part I-Project Information'!G161</f>
        <v>0</v>
      </c>
      <c r="H172" s="1874"/>
      <c r="I172" s="1874" t="s">
        <v>1813</v>
      </c>
      <c r="J172" s="2246">
        <f>'Part I-Project Information'!J161</f>
        <v>0</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c r="A173" s="1868"/>
      <c r="B173" s="1868"/>
      <c r="C173" s="1877"/>
      <c r="D173" s="1870"/>
      <c r="E173" s="1918"/>
      <c r="F173" s="1918"/>
      <c r="G173" s="1918"/>
      <c r="H173" s="1874"/>
      <c r="I173" s="1918"/>
      <c r="J173" s="1918"/>
      <c r="K173" s="1874"/>
      <c r="L173" s="1918"/>
      <c r="M173" s="1918"/>
      <c r="N173" s="1874"/>
      <c r="O173" s="1918"/>
      <c r="P173" s="1918"/>
    </row>
    <row r="174" spans="1:16">
      <c r="A174" s="1868"/>
      <c r="B174" s="1868" t="s">
        <v>2001</v>
      </c>
      <c r="C174" s="1907" t="s">
        <v>2720</v>
      </c>
      <c r="D174" s="1907"/>
      <c r="E174" s="1907"/>
      <c r="F174" s="1907"/>
      <c r="G174" s="1907"/>
      <c r="H174" s="1870"/>
      <c r="I174" s="1884">
        <f>'Part I-Project Information'!I163</f>
        <v>0</v>
      </c>
      <c r="J174" s="1888" t="s">
        <v>769</v>
      </c>
      <c r="K174" s="1888"/>
      <c r="L174" s="1884">
        <f>'Part I-Project Information'!L163</f>
        <v>0</v>
      </c>
      <c r="M174" s="1870" t="s">
        <v>2342</v>
      </c>
      <c r="N174" s="1870"/>
      <c r="O174" s="1870"/>
      <c r="P174" s="1959">
        <f>'Part I-Project Information'!P163</f>
        <v>0</v>
      </c>
    </row>
    <row r="175" spans="1:16">
      <c r="A175" s="1868"/>
      <c r="B175" s="1868"/>
      <c r="C175" s="1907"/>
      <c r="D175" s="1907"/>
      <c r="E175" s="1851"/>
      <c r="F175" s="1907"/>
      <c r="G175" s="1907"/>
      <c r="H175" s="1870"/>
      <c r="I175" s="1870"/>
      <c r="J175" s="1876"/>
      <c r="K175" s="1884"/>
      <c r="L175" s="1870"/>
      <c r="M175" s="1870"/>
      <c r="N175" s="1870"/>
      <c r="O175" s="1874"/>
      <c r="P175" s="1883"/>
    </row>
    <row r="176" spans="1:16">
      <c r="A176" s="1868"/>
      <c r="B176" s="1868"/>
      <c r="C176" s="1907" t="s">
        <v>2721</v>
      </c>
      <c r="D176" s="1907"/>
      <c r="E176" s="1907"/>
      <c r="F176" s="1907"/>
      <c r="G176" s="1907"/>
      <c r="H176" s="1870"/>
      <c r="I176" s="1884" t="str">
        <f>'Part I-Project Information'!I165</f>
        <v>No</v>
      </c>
      <c r="J176" s="1888" t="s">
        <v>769</v>
      </c>
      <c r="K176" s="1888"/>
      <c r="L176" s="1884">
        <f>'Part I-Project Information'!L165</f>
        <v>0</v>
      </c>
      <c r="M176" s="1870" t="s">
        <v>2342</v>
      </c>
      <c r="N176" s="1870"/>
      <c r="O176" s="1870"/>
      <c r="P176" s="1959">
        <f>'Part I-Project Information'!P165</f>
        <v>0</v>
      </c>
    </row>
    <row r="177" spans="1:16">
      <c r="A177" s="1868"/>
      <c r="B177" s="1868"/>
      <c r="C177" s="1907"/>
      <c r="D177" s="1907"/>
      <c r="E177" s="1851"/>
      <c r="F177" s="1907"/>
      <c r="G177" s="1907"/>
      <c r="H177" s="1870"/>
      <c r="I177" s="1870"/>
      <c r="J177" s="1876"/>
      <c r="K177" s="1884"/>
      <c r="L177" s="1870"/>
      <c r="M177" s="1870"/>
      <c r="N177" s="1870"/>
      <c r="O177" s="1874"/>
      <c r="P177" s="1883"/>
    </row>
    <row r="178" spans="1:16">
      <c r="A178" s="1868"/>
      <c r="B178" s="1868" t="s">
        <v>757</v>
      </c>
      <c r="C178" s="1907" t="s">
        <v>1770</v>
      </c>
      <c r="D178" s="1907"/>
      <c r="E178" s="1907"/>
      <c r="F178" s="1907"/>
      <c r="G178" s="1907"/>
      <c r="H178" s="1870"/>
      <c r="I178" s="1884" t="str">
        <f>'Part I-Project Information'!I167</f>
        <v>Yes</v>
      </c>
      <c r="J178" s="1870"/>
      <c r="K178" s="1870"/>
      <c r="L178" s="1876"/>
      <c r="M178" s="1876"/>
      <c r="N178" s="1870"/>
      <c r="O178" s="1870"/>
      <c r="P178" s="1883"/>
    </row>
    <row r="179" spans="1:16">
      <c r="A179" s="1868"/>
      <c r="B179" s="1868"/>
      <c r="C179" s="1877"/>
      <c r="D179" s="1870"/>
      <c r="E179" s="1918"/>
      <c r="F179" s="1918"/>
      <c r="G179" s="1918"/>
      <c r="H179" s="1870"/>
      <c r="I179" s="1918"/>
      <c r="J179" s="1918"/>
      <c r="K179" s="1874"/>
      <c r="L179" s="1918"/>
      <c r="M179" s="1918"/>
      <c r="N179" s="1874"/>
      <c r="O179" s="1918"/>
      <c r="P179" s="1918"/>
    </row>
    <row r="180" spans="1:16">
      <c r="A180" s="1868"/>
      <c r="B180" s="1868" t="s">
        <v>2131</v>
      </c>
      <c r="C180" s="1906" t="s">
        <v>1994</v>
      </c>
      <c r="D180" s="1906"/>
      <c r="E180" s="1906"/>
      <c r="F180" s="1906"/>
      <c r="G180" s="1907"/>
      <c r="H180" s="1870"/>
      <c r="I180" s="1884" t="str">
        <f>'Part I-Project Information'!I169</f>
        <v>No</v>
      </c>
      <c r="J180" s="1919" t="s">
        <v>2771</v>
      </c>
      <c r="K180" s="1870"/>
      <c r="L180" s="1888" t="s">
        <v>4562</v>
      </c>
      <c r="M180" s="1888"/>
      <c r="N180" s="1907"/>
      <c r="O180" s="1907"/>
      <c r="P180" s="1904">
        <f>'Part I-Project Information'!P169</f>
        <v>0</v>
      </c>
    </row>
    <row r="181" spans="1:16">
      <c r="A181" s="1870"/>
      <c r="B181" s="1868"/>
      <c r="C181" s="1870"/>
      <c r="D181" s="1870"/>
      <c r="E181" s="1870"/>
      <c r="F181" s="1870"/>
      <c r="G181" s="1870"/>
      <c r="H181" s="1870"/>
      <c r="I181" s="1870"/>
      <c r="J181" s="1870"/>
      <c r="K181" s="1870"/>
      <c r="L181" s="1870" t="s">
        <v>805</v>
      </c>
      <c r="M181" s="1870"/>
      <c r="N181" s="1907"/>
      <c r="O181" s="1907"/>
      <c r="P181" s="1904">
        <f>'Part I-Project Information'!P170</f>
        <v>0</v>
      </c>
    </row>
    <row r="182" spans="1:16">
      <c r="A182" s="1868"/>
      <c r="B182" s="1868"/>
      <c r="C182" s="1870"/>
      <c r="D182" s="1870"/>
      <c r="E182" s="1870"/>
      <c r="F182" s="1870"/>
      <c r="G182" s="1870"/>
      <c r="H182" s="1870"/>
      <c r="I182" s="1870"/>
      <c r="J182" s="1870"/>
      <c r="K182" s="1870"/>
      <c r="L182" s="1870" t="s">
        <v>1804</v>
      </c>
      <c r="M182" s="1870"/>
      <c r="N182" s="1907"/>
      <c r="O182" s="1907"/>
      <c r="P182" s="1920" t="e">
        <f>IF(P180="","",P181/P180)</f>
        <v>#DIV/0!</v>
      </c>
    </row>
    <row r="183" spans="1:16">
      <c r="A183" s="1868"/>
      <c r="B183" s="1868" t="s">
        <v>1748</v>
      </c>
      <c r="C183" s="1871" t="s">
        <v>1621</v>
      </c>
      <c r="D183" s="1903"/>
      <c r="E183" s="1903"/>
      <c r="F183" s="1903"/>
      <c r="G183" s="1903"/>
      <c r="H183" s="1874"/>
      <c r="I183" s="1870"/>
      <c r="J183" s="1876"/>
      <c r="K183" s="1884"/>
      <c r="L183" s="1870"/>
      <c r="M183" s="1870"/>
      <c r="N183" s="1870"/>
      <c r="O183" s="1874"/>
      <c r="P183" s="1883"/>
    </row>
    <row r="184" spans="1:16">
      <c r="A184" s="1868"/>
      <c r="B184" s="1868"/>
      <c r="C184" s="1870" t="s">
        <v>2228</v>
      </c>
      <c r="D184" s="1851"/>
      <c r="E184" s="1870"/>
      <c r="F184" s="1870"/>
      <c r="G184" s="1870"/>
      <c r="H184" s="1870"/>
      <c r="I184" s="1884" t="str">
        <f>'Part I-Project Information'!I173</f>
        <v>No</v>
      </c>
      <c r="J184" s="1870"/>
      <c r="K184" s="1870"/>
      <c r="L184" s="1870" t="s">
        <v>1622</v>
      </c>
      <c r="M184" s="1870"/>
      <c r="N184" s="1870"/>
      <c r="O184" s="1870"/>
      <c r="P184" s="1884" t="str">
        <f>'Part I-Project Information'!P173</f>
        <v>Yes</v>
      </c>
    </row>
    <row r="185" spans="1:16">
      <c r="A185" s="1868"/>
      <c r="B185" s="1868"/>
      <c r="C185" s="1870" t="s">
        <v>2229</v>
      </c>
      <c r="D185" s="1870"/>
      <c r="E185" s="1870"/>
      <c r="F185" s="1870"/>
      <c r="G185" s="1870"/>
      <c r="H185" s="1870"/>
      <c r="I185" s="1884" t="str">
        <f>'Part I-Project Information'!I174</f>
        <v>No</v>
      </c>
      <c r="J185" s="1870"/>
      <c r="K185" s="1870"/>
      <c r="L185" s="1870" t="s">
        <v>2864</v>
      </c>
      <c r="M185" s="1870"/>
      <c r="N185" s="1870"/>
      <c r="O185" s="1870"/>
      <c r="P185" s="1884" t="str">
        <f>'Part I-Project Information'!P174</f>
        <v>No</v>
      </c>
    </row>
    <row r="186" spans="1:16" ht="13.5">
      <c r="A186" s="1868"/>
      <c r="B186" s="1870"/>
      <c r="C186" s="1870" t="s">
        <v>2740</v>
      </c>
      <c r="D186" s="1870"/>
      <c r="E186" s="1870"/>
      <c r="F186" s="1870"/>
      <c r="G186" s="1870"/>
      <c r="H186" s="1870"/>
      <c r="I186" s="1884" t="str">
        <f>'Part I-Project Information'!I175</f>
        <v>No</v>
      </c>
      <c r="J186" s="1870"/>
      <c r="K186" s="1870"/>
      <c r="L186" s="1870" t="s">
        <v>2707</v>
      </c>
      <c r="M186" s="1870"/>
      <c r="N186" s="2348">
        <f>'Part I-Project Information'!N175</f>
        <v>0</v>
      </c>
      <c r="O186" s="2348">
        <f>'Part I-Project Information'!O175</f>
        <v>0</v>
      </c>
      <c r="P186" s="1884" t="str">
        <f>'Part I-Project Information'!P175</f>
        <v>No</v>
      </c>
    </row>
    <row r="187" spans="1:16" ht="13.5">
      <c r="A187" s="1868"/>
      <c r="B187" s="1868"/>
      <c r="C187" s="1870" t="s">
        <v>1297</v>
      </c>
      <c r="D187" s="1921"/>
      <c r="E187" s="1870"/>
      <c r="F187" s="1870"/>
      <c r="G187" s="1870"/>
      <c r="H187" s="1870"/>
      <c r="I187" s="1884" t="str">
        <f>'Part I-Project Information'!I176</f>
        <v>No</v>
      </c>
      <c r="J187" s="1870"/>
      <c r="K187" s="1851"/>
      <c r="L187" s="1870" t="s">
        <v>3506</v>
      </c>
      <c r="M187" s="1870"/>
      <c r="N187" s="1870"/>
      <c r="O187" s="1870"/>
      <c r="P187" s="1884" t="str">
        <f>'Part I-Project Information'!P176</f>
        <v>No</v>
      </c>
    </row>
    <row r="188" spans="1:16">
      <c r="A188" s="1868"/>
      <c r="B188" s="1851"/>
      <c r="C188" s="1870" t="s">
        <v>1820</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c r="A190" s="1868"/>
      <c r="B190" s="1868"/>
      <c r="C190" s="1870"/>
      <c r="D190" s="1870"/>
      <c r="E190" s="1870"/>
      <c r="F190" s="1870"/>
      <c r="G190" s="1870"/>
      <c r="H190" s="1870"/>
      <c r="I190" s="1870"/>
      <c r="J190" s="1870"/>
      <c r="K190" s="1870"/>
      <c r="L190" s="1870"/>
      <c r="M190" s="1870"/>
      <c r="N190" s="1870"/>
      <c r="O190" s="1870"/>
      <c r="P190" s="1876"/>
    </row>
    <row r="191" spans="1:16">
      <c r="A191" s="1870"/>
      <c r="B191" s="1868" t="s">
        <v>1749</v>
      </c>
      <c r="C191" s="1871" t="s">
        <v>747</v>
      </c>
      <c r="D191" s="1870"/>
      <c r="E191" s="1870"/>
      <c r="F191" s="1870"/>
      <c r="G191" s="1870"/>
      <c r="H191" s="1870"/>
      <c r="I191" s="1870"/>
      <c r="J191" s="1870"/>
      <c r="K191" s="1870"/>
      <c r="L191" s="1870"/>
      <c r="M191" s="1870"/>
      <c r="N191" s="1870"/>
      <c r="O191" s="1870"/>
      <c r="P191" s="1870"/>
    </row>
    <row r="192" spans="1:16">
      <c r="A192" s="1868"/>
      <c r="B192" s="1868"/>
      <c r="C192" s="1877" t="s">
        <v>645</v>
      </c>
      <c r="D192" s="1903"/>
      <c r="E192" s="1903"/>
      <c r="F192" s="1874"/>
      <c r="G192" s="1874"/>
      <c r="H192" s="2346">
        <f>'Part I-Project Information'!H181</f>
        <v>0</v>
      </c>
      <c r="I192" s="2346">
        <f>'Part I-Project Information'!I181</f>
        <v>0</v>
      </c>
      <c r="J192" s="1870"/>
      <c r="K192" s="1870"/>
      <c r="L192" s="1870"/>
      <c r="M192" s="1870"/>
      <c r="N192" s="1870"/>
      <c r="O192" s="1870"/>
      <c r="P192" s="1883"/>
    </row>
    <row r="193" spans="1:19">
      <c r="A193" s="1868"/>
      <c r="B193" s="1868"/>
      <c r="C193" s="1877" t="s">
        <v>278</v>
      </c>
      <c r="D193" s="1903"/>
      <c r="E193" s="1903"/>
      <c r="F193" s="1874"/>
      <c r="G193" s="1874"/>
      <c r="H193" s="2346">
        <f>'Part I-Project Information'!H182</f>
        <v>0</v>
      </c>
      <c r="I193" s="2346">
        <f>'Part I-Project Information'!I182</f>
        <v>0</v>
      </c>
      <c r="J193" s="1870"/>
      <c r="K193" s="1870"/>
      <c r="L193" s="1870"/>
      <c r="M193" s="1870"/>
      <c r="N193" s="1870"/>
      <c r="O193" s="1870"/>
      <c r="P193" s="1883"/>
    </row>
    <row r="194" spans="1:19">
      <c r="A194" s="1868"/>
      <c r="B194" s="1868"/>
      <c r="C194" s="1877" t="s">
        <v>2311</v>
      </c>
      <c r="D194" s="1903"/>
      <c r="E194" s="1903"/>
      <c r="F194" s="1874"/>
      <c r="G194" s="1874"/>
      <c r="H194" s="2346">
        <f>'Part I-Project Information'!H183</f>
        <v>44256</v>
      </c>
      <c r="I194" s="2346">
        <f>'Part I-Project Information'!I183</f>
        <v>0</v>
      </c>
      <c r="J194" s="1870"/>
      <c r="K194" s="1870"/>
      <c r="L194" s="1870"/>
      <c r="M194" s="1870"/>
      <c r="N194" s="1870"/>
      <c r="O194" s="1870"/>
      <c r="P194" s="1883"/>
    </row>
    <row r="195" spans="1:19">
      <c r="A195" s="1870"/>
      <c r="B195" s="1851"/>
      <c r="C195" s="1870"/>
      <c r="D195" s="1870"/>
      <c r="E195" s="1870"/>
      <c r="F195" s="1870"/>
      <c r="G195" s="1870"/>
      <c r="H195" s="1870"/>
      <c r="I195" s="1870"/>
      <c r="J195" s="1870"/>
      <c r="K195" s="1870"/>
      <c r="L195" s="1876"/>
      <c r="M195" s="1876"/>
      <c r="N195" s="1876"/>
      <c r="O195" s="1876"/>
      <c r="P195" s="1880"/>
    </row>
    <row r="196" spans="1:19">
      <c r="A196" s="1902" t="s">
        <v>2800</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f>'Part I-Project Information'!A186</f>
        <v>0</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c r="A204" s="1851" t="str">
        <f>CONCATENATE("PART TWO - DEVELOPMENT TEAM INFORMATION","  -  ",'Part I-Project Information'!$O$6," ",'Part I-Project Information'!$F$34,", ",'Part I-Project Information'!F241,", ",'Part I-Project Information'!J242," County")</f>
        <v>PART TWO - DEVELOPMENT TEAM INFORMATION  -  2018-0 McIntosh Woods,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c r="A205" s="1871" t="s">
        <v>4526</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5">
      <c r="A206" s="1851" t="s">
        <v>622</v>
      </c>
      <c r="B206" s="1871" t="s">
        <v>1872</v>
      </c>
      <c r="C206" s="1871"/>
      <c r="D206" s="1870"/>
      <c r="E206" s="1871"/>
      <c r="F206" s="1871"/>
      <c r="G206" s="1871"/>
      <c r="H206" s="1872" t="s">
        <v>4323</v>
      </c>
      <c r="I206" s="1870"/>
      <c r="J206" s="1870"/>
      <c r="K206" s="1870"/>
      <c r="L206" s="1870"/>
      <c r="M206" s="1870"/>
      <c r="N206" s="1870"/>
      <c r="O206" s="1870"/>
      <c r="P206" s="1870"/>
      <c r="Q206" s="1870"/>
      <c r="R206" s="1870"/>
      <c r="S206" s="1870"/>
    </row>
    <row r="207" spans="1:19">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c r="A208" s="1870"/>
      <c r="B208" s="1851" t="s">
        <v>1999</v>
      </c>
      <c r="C208" s="1871" t="s">
        <v>1868</v>
      </c>
      <c r="D208" s="1870"/>
      <c r="E208" s="1870"/>
      <c r="F208" s="1870"/>
      <c r="G208" s="1870"/>
      <c r="H208" s="1870" t="str">
        <f>'Part II-Development Team'!H5</f>
        <v>Oracle Newnan 2018,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Caryn Winter</v>
      </c>
      <c r="R208" s="1870">
        <f>'Part II-Development Team'!R5</f>
        <v>0</v>
      </c>
      <c r="S208" s="1870">
        <f>'Part II-Development Team'!S5</f>
        <v>0</v>
      </c>
    </row>
    <row r="209" spans="1:19">
      <c r="A209" s="1870"/>
      <c r="B209" s="1870"/>
      <c r="C209" s="1870"/>
      <c r="D209" s="1922"/>
      <c r="E209" s="1877" t="s">
        <v>1031</v>
      </c>
      <c r="F209" s="1880"/>
      <c r="G209" s="1870"/>
      <c r="H209" s="1870" t="str">
        <f>'Part II-Development Team'!H6</f>
        <v>P.O. Box 22378</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Manager</v>
      </c>
      <c r="R209" s="1870">
        <f>'Part II-Development Team'!R6</f>
        <v>0</v>
      </c>
      <c r="S209" s="1870">
        <f>'Part II-Development Team'!S6</f>
        <v>0</v>
      </c>
    </row>
    <row r="210" spans="1:19">
      <c r="A210" s="1870"/>
      <c r="B210" s="1870"/>
      <c r="C210" s="1870"/>
      <c r="D210" s="1922"/>
      <c r="E210" s="1877" t="s">
        <v>624</v>
      </c>
      <c r="F210" s="1870"/>
      <c r="G210" s="1870"/>
      <c r="H210" s="1870" t="str">
        <f>'Part II-Development Team'!H7</f>
        <v>Louisville</v>
      </c>
      <c r="I210" s="1870">
        <f>'Part II-Development Team'!I7</f>
        <v>0</v>
      </c>
      <c r="J210" s="1870">
        <f>'Part II-Development Team'!J7</f>
        <v>0</v>
      </c>
      <c r="K210" s="1874" t="s">
        <v>770</v>
      </c>
      <c r="L210" s="1870" t="str">
        <f>'Part II-Development Team'!L7</f>
        <v>Pending</v>
      </c>
      <c r="M210" s="1870">
        <f>'Part II-Development Team'!M7</f>
        <v>0</v>
      </c>
      <c r="N210" s="1870">
        <f>'Part II-Development Team'!N7</f>
        <v>0</v>
      </c>
      <c r="O210" s="1877" t="s">
        <v>1734</v>
      </c>
      <c r="P210" s="1870"/>
      <c r="Q210" s="2339">
        <f>'Part II-Development Team'!Q7</f>
        <v>3174086628</v>
      </c>
      <c r="R210" s="2339">
        <f>'Part II-Development Team'!R7</f>
        <v>0</v>
      </c>
      <c r="S210" s="2339">
        <f>'Part II-Development Team'!S7</f>
        <v>0</v>
      </c>
    </row>
    <row r="211" spans="1:19">
      <c r="A211" s="1870"/>
      <c r="B211" s="1870"/>
      <c r="C211" s="1870"/>
      <c r="D211" s="1922"/>
      <c r="E211" s="1877" t="s">
        <v>1812</v>
      </c>
      <c r="F211" s="1870"/>
      <c r="G211" s="1870"/>
      <c r="H211" s="1877" t="str">
        <f>'Part II-Development Team'!H8</f>
        <v>KY</v>
      </c>
      <c r="I211" s="1874" t="s">
        <v>2245</v>
      </c>
      <c r="J211" s="2338">
        <f>'Part II-Development Team'!J8</f>
        <v>402510378</v>
      </c>
      <c r="K211" s="2338">
        <f>'Part II-Development Team'!K8</f>
        <v>0</v>
      </c>
      <c r="L211" s="1870" t="s">
        <v>3717</v>
      </c>
      <c r="M211" s="1870">
        <f>'Part II-Development Team'!M8</f>
        <v>0</v>
      </c>
      <c r="N211" s="1870">
        <f>'Part II-Development Team'!N8</f>
        <v>0</v>
      </c>
      <c r="O211" s="1877" t="s">
        <v>1995</v>
      </c>
      <c r="P211" s="1870"/>
      <c r="Q211" s="2339">
        <f>'Part II-Development Team'!Q8</f>
        <v>3174086628</v>
      </c>
      <c r="R211" s="2339">
        <f>'Part II-Development Team'!R8</f>
        <v>0</v>
      </c>
      <c r="S211" s="2339">
        <f>'Part II-Development Team'!S8</f>
        <v>0</v>
      </c>
    </row>
    <row r="212" spans="1:19">
      <c r="A212" s="1870"/>
      <c r="B212" s="1870"/>
      <c r="C212" s="1870"/>
      <c r="D212" s="1922"/>
      <c r="E212" s="1877" t="s">
        <v>4324</v>
      </c>
      <c r="F212" s="1870"/>
      <c r="G212" s="1870"/>
      <c r="H212" s="2339">
        <f>'Part II-Development Team'!H9</f>
        <v>3174086628</v>
      </c>
      <c r="I212" s="2339">
        <f>'Part II-Development Team'!I9</f>
        <v>0</v>
      </c>
      <c r="J212" s="1884">
        <f>'Part II-Development Team'!J9</f>
        <v>0</v>
      </c>
      <c r="K212" s="1874" t="s">
        <v>2000</v>
      </c>
      <c r="L212" s="2246" t="str">
        <f>'Part II-Development Team'!L9</f>
        <v>c.winter@oracledesign.net</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5">
      <c r="A213" s="1870"/>
      <c r="B213" s="1870"/>
      <c r="C213" s="1870"/>
      <c r="D213" s="1922"/>
      <c r="E213" s="1872" t="s">
        <v>4323</v>
      </c>
      <c r="F213" s="1870"/>
      <c r="G213" s="1870"/>
      <c r="H213" s="1918"/>
      <c r="I213" s="1870"/>
      <c r="J213" s="1870"/>
      <c r="K213" s="1933"/>
      <c r="L213" s="1870"/>
      <c r="M213" s="1870"/>
      <c r="N213" s="1851" t="s">
        <v>4563</v>
      </c>
      <c r="O213" s="1870"/>
      <c r="P213" s="1870"/>
      <c r="Q213" s="1874"/>
      <c r="R213" s="1870"/>
      <c r="S213" s="1870"/>
    </row>
    <row r="214" spans="1:19">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5">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5">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c r="A217" s="1870"/>
      <c r="B217" s="1870"/>
      <c r="C217" s="1870"/>
      <c r="D217" s="1851" t="s">
        <v>2132</v>
      </c>
      <c r="E217" s="1870" t="s">
        <v>1870</v>
      </c>
      <c r="F217" s="1870"/>
      <c r="G217" s="1870"/>
      <c r="H217" s="1870" t="str">
        <f>'Part II-Development Team'!H14</f>
        <v>Oracle Newnan 2018 GP,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Caryn Winter</v>
      </c>
      <c r="R217" s="1870">
        <f>'Part II-Development Team'!R14</f>
        <v>0</v>
      </c>
      <c r="S217" s="1870">
        <f>'Part II-Development Team'!S14</f>
        <v>0</v>
      </c>
    </row>
    <row r="218" spans="1:19">
      <c r="A218" s="1870"/>
      <c r="B218" s="1870"/>
      <c r="C218" s="1870"/>
      <c r="D218" s="1922"/>
      <c r="E218" s="1877" t="s">
        <v>1031</v>
      </c>
      <c r="F218" s="1880"/>
      <c r="G218" s="1870"/>
      <c r="H218" s="1870" t="str">
        <f>'Part II-Development Team'!H15</f>
        <v>P.O. Box 22378</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Manager</v>
      </c>
      <c r="R218" s="1870">
        <f>'Part II-Development Team'!R15</f>
        <v>0</v>
      </c>
      <c r="S218" s="1870">
        <f>'Part II-Development Team'!S15</f>
        <v>0</v>
      </c>
    </row>
    <row r="219" spans="1:19">
      <c r="A219" s="1870"/>
      <c r="B219" s="1870"/>
      <c r="C219" s="1870"/>
      <c r="D219" s="1922"/>
      <c r="E219" s="1877" t="s">
        <v>624</v>
      </c>
      <c r="F219" s="1870"/>
      <c r="G219" s="1870"/>
      <c r="H219" s="1870" t="str">
        <f>'Part II-Development Team'!H16</f>
        <v>Louisville</v>
      </c>
      <c r="I219" s="1870">
        <f>'Part II-Development Team'!I16</f>
        <v>0</v>
      </c>
      <c r="J219" s="1870">
        <f>'Part II-Development Team'!J16</f>
        <v>0</v>
      </c>
      <c r="K219" s="1874" t="s">
        <v>2722</v>
      </c>
      <c r="L219" s="1870" t="str">
        <f>'Part II-Development Team'!L16</f>
        <v>None</v>
      </c>
      <c r="M219" s="1870">
        <f>'Part II-Development Team'!M16</f>
        <v>0</v>
      </c>
      <c r="N219" s="1870">
        <f>'Part II-Development Team'!N16</f>
        <v>0</v>
      </c>
      <c r="O219" s="1877" t="s">
        <v>1734</v>
      </c>
      <c r="P219" s="1870"/>
      <c r="Q219" s="2339">
        <f>'Part II-Development Team'!Q16</f>
        <v>3174086628</v>
      </c>
      <c r="R219" s="2339">
        <f>'Part II-Development Team'!R16</f>
        <v>0</v>
      </c>
      <c r="S219" s="2339">
        <f>'Part II-Development Team'!S16</f>
        <v>0</v>
      </c>
    </row>
    <row r="220" spans="1:19">
      <c r="A220" s="1870"/>
      <c r="B220" s="1870"/>
      <c r="C220" s="1870"/>
      <c r="D220" s="1851"/>
      <c r="E220" s="1877" t="s">
        <v>1812</v>
      </c>
      <c r="F220" s="1870"/>
      <c r="G220" s="1870"/>
      <c r="H220" s="1877" t="str">
        <f>'Part II-Development Team'!H17</f>
        <v>KY</v>
      </c>
      <c r="I220" s="1870"/>
      <c r="J220" s="1870"/>
      <c r="K220" s="1874" t="s">
        <v>2245</v>
      </c>
      <c r="L220" s="2338">
        <f>'Part II-Development Team'!L17</f>
        <v>402520378</v>
      </c>
      <c r="M220" s="2338">
        <f>'Part II-Development Team'!M17</f>
        <v>0</v>
      </c>
      <c r="N220" s="1870"/>
      <c r="O220" s="1877" t="s">
        <v>1995</v>
      </c>
      <c r="P220" s="1870"/>
      <c r="Q220" s="2339">
        <f>'Part II-Development Team'!Q17</f>
        <v>3174086628</v>
      </c>
      <c r="R220" s="2339">
        <f>'Part II-Development Team'!R17</f>
        <v>0</v>
      </c>
      <c r="S220" s="2339">
        <f>'Part II-Development Team'!S17</f>
        <v>0</v>
      </c>
    </row>
    <row r="221" spans="1:19">
      <c r="A221" s="1870"/>
      <c r="B221" s="1870"/>
      <c r="C221" s="1870"/>
      <c r="D221" s="1922"/>
      <c r="E221" s="1877" t="s">
        <v>4324</v>
      </c>
      <c r="F221" s="1870"/>
      <c r="G221" s="1870"/>
      <c r="H221" s="2339">
        <f>'Part II-Development Team'!H18</f>
        <v>3174086628</v>
      </c>
      <c r="I221" s="2339">
        <f>'Part II-Development Team'!I18</f>
        <v>0</v>
      </c>
      <c r="J221" s="1884">
        <f>'Part II-Development Team'!J18</f>
        <v>0</v>
      </c>
      <c r="K221" s="1874" t="s">
        <v>2000</v>
      </c>
      <c r="L221" s="2246" t="str">
        <f>'Part II-Development Team'!L18</f>
        <v>c.winter@oracledesign.net</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c r="A223" s="1870"/>
      <c r="B223" s="1870"/>
      <c r="C223" s="1870"/>
      <c r="D223" s="1851" t="s">
        <v>2133</v>
      </c>
      <c r="E223" s="1870" t="s">
        <v>1871</v>
      </c>
      <c r="F223" s="1870"/>
      <c r="G223" s="1870"/>
      <c r="H223" s="1870">
        <f>'Part II-Development Team'!H20</f>
        <v>0</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f>'Part II-Development Team'!Q20</f>
        <v>0</v>
      </c>
      <c r="R223" s="1870">
        <f>'Part II-Development Team'!R20</f>
        <v>0</v>
      </c>
      <c r="S223" s="1870">
        <f>'Part II-Development Team'!S20</f>
        <v>0</v>
      </c>
    </row>
    <row r="224" spans="1:19">
      <c r="A224" s="1870"/>
      <c r="B224" s="1870"/>
      <c r="C224" s="1870"/>
      <c r="D224" s="1922"/>
      <c r="E224" s="1877" t="s">
        <v>1031</v>
      </c>
      <c r="F224" s="1880"/>
      <c r="G224" s="1870"/>
      <c r="H224" s="1870">
        <f>'Part II-Development Team'!H21</f>
        <v>0</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f>'Part II-Development Team'!Q21</f>
        <v>0</v>
      </c>
      <c r="R224" s="1870">
        <f>'Part II-Development Team'!R21</f>
        <v>0</v>
      </c>
      <c r="S224" s="1870">
        <f>'Part II-Development Team'!S21</f>
        <v>0</v>
      </c>
    </row>
    <row r="225" spans="1:19">
      <c r="A225" s="1870"/>
      <c r="B225" s="1870"/>
      <c r="C225" s="1870"/>
      <c r="D225" s="1922"/>
      <c r="E225" s="1877" t="s">
        <v>624</v>
      </c>
      <c r="F225" s="1870"/>
      <c r="G225" s="1870"/>
      <c r="H225" s="1870">
        <f>'Part II-Development Team'!H22</f>
        <v>0</v>
      </c>
      <c r="I225" s="1870">
        <f>'Part II-Development Team'!I22</f>
        <v>0</v>
      </c>
      <c r="J225" s="1870">
        <f>'Part II-Development Team'!J22</f>
        <v>0</v>
      </c>
      <c r="K225" s="1874" t="s">
        <v>2722</v>
      </c>
      <c r="L225" s="1870">
        <f>'Part II-Development Team'!L22</f>
        <v>0</v>
      </c>
      <c r="M225" s="1870">
        <f>'Part II-Development Team'!M22</f>
        <v>0</v>
      </c>
      <c r="N225" s="1870">
        <f>'Part II-Development Team'!N22</f>
        <v>0</v>
      </c>
      <c r="O225" s="1877" t="s">
        <v>1734</v>
      </c>
      <c r="P225" s="1870"/>
      <c r="Q225" s="2339">
        <f>'Part II-Development Team'!Q22</f>
        <v>0</v>
      </c>
      <c r="R225" s="2339">
        <f>'Part II-Development Team'!R22</f>
        <v>0</v>
      </c>
      <c r="S225" s="2339">
        <f>'Part II-Development Team'!S22</f>
        <v>0</v>
      </c>
    </row>
    <row r="226" spans="1:19">
      <c r="A226" s="1870"/>
      <c r="B226" s="1870"/>
      <c r="C226" s="1870"/>
      <c r="D226" s="1870"/>
      <c r="E226" s="1877" t="s">
        <v>1812</v>
      </c>
      <c r="F226" s="1870"/>
      <c r="G226" s="1870"/>
      <c r="H226" s="1877">
        <f>'Part II-Development Team'!H23</f>
        <v>0</v>
      </c>
      <c r="I226" s="1870"/>
      <c r="J226" s="1870"/>
      <c r="K226" s="1874" t="s">
        <v>2245</v>
      </c>
      <c r="L226" s="2338">
        <f>'Part II-Development Team'!L23</f>
        <v>0</v>
      </c>
      <c r="M226" s="2338">
        <f>'Part II-Development Team'!M23</f>
        <v>0</v>
      </c>
      <c r="N226" s="1870"/>
      <c r="O226" s="1877" t="s">
        <v>1995</v>
      </c>
      <c r="P226" s="1870"/>
      <c r="Q226" s="2339">
        <f>'Part II-Development Team'!Q23</f>
        <v>0</v>
      </c>
      <c r="R226" s="2339">
        <f>'Part II-Development Team'!R23</f>
        <v>0</v>
      </c>
      <c r="S226" s="2339">
        <f>'Part II-Development Team'!S23</f>
        <v>0</v>
      </c>
    </row>
    <row r="227" spans="1:19">
      <c r="A227" s="1870"/>
      <c r="B227" s="1870"/>
      <c r="C227" s="1870"/>
      <c r="D227" s="1922"/>
      <c r="E227" s="1877" t="s">
        <v>4324</v>
      </c>
      <c r="F227" s="1870"/>
      <c r="G227" s="1870"/>
      <c r="H227" s="2339">
        <f>'Part II-Development Team'!H24</f>
        <v>0</v>
      </c>
      <c r="I227" s="2339">
        <f>'Part II-Development Team'!I24</f>
        <v>0</v>
      </c>
      <c r="J227" s="1884">
        <f>'Part II-Development Team'!J24</f>
        <v>0</v>
      </c>
      <c r="K227" s="1874" t="s">
        <v>2000</v>
      </c>
      <c r="L227" s="2246">
        <f>'Part II-Development Team'!L24</f>
        <v>0</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c r="A229" s="1870"/>
      <c r="B229" s="1870"/>
      <c r="C229" s="1870"/>
      <c r="D229" s="1851" t="s">
        <v>1747</v>
      </c>
      <c r="E229" s="1870" t="s">
        <v>1871</v>
      </c>
      <c r="F229" s="1870"/>
      <c r="G229" s="1870"/>
      <c r="H229" s="1870">
        <f>'Part II-Development Team'!H26</f>
        <v>0</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c r="A231" s="1870"/>
      <c r="B231" s="1870"/>
      <c r="C231" s="1870"/>
      <c r="D231" s="1922"/>
      <c r="E231" s="1877" t="s">
        <v>624</v>
      </c>
      <c r="F231" s="1870"/>
      <c r="G231" s="1870"/>
      <c r="H231" s="1870">
        <f>'Part II-Development Team'!H28</f>
        <v>0</v>
      </c>
      <c r="I231" s="1870">
        <f>'Part II-Development Team'!I28</f>
        <v>0</v>
      </c>
      <c r="J231" s="1870">
        <f>'Part II-Development Team'!J28</f>
        <v>0</v>
      </c>
      <c r="K231" s="1874" t="s">
        <v>2722</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c r="A233" s="1870"/>
      <c r="B233" s="1870"/>
      <c r="C233" s="1870"/>
      <c r="D233" s="1922"/>
      <c r="E233" s="1877" t="s">
        <v>4324</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5">
      <c r="A235" s="1870"/>
      <c r="B235" s="1870"/>
      <c r="C235" s="1924" t="s">
        <v>2004</v>
      </c>
      <c r="D235" s="1906" t="s">
        <v>1873</v>
      </c>
      <c r="E235" s="1870"/>
      <c r="F235" s="1870"/>
      <c r="G235" s="1870"/>
      <c r="H235" s="1870"/>
      <c r="I235" s="1870"/>
      <c r="J235" s="1870"/>
      <c r="K235" s="1872" t="s">
        <v>4323</v>
      </c>
      <c r="L235" s="1870"/>
      <c r="M235" s="1870"/>
      <c r="N235" s="1870"/>
      <c r="O235" s="1870"/>
      <c r="P235" s="1870"/>
      <c r="Q235" s="1870"/>
      <c r="R235" s="1870"/>
      <c r="S235" s="1870"/>
    </row>
    <row r="236" spans="1:19">
      <c r="A236" s="1870"/>
      <c r="B236" s="1870"/>
      <c r="C236" s="1870"/>
      <c r="D236" s="1851" t="s">
        <v>2132</v>
      </c>
      <c r="E236" s="1870" t="s">
        <v>758</v>
      </c>
      <c r="F236" s="1870"/>
      <c r="G236" s="1870"/>
      <c r="H236" s="1870" t="str">
        <f>'Part II-Development Team'!H33</f>
        <v>PROPOSED - Bank of America Merrill Lynch</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Thomas Barry</v>
      </c>
      <c r="R236" s="1870">
        <f>'Part II-Development Team'!R33</f>
        <v>0</v>
      </c>
      <c r="S236" s="1870">
        <f>'Part II-Development Team'!S33</f>
        <v>0</v>
      </c>
    </row>
    <row r="237" spans="1:19">
      <c r="A237" s="1870"/>
      <c r="B237" s="1870"/>
      <c r="C237" s="1870"/>
      <c r="D237" s="1922"/>
      <c r="E237" s="1877" t="s">
        <v>1031</v>
      </c>
      <c r="F237" s="1880"/>
      <c r="G237" s="1870"/>
      <c r="H237" s="1870" t="str">
        <f>'Part II-Development Team'!H34</f>
        <v>100 N. Tryon Street</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Senior Vice President</v>
      </c>
      <c r="R237" s="1870">
        <f>'Part II-Development Team'!R34</f>
        <v>0</v>
      </c>
      <c r="S237" s="1870">
        <f>'Part II-Development Team'!S34</f>
        <v>0</v>
      </c>
    </row>
    <row r="238" spans="1:19">
      <c r="A238" s="1870"/>
      <c r="B238" s="1870"/>
      <c r="C238" s="1870"/>
      <c r="D238" s="1922"/>
      <c r="E238" s="1877" t="s">
        <v>624</v>
      </c>
      <c r="F238" s="1870"/>
      <c r="G238" s="1870"/>
      <c r="H238" s="1870" t="str">
        <f>'Part II-Development Team'!H35</f>
        <v>Charlotte</v>
      </c>
      <c r="I238" s="1870">
        <f>'Part II-Development Team'!I35</f>
        <v>0</v>
      </c>
      <c r="J238" s="1870">
        <f>'Part II-Development Team'!J35</f>
        <v>0</v>
      </c>
      <c r="K238" s="1874" t="s">
        <v>2722</v>
      </c>
      <c r="L238" s="1870" t="str">
        <f>'Part II-Development Team'!L35</f>
        <v>www.baml.com</v>
      </c>
      <c r="M238" s="1870">
        <f>'Part II-Development Team'!M35</f>
        <v>0</v>
      </c>
      <c r="N238" s="1870">
        <f>'Part II-Development Team'!N35</f>
        <v>0</v>
      </c>
      <c r="O238" s="1877" t="s">
        <v>1734</v>
      </c>
      <c r="P238" s="1870"/>
      <c r="Q238" s="2339">
        <f>'Part II-Development Team'!Q35</f>
        <v>9803862131</v>
      </c>
      <c r="R238" s="2339">
        <f>'Part II-Development Team'!R35</f>
        <v>0</v>
      </c>
      <c r="S238" s="2339">
        <f>'Part II-Development Team'!S35</f>
        <v>0</v>
      </c>
    </row>
    <row r="239" spans="1:19">
      <c r="A239" s="1870"/>
      <c r="B239" s="1870"/>
      <c r="C239" s="1870"/>
      <c r="D239" s="1870"/>
      <c r="E239" s="1877" t="s">
        <v>1812</v>
      </c>
      <c r="F239" s="1870"/>
      <c r="G239" s="1870"/>
      <c r="H239" s="1877" t="str">
        <f>'Part II-Development Team'!H36</f>
        <v>NC</v>
      </c>
      <c r="I239" s="1870"/>
      <c r="J239" s="1870"/>
      <c r="K239" s="1874" t="s">
        <v>2245</v>
      </c>
      <c r="L239" s="2338">
        <f>'Part II-Development Team'!L36</f>
        <v>282024000</v>
      </c>
      <c r="M239" s="2338">
        <f>'Part II-Development Team'!M36</f>
        <v>0</v>
      </c>
      <c r="N239" s="1870"/>
      <c r="O239" s="1877" t="s">
        <v>1995</v>
      </c>
      <c r="P239" s="1870"/>
      <c r="Q239" s="2339">
        <f>'Part II-Development Team'!Q36</f>
        <v>7048064495</v>
      </c>
      <c r="R239" s="2339">
        <f>'Part II-Development Team'!R36</f>
        <v>0</v>
      </c>
      <c r="S239" s="2339">
        <f>'Part II-Development Team'!S36</f>
        <v>0</v>
      </c>
    </row>
    <row r="240" spans="1:19">
      <c r="A240" s="1870"/>
      <c r="B240" s="1870"/>
      <c r="C240" s="1870"/>
      <c r="D240" s="1922"/>
      <c r="E240" s="1877" t="s">
        <v>4324</v>
      </c>
      <c r="F240" s="1870"/>
      <c r="G240" s="1870"/>
      <c r="H240" s="2339">
        <f>'Part II-Development Team'!H37</f>
        <v>9803862131</v>
      </c>
      <c r="I240" s="2339">
        <f>'Part II-Development Team'!I37</f>
        <v>0</v>
      </c>
      <c r="J240" s="1884">
        <f>'Part II-Development Team'!J37</f>
        <v>0</v>
      </c>
      <c r="K240" s="1874" t="s">
        <v>2000</v>
      </c>
      <c r="L240" s="2246" t="str">
        <f>'Part II-Development Team'!L37</f>
        <v>thomas.f.barry@baml.com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c r="A242" s="1870"/>
      <c r="B242" s="1870"/>
      <c r="C242" s="1870"/>
      <c r="D242" s="1851" t="s">
        <v>2133</v>
      </c>
      <c r="E242" s="1870" t="s">
        <v>759</v>
      </c>
      <c r="F242" s="1851"/>
      <c r="G242" s="1870"/>
      <c r="H242" s="1870" t="str">
        <f>'Part II-Development Team'!H39</f>
        <v>Same Proposed as Federal Limited Partner</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f>'Part II-Development Team'!Q39</f>
        <v>0</v>
      </c>
      <c r="R242" s="1870">
        <f>'Part II-Development Team'!R39</f>
        <v>0</v>
      </c>
      <c r="S242" s="1870">
        <f>'Part II-Development Team'!S39</f>
        <v>0</v>
      </c>
    </row>
    <row r="243" spans="1:19">
      <c r="A243" s="1870"/>
      <c r="B243" s="1870"/>
      <c r="C243" s="1870"/>
      <c r="D243" s="1922"/>
      <c r="E243" s="1877" t="s">
        <v>1031</v>
      </c>
      <c r="F243" s="1880"/>
      <c r="G243" s="1870"/>
      <c r="H243" s="1870">
        <f>'Part II-Development Team'!H40</f>
        <v>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f>'Part II-Development Team'!Q40</f>
        <v>0</v>
      </c>
      <c r="R243" s="1870">
        <f>'Part II-Development Team'!R40</f>
        <v>0</v>
      </c>
      <c r="S243" s="1870">
        <f>'Part II-Development Team'!S40</f>
        <v>0</v>
      </c>
    </row>
    <row r="244" spans="1:19">
      <c r="A244" s="1870"/>
      <c r="B244" s="1870"/>
      <c r="C244" s="1870"/>
      <c r="D244" s="1922"/>
      <c r="E244" s="1877" t="s">
        <v>624</v>
      </c>
      <c r="F244" s="1870"/>
      <c r="G244" s="1870"/>
      <c r="H244" s="1870">
        <f>'Part II-Development Team'!H41</f>
        <v>0</v>
      </c>
      <c r="I244" s="1870">
        <f>'Part II-Development Team'!I41</f>
        <v>0</v>
      </c>
      <c r="J244" s="1870">
        <f>'Part II-Development Team'!J41</f>
        <v>0</v>
      </c>
      <c r="K244" s="1874" t="s">
        <v>2722</v>
      </c>
      <c r="L244" s="1870">
        <f>'Part II-Development Team'!L41</f>
        <v>0</v>
      </c>
      <c r="M244" s="1870">
        <f>'Part II-Development Team'!M41</f>
        <v>0</v>
      </c>
      <c r="N244" s="1870">
        <f>'Part II-Development Team'!N41</f>
        <v>0</v>
      </c>
      <c r="O244" s="1877" t="s">
        <v>1734</v>
      </c>
      <c r="P244" s="1870"/>
      <c r="Q244" s="2339">
        <f>'Part II-Development Team'!Q41</f>
        <v>0</v>
      </c>
      <c r="R244" s="2339">
        <f>'Part II-Development Team'!R41</f>
        <v>0</v>
      </c>
      <c r="S244" s="2339">
        <f>'Part II-Development Team'!S41</f>
        <v>0</v>
      </c>
    </row>
    <row r="245" spans="1:19">
      <c r="A245" s="1870"/>
      <c r="B245" s="1870"/>
      <c r="C245" s="1870"/>
      <c r="D245" s="1851"/>
      <c r="E245" s="1877" t="s">
        <v>1812</v>
      </c>
      <c r="F245" s="1870"/>
      <c r="G245" s="1870"/>
      <c r="H245" s="1877">
        <f>'Part II-Development Team'!H42</f>
        <v>0</v>
      </c>
      <c r="I245" s="1870"/>
      <c r="J245" s="1870"/>
      <c r="K245" s="1874" t="s">
        <v>2245</v>
      </c>
      <c r="L245" s="2338">
        <f>'Part II-Development Team'!L42</f>
        <v>0</v>
      </c>
      <c r="M245" s="2338">
        <f>'Part II-Development Team'!M42</f>
        <v>0</v>
      </c>
      <c r="N245" s="1870"/>
      <c r="O245" s="1877" t="s">
        <v>1995</v>
      </c>
      <c r="P245" s="1870"/>
      <c r="Q245" s="2339">
        <f>'Part II-Development Team'!Q42</f>
        <v>0</v>
      </c>
      <c r="R245" s="2339">
        <f>'Part II-Development Team'!R42</f>
        <v>0</v>
      </c>
      <c r="S245" s="2339">
        <f>'Part II-Development Team'!S42</f>
        <v>0</v>
      </c>
    </row>
    <row r="246" spans="1:19">
      <c r="A246" s="1870"/>
      <c r="B246" s="1870"/>
      <c r="C246" s="1870"/>
      <c r="D246" s="1922"/>
      <c r="E246" s="1877" t="s">
        <v>4324</v>
      </c>
      <c r="F246" s="1870"/>
      <c r="G246" s="1870"/>
      <c r="H246" s="2339">
        <f>'Part II-Development Team'!H43</f>
        <v>0</v>
      </c>
      <c r="I246" s="2339">
        <f>'Part II-Development Team'!I43</f>
        <v>0</v>
      </c>
      <c r="J246" s="1884">
        <f>'Part II-Development Team'!J43</f>
        <v>0</v>
      </c>
      <c r="K246" s="1874" t="s">
        <v>2000</v>
      </c>
      <c r="L246" s="2246">
        <f>'Part II-Development Team'!L43</f>
        <v>0</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5">
      <c r="A248" s="1870"/>
      <c r="B248" s="1870"/>
      <c r="C248" s="1925" t="s">
        <v>2551</v>
      </c>
      <c r="D248" s="1906" t="s">
        <v>657</v>
      </c>
      <c r="E248" s="1870"/>
      <c r="F248" s="1870"/>
      <c r="G248" s="1870"/>
      <c r="H248" s="1870"/>
      <c r="I248" s="1870"/>
      <c r="J248" s="1870"/>
      <c r="K248" s="1872" t="s">
        <v>4323</v>
      </c>
      <c r="L248" s="1870"/>
      <c r="M248" s="1870"/>
      <c r="N248" s="1870"/>
      <c r="O248" s="1870"/>
      <c r="P248" s="1870"/>
      <c r="Q248" s="1870"/>
      <c r="R248" s="1870"/>
      <c r="S248" s="1870"/>
    </row>
    <row r="249" spans="1:19">
      <c r="A249" s="1870"/>
      <c r="B249" s="1870"/>
      <c r="C249" s="1870"/>
      <c r="D249" s="1870"/>
      <c r="E249" s="1870" t="s">
        <v>93</v>
      </c>
      <c r="F249" s="1870"/>
      <c r="G249" s="1870"/>
      <c r="H249" s="1870">
        <f>'Part II-Development Team'!H46</f>
        <v>0</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c r="A251" s="1870"/>
      <c r="B251" s="1870"/>
      <c r="C251" s="1870"/>
      <c r="D251" s="1922"/>
      <c r="E251" s="1877" t="s">
        <v>624</v>
      </c>
      <c r="F251" s="1870"/>
      <c r="G251" s="1870"/>
      <c r="H251" s="1870">
        <f>'Part II-Development Team'!H48</f>
        <v>0</v>
      </c>
      <c r="I251" s="1870">
        <f>'Part II-Development Team'!I48</f>
        <v>0</v>
      </c>
      <c r="J251" s="1870">
        <f>'Part II-Development Team'!J48</f>
        <v>0</v>
      </c>
      <c r="K251" s="1874" t="s">
        <v>2722</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c r="A253" s="1870"/>
      <c r="B253" s="1870"/>
      <c r="C253" s="1870"/>
      <c r="D253" s="1922"/>
      <c r="E253" s="1877" t="s">
        <v>4324</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5">
      <c r="A255" s="1851" t="s">
        <v>748</v>
      </c>
      <c r="B255" s="1851" t="s">
        <v>658</v>
      </c>
      <c r="C255" s="1870"/>
      <c r="D255" s="1870"/>
      <c r="E255" s="1870"/>
      <c r="F255" s="1851"/>
      <c r="G255" s="1874"/>
      <c r="H255" s="1874"/>
      <c r="I255" s="1874"/>
      <c r="J255" s="1870"/>
      <c r="K255" s="1872" t="s">
        <v>4323</v>
      </c>
      <c r="L255" s="1870"/>
      <c r="M255" s="1870"/>
      <c r="N255" s="1870"/>
      <c r="O255" s="1870"/>
      <c r="P255" s="1870"/>
      <c r="Q255" s="1870"/>
      <c r="R255" s="1870"/>
      <c r="S255" s="1870"/>
    </row>
    <row r="256" spans="1:19">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c r="A257" s="1870"/>
      <c r="B257" s="1851" t="s">
        <v>1999</v>
      </c>
      <c r="C257" s="1851" t="s">
        <v>284</v>
      </c>
      <c r="D257" s="1870"/>
      <c r="E257" s="1870"/>
      <c r="F257" s="1870"/>
      <c r="G257" s="1870"/>
      <c r="H257" s="1870" t="str">
        <f>'Part II-Development Team'!H54</f>
        <v>Oracle Consulting Services,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Caryn Winter</v>
      </c>
      <c r="R257" s="1870">
        <f>'Part II-Development Team'!R54</f>
        <v>0</v>
      </c>
      <c r="S257" s="1870">
        <f>'Part II-Development Team'!S54</f>
        <v>0</v>
      </c>
    </row>
    <row r="258" spans="1:19">
      <c r="A258" s="1870"/>
      <c r="B258" s="1870"/>
      <c r="C258" s="1870"/>
      <c r="D258" s="1922"/>
      <c r="E258" s="1877" t="s">
        <v>1031</v>
      </c>
      <c r="F258" s="1880"/>
      <c r="G258" s="1870"/>
      <c r="H258" s="1870" t="str">
        <f>'Part II-Development Team'!H55</f>
        <v>P.O. Box 22378</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Manager</v>
      </c>
      <c r="R258" s="1870">
        <f>'Part II-Development Team'!R55</f>
        <v>0</v>
      </c>
      <c r="S258" s="1870">
        <f>'Part II-Development Team'!S55</f>
        <v>0</v>
      </c>
    </row>
    <row r="259" spans="1:19">
      <c r="A259" s="1870"/>
      <c r="B259" s="1870"/>
      <c r="C259" s="1870"/>
      <c r="D259" s="1922"/>
      <c r="E259" s="1877" t="s">
        <v>624</v>
      </c>
      <c r="F259" s="1870"/>
      <c r="G259" s="1870"/>
      <c r="H259" s="1870" t="str">
        <f>'Part II-Development Team'!H56</f>
        <v>Louisville</v>
      </c>
      <c r="I259" s="1870">
        <f>'Part II-Development Team'!I56</f>
        <v>0</v>
      </c>
      <c r="J259" s="1870">
        <f>'Part II-Development Team'!J56</f>
        <v>0</v>
      </c>
      <c r="K259" s="1874" t="s">
        <v>2722</v>
      </c>
      <c r="L259" s="1870" t="str">
        <f>'Part II-Development Team'!L56</f>
        <v>None</v>
      </c>
      <c r="M259" s="1870">
        <f>'Part II-Development Team'!M56</f>
        <v>0</v>
      </c>
      <c r="N259" s="1870">
        <f>'Part II-Development Team'!N56</f>
        <v>0</v>
      </c>
      <c r="O259" s="1877" t="s">
        <v>1734</v>
      </c>
      <c r="P259" s="1870"/>
      <c r="Q259" s="2339">
        <f>'Part II-Development Team'!Q56</f>
        <v>3174086628</v>
      </c>
      <c r="R259" s="2339">
        <f>'Part II-Development Team'!R56</f>
        <v>0</v>
      </c>
      <c r="S259" s="2339">
        <f>'Part II-Development Team'!S56</f>
        <v>0</v>
      </c>
    </row>
    <row r="260" spans="1:19">
      <c r="A260" s="1870"/>
      <c r="B260" s="1870"/>
      <c r="C260" s="1870"/>
      <c r="D260" s="1870"/>
      <c r="E260" s="1877" t="s">
        <v>1812</v>
      </c>
      <c r="F260" s="1870"/>
      <c r="G260" s="1870"/>
      <c r="H260" s="1877" t="str">
        <f>'Part II-Development Team'!H57</f>
        <v>KY</v>
      </c>
      <c r="I260" s="1870"/>
      <c r="J260" s="1870"/>
      <c r="K260" s="1874" t="s">
        <v>2245</v>
      </c>
      <c r="L260" s="2338">
        <f>'Part II-Development Team'!L57</f>
        <v>402520378</v>
      </c>
      <c r="M260" s="2338">
        <f>'Part II-Development Team'!M57</f>
        <v>0</v>
      </c>
      <c r="N260" s="1870"/>
      <c r="O260" s="1877" t="s">
        <v>1995</v>
      </c>
      <c r="P260" s="1870"/>
      <c r="Q260" s="2339">
        <f>'Part II-Development Team'!Q57</f>
        <v>3174086628</v>
      </c>
      <c r="R260" s="2339">
        <f>'Part II-Development Team'!R57</f>
        <v>0</v>
      </c>
      <c r="S260" s="2339">
        <f>'Part II-Development Team'!S57</f>
        <v>0</v>
      </c>
    </row>
    <row r="261" spans="1:19">
      <c r="A261" s="1870"/>
      <c r="B261" s="1870"/>
      <c r="C261" s="1870"/>
      <c r="D261" s="1922"/>
      <c r="E261" s="1877" t="s">
        <v>4324</v>
      </c>
      <c r="F261" s="1870"/>
      <c r="G261" s="1870"/>
      <c r="H261" s="2339">
        <f>'Part II-Development Team'!H58</f>
        <v>3174086628</v>
      </c>
      <c r="I261" s="2339">
        <f>'Part II-Development Team'!I58</f>
        <v>0</v>
      </c>
      <c r="J261" s="1884">
        <f>'Part II-Development Team'!J58</f>
        <v>0</v>
      </c>
      <c r="K261" s="1874" t="s">
        <v>2000</v>
      </c>
      <c r="L261" s="2246" t="str">
        <f>'Part II-Development Team'!L58</f>
        <v>c.winter@oracledesign.net</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c r="A263" s="1870"/>
      <c r="B263" s="1851" t="s">
        <v>2001</v>
      </c>
      <c r="C263" s="1851" t="s">
        <v>285</v>
      </c>
      <c r="D263" s="1870"/>
      <c r="E263" s="1870"/>
      <c r="F263" s="1870"/>
      <c r="G263" s="1870"/>
      <c r="H263" s="1870">
        <f>'Part II-Development Team'!H60</f>
        <v>0</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f>'Part II-Development Team'!Q60</f>
        <v>0</v>
      </c>
      <c r="R263" s="1870">
        <f>'Part II-Development Team'!R60</f>
        <v>0</v>
      </c>
      <c r="S263" s="1870">
        <f>'Part II-Development Team'!S60</f>
        <v>0</v>
      </c>
    </row>
    <row r="264" spans="1:19">
      <c r="A264" s="1870"/>
      <c r="B264" s="1870"/>
      <c r="C264" s="1870"/>
      <c r="D264" s="1922"/>
      <c r="E264" s="1877" t="s">
        <v>1031</v>
      </c>
      <c r="F264" s="1880"/>
      <c r="G264" s="1870"/>
      <c r="H264" s="1870">
        <f>'Part II-Development Team'!H61</f>
        <v>0</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f>'Part II-Development Team'!Q61</f>
        <v>0</v>
      </c>
      <c r="R264" s="1870">
        <f>'Part II-Development Team'!R61</f>
        <v>0</v>
      </c>
      <c r="S264" s="1870">
        <f>'Part II-Development Team'!S61</f>
        <v>0</v>
      </c>
    </row>
    <row r="265" spans="1:19">
      <c r="A265" s="1870"/>
      <c r="B265" s="1870"/>
      <c r="C265" s="1870"/>
      <c r="D265" s="1922"/>
      <c r="E265" s="1877" t="s">
        <v>624</v>
      </c>
      <c r="F265" s="1870"/>
      <c r="G265" s="1870"/>
      <c r="H265" s="1870">
        <f>'Part II-Development Team'!H62</f>
        <v>0</v>
      </c>
      <c r="I265" s="1870">
        <f>'Part II-Development Team'!I62</f>
        <v>0</v>
      </c>
      <c r="J265" s="1870">
        <f>'Part II-Development Team'!J62</f>
        <v>0</v>
      </c>
      <c r="K265" s="1874" t="s">
        <v>2722</v>
      </c>
      <c r="L265" s="1870">
        <f>'Part II-Development Team'!L62</f>
        <v>0</v>
      </c>
      <c r="M265" s="1870">
        <f>'Part II-Development Team'!M62</f>
        <v>0</v>
      </c>
      <c r="N265" s="1870">
        <f>'Part II-Development Team'!N62</f>
        <v>0</v>
      </c>
      <c r="O265" s="1877" t="s">
        <v>1734</v>
      </c>
      <c r="P265" s="1870"/>
      <c r="Q265" s="2339">
        <f>'Part II-Development Team'!Q62</f>
        <v>0</v>
      </c>
      <c r="R265" s="2339">
        <f>'Part II-Development Team'!R62</f>
        <v>0</v>
      </c>
      <c r="S265" s="2339">
        <f>'Part II-Development Team'!S62</f>
        <v>0</v>
      </c>
    </row>
    <row r="266" spans="1:19">
      <c r="A266" s="1870"/>
      <c r="B266" s="1870"/>
      <c r="C266" s="1870"/>
      <c r="D266" s="1870"/>
      <c r="E266" s="1877" t="s">
        <v>1812</v>
      </c>
      <c r="F266" s="1870"/>
      <c r="G266" s="1870"/>
      <c r="H266" s="1877">
        <f>'Part II-Development Team'!H63</f>
        <v>0</v>
      </c>
      <c r="I266" s="1870"/>
      <c r="J266" s="1870"/>
      <c r="K266" s="1874" t="s">
        <v>2245</v>
      </c>
      <c r="L266" s="2338">
        <f>'Part II-Development Team'!L63</f>
        <v>0</v>
      </c>
      <c r="M266" s="2338">
        <f>'Part II-Development Team'!M63</f>
        <v>0</v>
      </c>
      <c r="N266" s="1870"/>
      <c r="O266" s="1877" t="s">
        <v>1995</v>
      </c>
      <c r="P266" s="1870"/>
      <c r="Q266" s="2339">
        <f>'Part II-Development Team'!Q63</f>
        <v>0</v>
      </c>
      <c r="R266" s="2339">
        <f>'Part II-Development Team'!R63</f>
        <v>0</v>
      </c>
      <c r="S266" s="2339">
        <f>'Part II-Development Team'!S63</f>
        <v>0</v>
      </c>
    </row>
    <row r="267" spans="1:19">
      <c r="A267" s="1870"/>
      <c r="B267" s="1870"/>
      <c r="C267" s="1870"/>
      <c r="D267" s="1922"/>
      <c r="E267" s="1877" t="s">
        <v>4324</v>
      </c>
      <c r="F267" s="1870"/>
      <c r="G267" s="1870"/>
      <c r="H267" s="2339">
        <f>'Part II-Development Team'!H64</f>
        <v>0</v>
      </c>
      <c r="I267" s="2339">
        <f>'Part II-Development Team'!I64</f>
        <v>0</v>
      </c>
      <c r="J267" s="1884">
        <f>'Part II-Development Team'!J64</f>
        <v>0</v>
      </c>
      <c r="K267" s="1874" t="s">
        <v>2000</v>
      </c>
      <c r="L267" s="2246">
        <f>'Part II-Development Team'!L64</f>
        <v>0</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c r="A269" s="1870"/>
      <c r="B269" s="1851" t="s">
        <v>757</v>
      </c>
      <c r="C269" s="1851" t="s">
        <v>1540</v>
      </c>
      <c r="D269" s="1870"/>
      <c r="E269" s="1870"/>
      <c r="F269" s="1870"/>
      <c r="G269" s="1870"/>
      <c r="H269" s="1870">
        <f>'Part II-Development Team'!H66</f>
        <v>0</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f>'Part II-Development Team'!Q66</f>
        <v>0</v>
      </c>
      <c r="R269" s="1870">
        <f>'Part II-Development Team'!R66</f>
        <v>0</v>
      </c>
      <c r="S269" s="1870">
        <f>'Part II-Development Team'!S66</f>
        <v>0</v>
      </c>
    </row>
    <row r="270" spans="1:19">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c r="A271" s="1870"/>
      <c r="B271" s="1870"/>
      <c r="C271" s="1870"/>
      <c r="D271" s="1922"/>
      <c r="E271" s="1877" t="s">
        <v>624</v>
      </c>
      <c r="F271" s="1870"/>
      <c r="G271" s="1870"/>
      <c r="H271" s="1870">
        <f>'Part II-Development Team'!H68</f>
        <v>0</v>
      </c>
      <c r="I271" s="1870">
        <f>'Part II-Development Team'!I68</f>
        <v>0</v>
      </c>
      <c r="J271" s="1870">
        <f>'Part II-Development Team'!J68</f>
        <v>0</v>
      </c>
      <c r="K271" s="1874" t="s">
        <v>2722</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c r="A272" s="1870"/>
      <c r="B272" s="1870"/>
      <c r="C272" s="1870"/>
      <c r="D272" s="1870"/>
      <c r="E272" s="1877" t="s">
        <v>1812</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c r="A273" s="1870"/>
      <c r="B273" s="1870"/>
      <c r="C273" s="1870"/>
      <c r="D273" s="1922"/>
      <c r="E273" s="1877" t="s">
        <v>4324</v>
      </c>
      <c r="F273" s="1870"/>
      <c r="G273" s="1870"/>
      <c r="H273" s="2339">
        <f>'Part II-Development Team'!H70</f>
        <v>0</v>
      </c>
      <c r="I273" s="2339">
        <f>'Part II-Development Team'!I70</f>
        <v>0</v>
      </c>
      <c r="J273" s="1884">
        <f>'Part II-Development Team'!J70</f>
        <v>0</v>
      </c>
      <c r="K273" s="1874" t="s">
        <v>2000</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c r="A275" s="1870"/>
      <c r="B275" s="1851" t="s">
        <v>2131</v>
      </c>
      <c r="C275" s="1851" t="s">
        <v>286</v>
      </c>
      <c r="D275" s="1870"/>
      <c r="E275" s="1870"/>
      <c r="F275" s="1870"/>
      <c r="G275" s="1870"/>
      <c r="H275" s="1870" t="str">
        <f>'Part II-Development Team'!H72</f>
        <v>Park Terrace Development, LLC</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t="str">
        <f>'Part II-Development Team'!Q72</f>
        <v>Thompson Gooding</v>
      </c>
      <c r="R275" s="1870">
        <f>'Part II-Development Team'!R72</f>
        <v>0</v>
      </c>
      <c r="S275" s="1870">
        <f>'Part II-Development Team'!S72</f>
        <v>0</v>
      </c>
    </row>
    <row r="276" spans="1:19">
      <c r="A276" s="1870"/>
      <c r="B276" s="1870"/>
      <c r="C276" s="1870"/>
      <c r="D276" s="1922"/>
      <c r="E276" s="1877" t="s">
        <v>1031</v>
      </c>
      <c r="F276" s="1880"/>
      <c r="G276" s="1870"/>
      <c r="H276" s="1870" t="str">
        <f>'Part II-Development Team'!H73</f>
        <v>1214 Hickory Drive</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t="str">
        <f>'Part II-Development Team'!Q73</f>
        <v>President</v>
      </c>
      <c r="R276" s="1870">
        <f>'Part II-Development Team'!R73</f>
        <v>0</v>
      </c>
      <c r="S276" s="1870">
        <f>'Part II-Development Team'!S73</f>
        <v>0</v>
      </c>
    </row>
    <row r="277" spans="1:19">
      <c r="A277" s="1870"/>
      <c r="B277" s="1870"/>
      <c r="C277" s="1870"/>
      <c r="D277" s="1922"/>
      <c r="E277" s="1877" t="s">
        <v>624</v>
      </c>
      <c r="F277" s="1870"/>
      <c r="G277" s="1870"/>
      <c r="H277" s="1870" t="str">
        <f>'Part II-Development Team'!H74</f>
        <v>Valdosta</v>
      </c>
      <c r="I277" s="1870">
        <f>'Part II-Development Team'!I74</f>
        <v>0</v>
      </c>
      <c r="J277" s="1870">
        <f>'Part II-Development Team'!J74</f>
        <v>0</v>
      </c>
      <c r="K277" s="1874" t="s">
        <v>2722</v>
      </c>
      <c r="L277" s="1870" t="str">
        <f>'Part II-Development Team'!L74</f>
        <v>www.parkterracecompanies.com</v>
      </c>
      <c r="M277" s="1870">
        <f>'Part II-Development Team'!M74</f>
        <v>0</v>
      </c>
      <c r="N277" s="1870">
        <f>'Part II-Development Team'!N74</f>
        <v>0</v>
      </c>
      <c r="O277" s="1877" t="s">
        <v>1734</v>
      </c>
      <c r="P277" s="1870"/>
      <c r="Q277" s="2339">
        <f>'Part II-Development Team'!Q74</f>
        <v>2292516399</v>
      </c>
      <c r="R277" s="2339">
        <f>'Part II-Development Team'!R74</f>
        <v>0</v>
      </c>
      <c r="S277" s="2339">
        <f>'Part II-Development Team'!S74</f>
        <v>0</v>
      </c>
    </row>
    <row r="278" spans="1:19">
      <c r="A278" s="1870"/>
      <c r="B278" s="1870"/>
      <c r="C278" s="1870"/>
      <c r="D278" s="1870"/>
      <c r="E278" s="1877" t="s">
        <v>1812</v>
      </c>
      <c r="F278" s="1870"/>
      <c r="G278" s="1870"/>
      <c r="H278" s="1877" t="str">
        <f>'Part II-Development Team'!H75</f>
        <v>GA</v>
      </c>
      <c r="I278" s="1870"/>
      <c r="J278" s="1870"/>
      <c r="K278" s="1874" t="s">
        <v>2245</v>
      </c>
      <c r="L278" s="2338">
        <f>'Part II-Development Team'!L75</f>
        <v>316022711</v>
      </c>
      <c r="M278" s="2338">
        <f>'Part II-Development Team'!M75</f>
        <v>0</v>
      </c>
      <c r="N278" s="1870"/>
      <c r="O278" s="1877" t="s">
        <v>1995</v>
      </c>
      <c r="P278" s="1870"/>
      <c r="Q278" s="2339">
        <f>'Part II-Development Team'!Q75</f>
        <v>2292516399</v>
      </c>
      <c r="R278" s="2339">
        <f>'Part II-Development Team'!R75</f>
        <v>0</v>
      </c>
      <c r="S278" s="2339">
        <f>'Part II-Development Team'!S75</f>
        <v>0</v>
      </c>
    </row>
    <row r="279" spans="1:19">
      <c r="A279" s="1870"/>
      <c r="B279" s="1870"/>
      <c r="C279" s="1870"/>
      <c r="D279" s="1922"/>
      <c r="E279" s="1877" t="s">
        <v>4324</v>
      </c>
      <c r="F279" s="1870"/>
      <c r="G279" s="1870"/>
      <c r="H279" s="2339">
        <f>'Part II-Development Team'!H76</f>
        <v>2292516399</v>
      </c>
      <c r="I279" s="2339">
        <f>'Part II-Development Team'!I76</f>
        <v>0</v>
      </c>
      <c r="J279" s="1884">
        <f>'Part II-Development Team'!J76</f>
        <v>0</v>
      </c>
      <c r="K279" s="1874" t="s">
        <v>2000</v>
      </c>
      <c r="L279" s="2246" t="str">
        <f>'Part II-Development Team'!L76</f>
        <v>tgooding@parkterrracecompanies.com</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5">
      <c r="A281" s="1871" t="s">
        <v>750</v>
      </c>
      <c r="B281" s="1871" t="s">
        <v>287</v>
      </c>
      <c r="C281" s="1877"/>
      <c r="D281" s="1871"/>
      <c r="E281" s="1877"/>
      <c r="F281" s="1871"/>
      <c r="G281" s="1871"/>
      <c r="H281" s="1871"/>
      <c r="I281" s="1871"/>
      <c r="J281" s="1871"/>
      <c r="K281" s="1872" t="s">
        <v>4323</v>
      </c>
      <c r="L281" s="1871"/>
      <c r="M281" s="1871"/>
      <c r="N281" s="1877"/>
      <c r="O281" s="1877"/>
      <c r="P281" s="1877"/>
      <c r="Q281" s="1877"/>
      <c r="R281" s="1877"/>
      <c r="S281" s="1877"/>
    </row>
    <row r="282" spans="1:19">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c r="A283" s="1870"/>
      <c r="B283" s="1851" t="s">
        <v>1999</v>
      </c>
      <c r="C283" s="1851" t="s">
        <v>288</v>
      </c>
      <c r="D283" s="1870"/>
      <c r="E283" s="1870"/>
      <c r="F283" s="1870"/>
      <c r="G283" s="1870"/>
      <c r="H283" s="1870">
        <f>'Part II-Development Team'!H80</f>
        <v>0</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c r="A285" s="1870"/>
      <c r="B285" s="1870"/>
      <c r="C285" s="1870"/>
      <c r="D285" s="1922"/>
      <c r="E285" s="1877" t="s">
        <v>624</v>
      </c>
      <c r="F285" s="1870"/>
      <c r="G285" s="1870"/>
      <c r="H285" s="1870">
        <f>'Part II-Development Team'!H82</f>
        <v>0</v>
      </c>
      <c r="I285" s="1870">
        <f>'Part II-Development Team'!I82</f>
        <v>0</v>
      </c>
      <c r="J285" s="1870">
        <f>'Part II-Development Team'!J82</f>
        <v>0</v>
      </c>
      <c r="K285" s="1874" t="s">
        <v>2722</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c r="A287" s="1870"/>
      <c r="B287" s="1870"/>
      <c r="C287" s="1870"/>
      <c r="D287" s="1922"/>
      <c r="E287" s="1877" t="s">
        <v>4324</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c r="A289" s="1870"/>
      <c r="B289" s="1851" t="s">
        <v>2001</v>
      </c>
      <c r="C289" s="1851" t="s">
        <v>289</v>
      </c>
      <c r="D289" s="1870"/>
      <c r="E289" s="1870"/>
      <c r="F289" s="1870"/>
      <c r="G289" s="1870"/>
      <c r="H289" s="1870" t="str">
        <f>'Part II-Development Team'!H86</f>
        <v>To be determined via negotiated bid during design phase</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f>'Part II-Development Team'!Q86</f>
        <v>0</v>
      </c>
      <c r="R289" s="1870">
        <f>'Part II-Development Team'!R86</f>
        <v>0</v>
      </c>
      <c r="S289" s="1870">
        <f>'Part II-Development Team'!S86</f>
        <v>0</v>
      </c>
    </row>
    <row r="290" spans="1:19">
      <c r="A290" s="1870"/>
      <c r="B290" s="1870"/>
      <c r="C290" s="1870"/>
      <c r="D290" s="1922"/>
      <c r="E290" s="1877" t="s">
        <v>1031</v>
      </c>
      <c r="F290" s="1880"/>
      <c r="G290" s="1870"/>
      <c r="H290" s="1870">
        <f>'Part II-Development Team'!H87</f>
        <v>0</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f>'Part II-Development Team'!Q87</f>
        <v>0</v>
      </c>
      <c r="R290" s="1870">
        <f>'Part II-Development Team'!R87</f>
        <v>0</v>
      </c>
      <c r="S290" s="1870">
        <f>'Part II-Development Team'!S87</f>
        <v>0</v>
      </c>
    </row>
    <row r="291" spans="1:19">
      <c r="A291" s="1870"/>
      <c r="B291" s="1870"/>
      <c r="C291" s="1870"/>
      <c r="D291" s="1922"/>
      <c r="E291" s="1877" t="s">
        <v>624</v>
      </c>
      <c r="F291" s="1870"/>
      <c r="G291" s="1870"/>
      <c r="H291" s="1870">
        <f>'Part II-Development Team'!H88</f>
        <v>0</v>
      </c>
      <c r="I291" s="1870">
        <f>'Part II-Development Team'!I88</f>
        <v>0</v>
      </c>
      <c r="J291" s="1870">
        <f>'Part II-Development Team'!J88</f>
        <v>0</v>
      </c>
      <c r="K291" s="1874" t="s">
        <v>2722</v>
      </c>
      <c r="L291" s="1870">
        <f>'Part II-Development Team'!L88</f>
        <v>0</v>
      </c>
      <c r="M291" s="1870">
        <f>'Part II-Development Team'!M88</f>
        <v>0</v>
      </c>
      <c r="N291" s="1870">
        <f>'Part II-Development Team'!N88</f>
        <v>0</v>
      </c>
      <c r="O291" s="1877" t="s">
        <v>1734</v>
      </c>
      <c r="P291" s="1870"/>
      <c r="Q291" s="2339">
        <f>'Part II-Development Team'!Q88</f>
        <v>0</v>
      </c>
      <c r="R291" s="2339">
        <f>'Part II-Development Team'!R88</f>
        <v>0</v>
      </c>
      <c r="S291" s="2339">
        <f>'Part II-Development Team'!S88</f>
        <v>0</v>
      </c>
    </row>
    <row r="292" spans="1:19">
      <c r="A292" s="1870"/>
      <c r="B292" s="1870"/>
      <c r="C292" s="1870"/>
      <c r="D292" s="1870"/>
      <c r="E292" s="1877" t="s">
        <v>1812</v>
      </c>
      <c r="F292" s="1870"/>
      <c r="G292" s="1870"/>
      <c r="H292" s="1877">
        <f>'Part II-Development Team'!H89</f>
        <v>0</v>
      </c>
      <c r="I292" s="1870"/>
      <c r="J292" s="1870"/>
      <c r="K292" s="1874" t="s">
        <v>2245</v>
      </c>
      <c r="L292" s="2338">
        <f>'Part II-Development Team'!L89</f>
        <v>0</v>
      </c>
      <c r="M292" s="2338">
        <f>'Part II-Development Team'!M89</f>
        <v>0</v>
      </c>
      <c r="N292" s="1870"/>
      <c r="O292" s="1877" t="s">
        <v>1995</v>
      </c>
      <c r="P292" s="1870"/>
      <c r="Q292" s="2339">
        <f>'Part II-Development Team'!Q89</f>
        <v>0</v>
      </c>
      <c r="R292" s="2339">
        <f>'Part II-Development Team'!R89</f>
        <v>0</v>
      </c>
      <c r="S292" s="2339">
        <f>'Part II-Development Team'!S89</f>
        <v>0</v>
      </c>
    </row>
    <row r="293" spans="1:19">
      <c r="A293" s="1870"/>
      <c r="B293" s="1870"/>
      <c r="C293" s="1870"/>
      <c r="D293" s="1922"/>
      <c r="E293" s="1877" t="s">
        <v>4324</v>
      </c>
      <c r="F293" s="1870"/>
      <c r="G293" s="1870"/>
      <c r="H293" s="2339">
        <f>'Part II-Development Team'!H90</f>
        <v>0</v>
      </c>
      <c r="I293" s="2339">
        <f>'Part II-Development Team'!I90</f>
        <v>0</v>
      </c>
      <c r="J293" s="1884">
        <f>'Part II-Development Team'!J90</f>
        <v>0</v>
      </c>
      <c r="K293" s="1874" t="s">
        <v>2000</v>
      </c>
      <c r="L293" s="2246">
        <f>'Part II-Development Team'!L90</f>
        <v>0</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c r="A295" s="1870"/>
      <c r="B295" s="1851" t="s">
        <v>757</v>
      </c>
      <c r="C295" s="1851" t="s">
        <v>290</v>
      </c>
      <c r="D295" s="1870"/>
      <c r="E295" s="1870"/>
      <c r="F295" s="1876"/>
      <c r="G295" s="1870"/>
      <c r="H295" s="1870" t="str">
        <f>'Part II-Development Team'!H92</f>
        <v>PROPOSED - Gateway Management Company</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Randy Fleece</v>
      </c>
      <c r="R295" s="1870">
        <f>'Part II-Development Team'!R92</f>
        <v>0</v>
      </c>
      <c r="S295" s="1870">
        <f>'Part II-Development Team'!S92</f>
        <v>0</v>
      </c>
    </row>
    <row r="296" spans="1:19">
      <c r="A296" s="1870"/>
      <c r="B296" s="1870"/>
      <c r="C296" s="1870"/>
      <c r="D296" s="1922"/>
      <c r="E296" s="1877" t="s">
        <v>1031</v>
      </c>
      <c r="F296" s="1880"/>
      <c r="G296" s="1870"/>
      <c r="H296" s="1870" t="str">
        <f>'Part II-Development Team'!H93</f>
        <v>22 Inverness Center Pkwy, Suite 222</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President</v>
      </c>
      <c r="R296" s="1870">
        <f>'Part II-Development Team'!R93</f>
        <v>0</v>
      </c>
      <c r="S296" s="1870">
        <f>'Part II-Development Team'!S93</f>
        <v>0</v>
      </c>
    </row>
    <row r="297" spans="1:19">
      <c r="A297" s="1870"/>
      <c r="B297" s="1870"/>
      <c r="C297" s="1870"/>
      <c r="D297" s="1922"/>
      <c r="E297" s="1877" t="s">
        <v>624</v>
      </c>
      <c r="F297" s="1870"/>
      <c r="G297" s="1870"/>
      <c r="H297" s="1870" t="str">
        <f>'Part II-Development Team'!H94</f>
        <v>Birmingham</v>
      </c>
      <c r="I297" s="1870">
        <f>'Part II-Development Team'!I94</f>
        <v>0</v>
      </c>
      <c r="J297" s="1870">
        <f>'Part II-Development Team'!J94</f>
        <v>0</v>
      </c>
      <c r="K297" s="1874" t="s">
        <v>2722</v>
      </c>
      <c r="L297" s="1870" t="str">
        <f>'Part II-Development Team'!L94</f>
        <v>https://thegatewaycompanies.com/</v>
      </c>
      <c r="M297" s="1870">
        <f>'Part II-Development Team'!M94</f>
        <v>0</v>
      </c>
      <c r="N297" s="1870">
        <f>'Part II-Development Team'!N94</f>
        <v>0</v>
      </c>
      <c r="O297" s="1877" t="s">
        <v>1734</v>
      </c>
      <c r="P297" s="1870"/>
      <c r="Q297" s="2339">
        <f>'Part II-Development Team'!Q94</f>
        <v>2059803245</v>
      </c>
      <c r="R297" s="2339">
        <f>'Part II-Development Team'!R94</f>
        <v>0</v>
      </c>
      <c r="S297" s="2339">
        <f>'Part II-Development Team'!S94</f>
        <v>0</v>
      </c>
    </row>
    <row r="298" spans="1:19">
      <c r="A298" s="1870"/>
      <c r="B298" s="1870"/>
      <c r="C298" s="1870"/>
      <c r="D298" s="1922"/>
      <c r="E298" s="1877" t="s">
        <v>1812</v>
      </c>
      <c r="F298" s="1870"/>
      <c r="G298" s="1870"/>
      <c r="H298" s="1877" t="str">
        <f>'Part II-Development Team'!H95</f>
        <v>AL</v>
      </c>
      <c r="I298" s="1870"/>
      <c r="J298" s="1870"/>
      <c r="K298" s="1874" t="s">
        <v>2245</v>
      </c>
      <c r="L298" s="2338">
        <f>'Part II-Development Team'!L95</f>
        <v>352424814</v>
      </c>
      <c r="M298" s="2338">
        <f>'Part II-Development Team'!M95</f>
        <v>0</v>
      </c>
      <c r="N298" s="1870"/>
      <c r="O298" s="1877" t="s">
        <v>1995</v>
      </c>
      <c r="P298" s="1870"/>
      <c r="Q298" s="2339">
        <f>'Part II-Development Team'!Q95</f>
        <v>2057779765</v>
      </c>
      <c r="R298" s="2339">
        <f>'Part II-Development Team'!R95</f>
        <v>0</v>
      </c>
      <c r="S298" s="2339">
        <f>'Part II-Development Team'!S95</f>
        <v>0</v>
      </c>
    </row>
    <row r="299" spans="1:19">
      <c r="A299" s="1870"/>
      <c r="B299" s="1870"/>
      <c r="C299" s="1870"/>
      <c r="D299" s="1922"/>
      <c r="E299" s="1877" t="s">
        <v>4324</v>
      </c>
      <c r="F299" s="1870"/>
      <c r="G299" s="1870"/>
      <c r="H299" s="2339">
        <f>'Part II-Development Team'!H96</f>
        <v>2059803245</v>
      </c>
      <c r="I299" s="2339">
        <f>'Part II-Development Team'!I96</f>
        <v>0</v>
      </c>
      <c r="J299" s="1884">
        <f>'Part II-Development Team'!J96</f>
        <v>0</v>
      </c>
      <c r="K299" s="1874" t="s">
        <v>2000</v>
      </c>
      <c r="L299" s="2246" t="str">
        <f>'Part II-Development Team'!L96</f>
        <v>rfleece@gatewaymgt.com</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c r="A301" s="1870"/>
      <c r="B301" s="1851" t="s">
        <v>2131</v>
      </c>
      <c r="C301" s="1851" t="s">
        <v>291</v>
      </c>
      <c r="D301" s="1870"/>
      <c r="E301" s="1870"/>
      <c r="F301" s="1870"/>
      <c r="G301" s="1870"/>
      <c r="H301" s="1870" t="str">
        <f>'Part II-Development Team'!H98</f>
        <v>Saad &amp; Saad LLP</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Adam Saad</v>
      </c>
      <c r="R301" s="1870">
        <f>'Part II-Development Team'!R98</f>
        <v>0</v>
      </c>
      <c r="S301" s="1870">
        <f>'Part II-Development Team'!S98</f>
        <v>0</v>
      </c>
    </row>
    <row r="302" spans="1:19">
      <c r="A302" s="1870"/>
      <c r="B302" s="1870"/>
      <c r="C302" s="1870"/>
      <c r="D302" s="1922"/>
      <c r="E302" s="1877" t="s">
        <v>1031</v>
      </c>
      <c r="F302" s="1880"/>
      <c r="G302" s="1870"/>
      <c r="H302" s="1870" t="str">
        <f>'Part II-Development Team'!H99</f>
        <v>500 S. Front Street, Suite 250</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Partner</v>
      </c>
      <c r="R302" s="1870">
        <f>'Part II-Development Team'!R99</f>
        <v>0</v>
      </c>
      <c r="S302" s="1870">
        <f>'Part II-Development Team'!S99</f>
        <v>0</v>
      </c>
    </row>
    <row r="303" spans="1:19">
      <c r="A303" s="1870"/>
      <c r="B303" s="1870"/>
      <c r="C303" s="1870"/>
      <c r="D303" s="1922"/>
      <c r="E303" s="1877" t="s">
        <v>624</v>
      </c>
      <c r="F303" s="1870"/>
      <c r="G303" s="1870"/>
      <c r="H303" s="1870" t="str">
        <f>'Part II-Development Team'!H100</f>
        <v>Columbus</v>
      </c>
      <c r="I303" s="1870">
        <f>'Part II-Development Team'!I100</f>
        <v>0</v>
      </c>
      <c r="J303" s="1870">
        <f>'Part II-Development Team'!J100</f>
        <v>0</v>
      </c>
      <c r="K303" s="1874" t="s">
        <v>2722</v>
      </c>
      <c r="L303" s="1870" t="str">
        <f>'Part II-Development Team'!L100</f>
        <v>http://www.saad-startitle.com</v>
      </c>
      <c r="M303" s="1870">
        <f>'Part II-Development Team'!M100</f>
        <v>0</v>
      </c>
      <c r="N303" s="1870">
        <f>'Part II-Development Team'!N100</f>
        <v>0</v>
      </c>
      <c r="O303" s="1877" t="s">
        <v>1734</v>
      </c>
      <c r="P303" s="1870"/>
      <c r="Q303" s="2339">
        <f>'Part II-Development Team'!Q100</f>
        <v>6143963294</v>
      </c>
      <c r="R303" s="2339">
        <f>'Part II-Development Team'!R100</f>
        <v>0</v>
      </c>
      <c r="S303" s="2339">
        <f>'Part II-Development Team'!S100</f>
        <v>0</v>
      </c>
    </row>
    <row r="304" spans="1:19">
      <c r="A304" s="1870"/>
      <c r="B304" s="1870"/>
      <c r="C304" s="1870"/>
      <c r="D304" s="1922"/>
      <c r="E304" s="1877" t="s">
        <v>1812</v>
      </c>
      <c r="F304" s="1870"/>
      <c r="G304" s="1870"/>
      <c r="H304" s="1877" t="str">
        <f>'Part II-Development Team'!H101</f>
        <v>OH</v>
      </c>
      <c r="I304" s="1870"/>
      <c r="J304" s="1870"/>
      <c r="K304" s="1874" t="s">
        <v>2245</v>
      </c>
      <c r="L304" s="2338">
        <f>'Part II-Development Team'!L101</f>
        <v>432157632</v>
      </c>
      <c r="M304" s="2338">
        <f>'Part II-Development Team'!M101</f>
        <v>0</v>
      </c>
      <c r="N304" s="1870"/>
      <c r="O304" s="1877" t="s">
        <v>1995</v>
      </c>
      <c r="P304" s="1870"/>
      <c r="Q304" s="2339">
        <f>'Part II-Development Team'!Q101</f>
        <v>6143237712</v>
      </c>
      <c r="R304" s="2339">
        <f>'Part II-Development Team'!R101</f>
        <v>0</v>
      </c>
      <c r="S304" s="2339">
        <f>'Part II-Development Team'!S101</f>
        <v>0</v>
      </c>
    </row>
    <row r="305" spans="1:19">
      <c r="A305" s="1876"/>
      <c r="B305" s="1876"/>
      <c r="C305" s="1876"/>
      <c r="D305" s="1876"/>
      <c r="E305" s="1877" t="s">
        <v>4324</v>
      </c>
      <c r="F305" s="1870"/>
      <c r="G305" s="1870"/>
      <c r="H305" s="2339">
        <f>'Part II-Development Team'!H102</f>
        <v>6143963296</v>
      </c>
      <c r="I305" s="2339">
        <f>'Part II-Development Team'!I102</f>
        <v>0</v>
      </c>
      <c r="J305" s="1884">
        <f>'Part II-Development Team'!J102</f>
        <v>0</v>
      </c>
      <c r="K305" s="1874" t="s">
        <v>2000</v>
      </c>
      <c r="L305" s="2246" t="str">
        <f>'Part II-Development Team'!L102</f>
        <v>adamsaad@saad-startitle.com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c r="A307" s="1870"/>
      <c r="B307" s="1851" t="s">
        <v>1748</v>
      </c>
      <c r="C307" s="1851" t="s">
        <v>292</v>
      </c>
      <c r="D307" s="1870"/>
      <c r="E307" s="1870"/>
      <c r="F307" s="1870"/>
      <c r="G307" s="1870"/>
      <c r="H307" s="1870" t="str">
        <f>'Part II-Development Team'!H104</f>
        <v>Tidwell Group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Todd Fentress</v>
      </c>
      <c r="R307" s="1870">
        <f>'Part II-Development Team'!R104</f>
        <v>0</v>
      </c>
      <c r="S307" s="1870">
        <f>'Part II-Development Team'!S104</f>
        <v>0</v>
      </c>
    </row>
    <row r="308" spans="1:19">
      <c r="A308" s="1870"/>
      <c r="B308" s="1870"/>
      <c r="C308" s="1870"/>
      <c r="D308" s="1922"/>
      <c r="E308" s="1877" t="s">
        <v>1031</v>
      </c>
      <c r="F308" s="1880"/>
      <c r="G308" s="1870"/>
      <c r="H308" s="1870" t="str">
        <f>'Part II-Development Team'!H105</f>
        <v>4249 Easton Way, Suite 210</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Managing Partner</v>
      </c>
      <c r="R308" s="1870">
        <f>'Part II-Development Team'!R105</f>
        <v>0</v>
      </c>
      <c r="S308" s="1870">
        <f>'Part II-Development Team'!S105</f>
        <v>0</v>
      </c>
    </row>
    <row r="309" spans="1:19">
      <c r="A309" s="1870"/>
      <c r="B309" s="1870"/>
      <c r="C309" s="1870"/>
      <c r="D309" s="1922"/>
      <c r="E309" s="1877" t="s">
        <v>624</v>
      </c>
      <c r="F309" s="1870"/>
      <c r="G309" s="1870"/>
      <c r="H309" s="1870" t="str">
        <f>'Part II-Development Team'!H106</f>
        <v>Columbus</v>
      </c>
      <c r="I309" s="1870">
        <f>'Part II-Development Team'!I106</f>
        <v>0</v>
      </c>
      <c r="J309" s="1870">
        <f>'Part II-Development Team'!J106</f>
        <v>0</v>
      </c>
      <c r="K309" s="1874" t="s">
        <v>2722</v>
      </c>
      <c r="L309" s="1870" t="str">
        <f>'Part II-Development Team'!L106</f>
        <v>www.tidwellgroup.com</v>
      </c>
      <c r="M309" s="1870">
        <f>'Part II-Development Team'!M106</f>
        <v>0</v>
      </c>
      <c r="N309" s="1870">
        <f>'Part II-Development Team'!N106</f>
        <v>0</v>
      </c>
      <c r="O309" s="1877" t="s">
        <v>1734</v>
      </c>
      <c r="P309" s="1870"/>
      <c r="Q309" s="2339">
        <f>'Part II-Development Team'!Q106</f>
        <v>6145281441</v>
      </c>
      <c r="R309" s="2339">
        <f>'Part II-Development Team'!R106</f>
        <v>0</v>
      </c>
      <c r="S309" s="2339">
        <f>'Part II-Development Team'!S106</f>
        <v>0</v>
      </c>
    </row>
    <row r="310" spans="1:19">
      <c r="A310" s="1870"/>
      <c r="B310" s="1870"/>
      <c r="C310" s="1870"/>
      <c r="D310" s="1922"/>
      <c r="E310" s="1877" t="s">
        <v>1812</v>
      </c>
      <c r="F310" s="1870"/>
      <c r="G310" s="1870"/>
      <c r="H310" s="1877" t="str">
        <f>'Part II-Development Team'!H107</f>
        <v>OH</v>
      </c>
      <c r="I310" s="1870"/>
      <c r="J310" s="1870"/>
      <c r="K310" s="1874" t="s">
        <v>2245</v>
      </c>
      <c r="L310" s="2338">
        <f>'Part II-Development Team'!L107</f>
        <v>432196191</v>
      </c>
      <c r="M310" s="2338">
        <f>'Part II-Development Team'!M107</f>
        <v>0</v>
      </c>
      <c r="N310" s="1870"/>
      <c r="O310" s="1877" t="s">
        <v>1995</v>
      </c>
      <c r="P310" s="1870"/>
      <c r="Q310" s="2339">
        <f>'Part II-Development Team'!Q107</f>
        <v>6143067824</v>
      </c>
      <c r="R310" s="2339">
        <f>'Part II-Development Team'!R107</f>
        <v>0</v>
      </c>
      <c r="S310" s="2339">
        <f>'Part II-Development Team'!S107</f>
        <v>0</v>
      </c>
    </row>
    <row r="311" spans="1:19">
      <c r="A311" s="1876"/>
      <c r="B311" s="1876"/>
      <c r="C311" s="1876"/>
      <c r="D311" s="1876"/>
      <c r="E311" s="1877" t="s">
        <v>4324</v>
      </c>
      <c r="F311" s="1870"/>
      <c r="G311" s="1870"/>
      <c r="H311" s="2339">
        <f>'Part II-Development Team'!H108</f>
        <v>6145281440</v>
      </c>
      <c r="I311" s="2339">
        <f>'Part II-Development Team'!I108</f>
        <v>0</v>
      </c>
      <c r="J311" s="1884">
        <f>'Part II-Development Team'!J108</f>
        <v>0</v>
      </c>
      <c r="K311" s="1874" t="s">
        <v>2000</v>
      </c>
      <c r="L311" s="2246" t="str">
        <f>'Part II-Development Team'!L108</f>
        <v>todd.fentress@tidwellgroup.com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c r="A313" s="1870"/>
      <c r="B313" s="1851" t="s">
        <v>1749</v>
      </c>
      <c r="C313" s="1851" t="s">
        <v>293</v>
      </c>
      <c r="D313" s="1870"/>
      <c r="E313" s="1870"/>
      <c r="F313" s="1870"/>
      <c r="G313" s="1870"/>
      <c r="H313" s="1870" t="str">
        <f>'Part II-Development Team'!H110</f>
        <v>PROPOSED - Holliday Architects (Architect of record)</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Scott Nehring</v>
      </c>
      <c r="R313" s="1870">
        <f>'Part II-Development Team'!R110</f>
        <v>0</v>
      </c>
      <c r="S313" s="1870">
        <f>'Part II-Development Team'!S110</f>
        <v>0</v>
      </c>
    </row>
    <row r="314" spans="1:19">
      <c r="A314" s="1870"/>
      <c r="B314" s="1870"/>
      <c r="C314" s="1870"/>
      <c r="D314" s="1922"/>
      <c r="E314" s="1877" t="s">
        <v>1031</v>
      </c>
      <c r="F314" s="1880"/>
      <c r="G314" s="1870"/>
      <c r="H314" s="1870" t="str">
        <f>'Part II-Development Team'!H111</f>
        <v>30 Jackson Road, Suite A-4</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Senior Project Manager</v>
      </c>
      <c r="R314" s="1870">
        <f>'Part II-Development Team'!R111</f>
        <v>0</v>
      </c>
      <c r="S314" s="1870">
        <f>'Part II-Development Team'!S111</f>
        <v>0</v>
      </c>
    </row>
    <row r="315" spans="1:19">
      <c r="A315" s="1870"/>
      <c r="B315" s="1870"/>
      <c r="C315" s="1870"/>
      <c r="D315" s="1922"/>
      <c r="E315" s="1877" t="s">
        <v>624</v>
      </c>
      <c r="F315" s="1870"/>
      <c r="G315" s="1870"/>
      <c r="H315" s="1870" t="str">
        <f>'Part II-Development Team'!H112</f>
        <v>Medford</v>
      </c>
      <c r="I315" s="1870">
        <f>'Part II-Development Team'!I112</f>
        <v>0</v>
      </c>
      <c r="J315" s="1870">
        <f>'Part II-Development Team'!J112</f>
        <v>0</v>
      </c>
      <c r="K315" s="1874" t="s">
        <v>2722</v>
      </c>
      <c r="L315" s="1870" t="str">
        <f>'Part II-Development Team'!L112</f>
        <v>https://hollidayarchitects.com</v>
      </c>
      <c r="M315" s="1870">
        <f>'Part II-Development Team'!M112</f>
        <v>0</v>
      </c>
      <c r="N315" s="1870">
        <f>'Part II-Development Team'!N112</f>
        <v>0</v>
      </c>
      <c r="O315" s="1877" t="s">
        <v>1734</v>
      </c>
      <c r="P315" s="1870"/>
      <c r="Q315" s="2339">
        <f>'Part II-Development Team'!Q112</f>
        <v>6099535373</v>
      </c>
      <c r="R315" s="2339">
        <f>'Part II-Development Team'!R112</f>
        <v>0</v>
      </c>
      <c r="S315" s="2339">
        <f>'Part II-Development Team'!S112</f>
        <v>0</v>
      </c>
    </row>
    <row r="316" spans="1:19">
      <c r="A316" s="1870"/>
      <c r="B316" s="1870"/>
      <c r="C316" s="1870"/>
      <c r="D316" s="1922"/>
      <c r="E316" s="1877" t="s">
        <v>1812</v>
      </c>
      <c r="F316" s="1870"/>
      <c r="G316" s="1870"/>
      <c r="H316" s="1877" t="str">
        <f>'Part II-Development Team'!H113</f>
        <v>NJ</v>
      </c>
      <c r="I316" s="1870"/>
      <c r="J316" s="1870"/>
      <c r="K316" s="1874" t="s">
        <v>2245</v>
      </c>
      <c r="L316" s="2338">
        <f>'Part II-Development Team'!L113</f>
        <v>80559283</v>
      </c>
      <c r="M316" s="2338">
        <f>'Part II-Development Team'!M113</f>
        <v>0</v>
      </c>
      <c r="N316" s="1870"/>
      <c r="O316" s="1877" t="s">
        <v>1995</v>
      </c>
      <c r="P316" s="1870"/>
      <c r="Q316" s="2339">
        <f>'Part II-Development Team'!Q113</f>
        <v>0</v>
      </c>
      <c r="R316" s="2339">
        <f>'Part II-Development Team'!R113</f>
        <v>0</v>
      </c>
      <c r="S316" s="2339">
        <f>'Part II-Development Team'!S113</f>
        <v>0</v>
      </c>
    </row>
    <row r="317" spans="1:19">
      <c r="A317" s="1870"/>
      <c r="B317" s="1870"/>
      <c r="C317" s="1870"/>
      <c r="D317" s="1922"/>
      <c r="E317" s="1877" t="s">
        <v>4324</v>
      </c>
      <c r="F317" s="1870"/>
      <c r="G317" s="1870"/>
      <c r="H317" s="2339">
        <f>'Part II-Development Team'!H114</f>
        <v>6099535373</v>
      </c>
      <c r="I317" s="2339">
        <f>'Part II-Development Team'!I114</f>
        <v>0</v>
      </c>
      <c r="J317" s="1884">
        <f>'Part II-Development Team'!J114</f>
        <v>0</v>
      </c>
      <c r="K317" s="1874" t="s">
        <v>2000</v>
      </c>
      <c r="L317" s="2246" t="str">
        <f>'Part II-Development Team'!L114</f>
        <v>snehring@hollidayarchitects.com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c r="A319" s="1851" t="s">
        <v>1805</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c r="A320" s="1870"/>
      <c r="B320" s="1851" t="s">
        <v>1999</v>
      </c>
      <c r="C320" s="1851" t="s">
        <v>4564</v>
      </c>
      <c r="D320" s="1870"/>
      <c r="E320" s="1870"/>
      <c r="F320" s="1870"/>
      <c r="G320" s="1870"/>
      <c r="H320" s="1870" t="str">
        <f>'Part II-Development Team'!H117</f>
        <v>Chastain Park Communities, LLC</v>
      </c>
      <c r="I320" s="1870">
        <f>'Part II-Development Team'!I117</f>
        <v>0</v>
      </c>
      <c r="J320" s="1870">
        <f>'Part II-Development Team'!J117</f>
        <v>0</v>
      </c>
      <c r="K320" s="1874" t="s">
        <v>2490</v>
      </c>
      <c r="L320" s="1870" t="str">
        <f>'Part II-Development Team'!L117</f>
        <v>Charles Bussey (Through Broker)</v>
      </c>
      <c r="M320" s="1870">
        <f>'Part II-Development Team'!M117</f>
        <v>0</v>
      </c>
      <c r="N320" s="1870">
        <f>'Part II-Development Team'!N117</f>
        <v>0</v>
      </c>
      <c r="O320" s="1877" t="s">
        <v>3604</v>
      </c>
      <c r="P320" s="1870"/>
      <c r="Q320" s="1870">
        <f>'Part II-Development Team'!Q117</f>
        <v>4044676666</v>
      </c>
      <c r="R320" s="1870">
        <f>'Part II-Development Team'!R117</f>
        <v>0</v>
      </c>
      <c r="S320" s="1870">
        <f>'Part II-Development Team'!S117</f>
        <v>0</v>
      </c>
    </row>
    <row r="321" spans="1:19">
      <c r="A321" s="1870"/>
      <c r="B321" s="1870"/>
      <c r="C321" s="1870"/>
      <c r="D321" s="1922"/>
      <c r="E321" s="1877" t="s">
        <v>1031</v>
      </c>
      <c r="F321" s="1880"/>
      <c r="G321" s="1870"/>
      <c r="H321" s="1870" t="str">
        <f>'Part II-Development Team'!H118</f>
        <v>1004 Elaine Court</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t="str">
        <f>'Part II-Development Team'!Q118</f>
        <v>McDonough</v>
      </c>
      <c r="R321" s="1870">
        <f>'Part II-Development Team'!R118</f>
        <v>0</v>
      </c>
      <c r="S321" s="1870">
        <f>'Part II-Development Team'!S118</f>
        <v>0</v>
      </c>
    </row>
    <row r="322" spans="1:19">
      <c r="A322" s="1870"/>
      <c r="B322" s="1870"/>
      <c r="C322" s="1870"/>
      <c r="D322" s="1922"/>
      <c r="E322" s="1877" t="s">
        <v>1812</v>
      </c>
      <c r="F322" s="1870"/>
      <c r="G322" s="1870"/>
      <c r="H322" s="1877" t="str">
        <f>'Part II-Development Team'!H119</f>
        <v>GA</v>
      </c>
      <c r="I322" s="1874" t="s">
        <v>2245</v>
      </c>
      <c r="J322" s="2338">
        <f>'Part II-Development Team'!J119</f>
        <v>302522893</v>
      </c>
      <c r="K322" s="2338">
        <f>'Part II-Development Team'!K119</f>
        <v>0</v>
      </c>
      <c r="L322" s="1874" t="s">
        <v>2000</v>
      </c>
      <c r="M322" s="2246" t="str">
        <f>'Part II-Development Team'!M119</f>
        <v>jcharlesbussey@hotmail.com</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3919</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No</v>
      </c>
      <c r="G325" s="2113">
        <f>'Part II-Development Team'!G122</f>
        <v>0</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No</v>
      </c>
      <c r="G326" s="2113">
        <f>'Part II-Development Team'!G123</f>
        <v>0</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No</v>
      </c>
      <c r="G327" s="2113">
        <f>'Part II-Development Team'!G124</f>
        <v>0</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2856</v>
      </c>
      <c r="E328" s="1905"/>
      <c r="F328" s="2352" t="str">
        <f>'Part II-Development Team'!F125</f>
        <v>No</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3489</v>
      </c>
      <c r="E329" s="1905"/>
      <c r="F329" s="2352" t="str">
        <f>'Part II-Development Team'!F126</f>
        <v>No</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t="str">
        <f>'Part II-Development Team'!F127</f>
        <v>No</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2857</v>
      </c>
      <c r="E331" s="1905"/>
      <c r="F331" s="2352" t="str">
        <f>'Part II-Development Team'!F128</f>
        <v>No</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Owner and Consulting Architect</v>
      </c>
      <c r="E332" s="1905">
        <f>'Part II-Development Team'!E129</f>
        <v>0</v>
      </c>
      <c r="F332" s="2352" t="str">
        <f>'Part II-Development Team'!F129</f>
        <v>Yes</v>
      </c>
      <c r="G332" s="2113" t="str">
        <f>'Part II-Development Team'!G129</f>
        <v>There is a conflict of interest between a potential consulting architect and the Owner. Mark Wright, of Oracle Design Group, is a member of the general partner and may assist the architect of record with the design process on a consulting architect basis.</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c r="A333" s="1851" t="s">
        <v>1807</v>
      </c>
      <c r="B333" s="1851" t="s">
        <v>4565</v>
      </c>
      <c r="C333" s="1870"/>
      <c r="D333" s="1870"/>
      <c r="E333" s="1870"/>
      <c r="F333" s="1851"/>
      <c r="G333" s="1874"/>
      <c r="H333" s="1874"/>
      <c r="I333" s="1874"/>
      <c r="J333" s="1874"/>
      <c r="K333" s="1874"/>
      <c r="L333" s="1874"/>
      <c r="M333" s="1874"/>
      <c r="N333" s="1874"/>
      <c r="O333" s="1874"/>
      <c r="P333" s="1874"/>
      <c r="Q333" s="1874"/>
      <c r="R333" s="1870"/>
      <c r="S333" s="1870"/>
    </row>
    <row r="334" spans="1:19">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c r="A335" s="1876"/>
      <c r="B335" s="1851" t="s">
        <v>757</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3470</v>
      </c>
      <c r="F336" s="1905"/>
      <c r="G336" s="1905"/>
      <c r="H336" s="1905"/>
      <c r="I336" s="1905"/>
      <c r="J336" s="1905" t="s">
        <v>3471</v>
      </c>
      <c r="K336" s="1928" t="s">
        <v>4566</v>
      </c>
      <c r="L336" s="1928" t="s">
        <v>4567</v>
      </c>
      <c r="M336" s="1928" t="s">
        <v>4568</v>
      </c>
      <c r="N336" s="1928"/>
      <c r="O336" s="1928"/>
      <c r="P336" s="1928"/>
      <c r="Q336" s="1928"/>
      <c r="R336" s="1928"/>
      <c r="S336" s="1928"/>
    </row>
    <row r="337" spans="1:19">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4569</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5" customHeight="1">
      <c r="A341" s="1931" t="s">
        <v>3465</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1E-4</v>
      </c>
      <c r="M341" s="2352" t="str">
        <f>'Part II-Development Team'!M138</f>
        <v>Yes</v>
      </c>
      <c r="N341" s="2113" t="str">
        <f>'Part II-Development Team'!N138</f>
        <v>Developer is also a member of the general partner. A member of the general partner may consult with the architect of record during the design process.</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3466</v>
      </c>
      <c r="B342" s="1931"/>
      <c r="C342" s="1931"/>
      <c r="D342" s="1931"/>
      <c r="E342" s="2113">
        <f>'Part II-Development Team'!E139</f>
        <v>0</v>
      </c>
      <c r="F342" s="2113">
        <f>'Part II-Development Team'!F139</f>
        <v>0</v>
      </c>
      <c r="G342" s="2113">
        <f>'Part II-Development Team'!G139</f>
        <v>0</v>
      </c>
      <c r="H342" s="2113">
        <f>'Part II-Development Team'!H139</f>
        <v>0</v>
      </c>
      <c r="I342" s="2352">
        <f>'Part II-Development Team'!I139</f>
        <v>0</v>
      </c>
      <c r="J342" s="2352">
        <f>'Part II-Development Team'!J139</f>
        <v>0</v>
      </c>
      <c r="K342" s="2353">
        <f>'Part II-Development Team'!K139</f>
        <v>0</v>
      </c>
      <c r="L342" s="2354">
        <f>'Part II-Development Team'!L139</f>
        <v>0</v>
      </c>
      <c r="M342" s="2352">
        <f>'Part II-Development Team'!M139</f>
        <v>0</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3467</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3468</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0.99990000000000001</v>
      </c>
      <c r="M344" s="2352" t="str">
        <f>'Part II-Development Team'!M141</f>
        <v>No</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3469</v>
      </c>
      <c r="B345" s="1931"/>
      <c r="C345" s="1931"/>
      <c r="D345" s="1931"/>
      <c r="E345" s="2113" t="str">
        <f>'Part II-Development Team'!E142</f>
        <v>Same as Federal Ltd Partner</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v>
      </c>
      <c r="M345" s="2352" t="str">
        <f>'Part II-Development Team'!M142</f>
        <v>No</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2914</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63.75">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Yes</v>
      </c>
      <c r="K347" s="2353" t="str">
        <f>'Part II-Development Team'!K144</f>
        <v>For Profit</v>
      </c>
      <c r="L347" s="2354">
        <f>'Part II-Development Team'!L144</f>
        <v>0</v>
      </c>
      <c r="M347" s="2352" t="str">
        <f>'Part II-Development Team'!M144</f>
        <v>Yes</v>
      </c>
      <c r="N347" s="2113" t="str">
        <f>'Part II-Development Team'!N144</f>
        <v>Developer is also a member of the general partner</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2915</v>
      </c>
      <c r="B348" s="1931"/>
      <c r="C348" s="1931"/>
      <c r="D348" s="1931"/>
      <c r="E348" s="2113">
        <f>'Part II-Development Team'!E145</f>
        <v>0</v>
      </c>
      <c r="F348" s="2113">
        <f>'Part II-Development Team'!F145</f>
        <v>0</v>
      </c>
      <c r="G348" s="2113">
        <f>'Part II-Development Team'!G145</f>
        <v>0</v>
      </c>
      <c r="H348" s="2113">
        <f>'Part II-Development Team'!H145</f>
        <v>0</v>
      </c>
      <c r="I348" s="2352">
        <f>'Part II-Development Team'!I145</f>
        <v>0</v>
      </c>
      <c r="J348" s="2352">
        <f>'Part II-Development Team'!J145</f>
        <v>0</v>
      </c>
      <c r="K348" s="2353">
        <f>'Part II-Development Team'!K145</f>
        <v>0</v>
      </c>
      <c r="L348" s="2354">
        <f>'Part II-Development Team'!L145</f>
        <v>0</v>
      </c>
      <c r="M348" s="2352">
        <f>'Part II-Development Team'!M145</f>
        <v>0</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2916</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2918</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2917</v>
      </c>
      <c r="B351" s="1931"/>
      <c r="C351" s="1931"/>
      <c r="D351" s="1931"/>
      <c r="E351" s="2113">
        <f>'Part II-Development Team'!E148</f>
        <v>0</v>
      </c>
      <c r="F351" s="2113">
        <f>'Part II-Development Team'!F148</f>
        <v>0</v>
      </c>
      <c r="G351" s="2113">
        <f>'Part II-Development Team'!G148</f>
        <v>0</v>
      </c>
      <c r="H351" s="2113">
        <f>'Part II-Development Team'!H148</f>
        <v>0</v>
      </c>
      <c r="I351" s="2352" t="str">
        <f>'Part II-Development Team'!I148</f>
        <v>No</v>
      </c>
      <c r="J351" s="2352" t="str">
        <f>'Part II-Development Team'!J148</f>
        <v>No</v>
      </c>
      <c r="K351" s="2353" t="str">
        <f>'Part II-Development Team'!K148</f>
        <v>For Profit</v>
      </c>
      <c r="L351" s="2354">
        <f>'Part II-Development Team'!L148</f>
        <v>0</v>
      </c>
      <c r="M351" s="2352" t="str">
        <f>'Part II-Development Team'!M148</f>
        <v>No</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63.75">
      <c r="A352" s="1931" t="s">
        <v>1541</v>
      </c>
      <c r="B352" s="1931"/>
      <c r="C352" s="1931"/>
      <c r="D352" s="1931"/>
      <c r="E352" s="2113" t="str">
        <f>'Part II-Development Team'!E149</f>
        <v>To be determined via negotiated bid during design phase</v>
      </c>
      <c r="F352" s="2113">
        <f>'Part II-Development Team'!F149</f>
        <v>0</v>
      </c>
      <c r="G352" s="2113">
        <f>'Part II-Development Team'!G149</f>
        <v>0</v>
      </c>
      <c r="H352" s="2113">
        <f>'Part II-Development Team'!H149</f>
        <v>0</v>
      </c>
      <c r="I352" s="2352">
        <f>'Part II-Development Team'!I149</f>
        <v>0</v>
      </c>
      <c r="J352" s="2352" t="str">
        <f>'Part II-Development Team'!J149</f>
        <v>Select</v>
      </c>
      <c r="K352" s="2353">
        <f>'Part II-Development Team'!K149</f>
        <v>0</v>
      </c>
      <c r="L352" s="2354">
        <f>'Part II-Development Team'!L149</f>
        <v>0</v>
      </c>
      <c r="M352" s="2352" t="str">
        <f>'Part II-Development Team'!M149</f>
        <v>Select</v>
      </c>
      <c r="N352" s="2113" t="str">
        <f>'Part II-Development Team'!N149</f>
        <v>To be determined via negotiated bid during design phase</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2919</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No</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f>'Part II-Development Team'!A153</f>
        <v>0</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c r="A364" s="1851" t="str">
        <f>CONCATENATE("PART THREE - SOURCES OF FUNDS","  -  ",'Part I-Project Information'!$O$6," ",'Part I-Project Information'!$F$34,", ",'Part I-Project Information'!$F$38,", ",'Part I-Project Information'!$J$39," County")</f>
        <v>PART THREE - SOURCES OF FUNDS  -  2018-0 McIntosh Woods, Newnan, Coweta County</v>
      </c>
      <c r="B364" s="1851"/>
      <c r="C364" s="1851"/>
      <c r="D364" s="1851"/>
      <c r="E364" s="1851"/>
      <c r="F364" s="1851"/>
      <c r="G364" s="1851"/>
      <c r="H364" s="1851"/>
      <c r="I364" s="1851"/>
      <c r="J364" s="1851"/>
      <c r="K364" s="1851"/>
      <c r="L364" s="1851"/>
      <c r="M364" s="1851"/>
      <c r="N364" s="1851"/>
      <c r="O364" s="1851"/>
      <c r="P364" s="1851"/>
      <c r="Q364" s="1851"/>
    </row>
    <row r="365" spans="1:19">
      <c r="A365" s="1876"/>
      <c r="B365" s="1876"/>
      <c r="C365" s="1876"/>
      <c r="D365" s="1876"/>
      <c r="E365" s="1876"/>
      <c r="F365" s="1876"/>
      <c r="G365" s="1854"/>
      <c r="H365" s="1854"/>
      <c r="I365" s="1854"/>
      <c r="J365" s="1854"/>
      <c r="K365" s="1854"/>
      <c r="L365" s="1854"/>
      <c r="M365" s="1876"/>
      <c r="N365" s="1876"/>
      <c r="O365" s="1876"/>
      <c r="P365" s="1876"/>
      <c r="Q365" s="1876"/>
    </row>
    <row r="366" spans="1:19" ht="13.5">
      <c r="A366" s="1851" t="s">
        <v>622</v>
      </c>
      <c r="B366" s="1902" t="s">
        <v>2507</v>
      </c>
      <c r="C366" s="1870"/>
      <c r="D366" s="1870"/>
      <c r="E366" s="1870"/>
      <c r="F366" s="1870"/>
      <c r="G366" s="1870"/>
      <c r="H366" s="1933"/>
      <c r="I366" s="1933"/>
      <c r="J366" s="1870"/>
      <c r="K366" s="1933"/>
      <c r="L366" s="1933"/>
      <c r="M366" s="1933"/>
      <c r="N366" s="1933"/>
      <c r="O366" s="1933"/>
      <c r="P366" s="1933"/>
      <c r="Q366" s="1933"/>
    </row>
    <row r="367" spans="1:19" ht="13.5">
      <c r="A367" s="1902"/>
      <c r="B367" s="1868"/>
      <c r="C367" s="1902"/>
      <c r="D367" s="1870"/>
      <c r="E367" s="1870"/>
      <c r="F367" s="1870"/>
      <c r="G367" s="1870"/>
      <c r="H367" s="1933"/>
      <c r="I367" s="1933"/>
      <c r="J367" s="1933"/>
      <c r="K367" s="1933"/>
      <c r="L367" s="1933"/>
      <c r="M367" s="1933"/>
      <c r="N367" s="1933"/>
      <c r="O367" s="1933"/>
      <c r="P367" s="1933"/>
      <c r="Q367" s="1933"/>
    </row>
    <row r="368" spans="1:19" ht="13.5">
      <c r="A368" s="1868"/>
      <c r="B368" s="1874" t="str">
        <f>'Part III-Sources of Funds'!B5</f>
        <v>Yes</v>
      </c>
      <c r="C368" s="1877" t="s">
        <v>2426</v>
      </c>
      <c r="D368" s="1870"/>
      <c r="E368" s="1933"/>
      <c r="F368" s="1933"/>
      <c r="G368" s="1933"/>
      <c r="H368" s="1874" t="str">
        <f>'Part III-Sources of Funds'!H5</f>
        <v>No</v>
      </c>
      <c r="I368" s="1877" t="s">
        <v>1549</v>
      </c>
      <c r="J368" s="1933"/>
      <c r="K368" s="1933"/>
      <c r="L368" s="1874" t="str">
        <f>'Part III-Sources of Funds'!L5</f>
        <v>No</v>
      </c>
      <c r="M368" s="1870" t="s">
        <v>3926</v>
      </c>
      <c r="N368" s="1933"/>
      <c r="O368" s="1933"/>
      <c r="P368" s="1933"/>
      <c r="Q368" s="1933"/>
    </row>
    <row r="369" spans="1:17" ht="13.5">
      <c r="A369" s="1868"/>
      <c r="B369" s="1874" t="str">
        <f>'Part III-Sources of Funds'!B6</f>
        <v>No</v>
      </c>
      <c r="C369" s="1877" t="s">
        <v>555</v>
      </c>
      <c r="D369" s="1870"/>
      <c r="E369" s="1933"/>
      <c r="F369" s="1933"/>
      <c r="G369" s="1933"/>
      <c r="H369" s="1874" t="str">
        <f>'Part III-Sources of Funds'!H6</f>
        <v>No</v>
      </c>
      <c r="I369" s="1877" t="s">
        <v>554</v>
      </c>
      <c r="J369" s="1933"/>
      <c r="K369" s="1933"/>
      <c r="L369" s="1874" t="str">
        <f>'Part III-Sources of Funds'!L6</f>
        <v>No</v>
      </c>
      <c r="M369" s="1877" t="s">
        <v>2618</v>
      </c>
      <c r="N369" s="1933"/>
      <c r="O369" s="1933"/>
      <c r="P369" s="1933"/>
      <c r="Q369" s="1933"/>
    </row>
    <row r="370" spans="1:17" ht="13.5">
      <c r="A370" s="1870"/>
      <c r="B370" s="1874" t="str">
        <f>'Part III-Sources of Funds'!B7</f>
        <v>Yes</v>
      </c>
      <c r="C370" s="1877" t="s">
        <v>3923</v>
      </c>
      <c r="D370" s="1933"/>
      <c r="E370" s="1933"/>
      <c r="F370" s="1989">
        <f>'Part III-Sources of Funds'!F7</f>
        <v>18000000</v>
      </c>
      <c r="G370" s="1989">
        <f>'Part III-Sources of Funds'!G7</f>
        <v>0</v>
      </c>
      <c r="H370" s="1874" t="str">
        <f>'Part III-Sources of Funds'!H7</f>
        <v>No</v>
      </c>
      <c r="I370" s="1877" t="s">
        <v>3709</v>
      </c>
      <c r="J370" s="1933"/>
      <c r="K370" s="1933"/>
      <c r="L370" s="1874" t="str">
        <f>'Part III-Sources of Funds'!L7</f>
        <v>No</v>
      </c>
      <c r="M370" s="1877" t="s">
        <v>2619</v>
      </c>
      <c r="N370" s="1933"/>
      <c r="O370" s="1933"/>
      <c r="P370" s="1933"/>
      <c r="Q370" s="1933"/>
    </row>
    <row r="371" spans="1:17" ht="13.5">
      <c r="A371" s="1868"/>
      <c r="B371" s="1874" t="str">
        <f>'Part III-Sources of Funds'!B8</f>
        <v>No</v>
      </c>
      <c r="C371" s="1877" t="s">
        <v>1816</v>
      </c>
      <c r="D371" s="1870"/>
      <c r="E371" s="1933"/>
      <c r="F371" s="1933"/>
      <c r="G371" s="1933"/>
      <c r="H371" s="1874" t="str">
        <f>'Part III-Sources of Funds'!H8</f>
        <v>No</v>
      </c>
      <c r="I371" s="1870" t="s">
        <v>2627</v>
      </c>
      <c r="J371" s="1933"/>
      <c r="K371" s="1933"/>
      <c r="L371" s="1874" t="str">
        <f>'Part III-Sources of Funds'!L8</f>
        <v>No</v>
      </c>
      <c r="M371" s="1877" t="s">
        <v>3714</v>
      </c>
      <c r="N371" s="1933"/>
      <c r="O371" s="1933"/>
      <c r="P371" s="1933"/>
      <c r="Q371" s="1933"/>
    </row>
    <row r="372" spans="1:17" ht="13.5">
      <c r="A372" s="1868"/>
      <c r="B372" s="1874" t="str">
        <f>'Part III-Sources of Funds'!B9</f>
        <v>No</v>
      </c>
      <c r="C372" s="1877" t="s">
        <v>556</v>
      </c>
      <c r="D372" s="1933"/>
      <c r="E372" s="1933"/>
      <c r="F372" s="1933"/>
      <c r="G372" s="1933"/>
      <c r="H372" s="1874" t="str">
        <f>'Part III-Sources of Funds'!H9</f>
        <v>No</v>
      </c>
      <c r="I372" s="1870" t="s">
        <v>2625</v>
      </c>
      <c r="J372" s="1933"/>
      <c r="K372" s="1933"/>
      <c r="L372" s="1874" t="str">
        <f>'Part III-Sources of Funds'!L9</f>
        <v>No</v>
      </c>
      <c r="M372" s="1877" t="s">
        <v>2626</v>
      </c>
      <c r="N372" s="1933"/>
      <c r="O372" s="1933"/>
      <c r="P372" s="1933"/>
      <c r="Q372" s="1933"/>
    </row>
    <row r="373" spans="1:17" ht="13.5">
      <c r="A373" s="1868"/>
      <c r="B373" s="1874" t="str">
        <f>'Part III-Sources of Funds'!B10</f>
        <v>No</v>
      </c>
      <c r="C373" s="1877" t="s">
        <v>3924</v>
      </c>
      <c r="D373" s="1933"/>
      <c r="E373" s="1933"/>
      <c r="F373" s="1933"/>
      <c r="G373" s="1934"/>
      <c r="H373" s="1874" t="str">
        <f>'Part III-Sources of Funds'!H10</f>
        <v>No</v>
      </c>
      <c r="I373" s="1870" t="s">
        <v>3750</v>
      </c>
      <c r="J373" s="1905"/>
      <c r="K373" s="1905"/>
      <c r="L373" s="1874" t="str">
        <f>'Part III-Sources of Funds'!L10</f>
        <v>No</v>
      </c>
      <c r="M373" s="1877" t="s">
        <v>3752</v>
      </c>
      <c r="N373" s="1933"/>
      <c r="O373" s="1933" t="str">
        <f>'Part III-Sources of Funds'!O10</f>
        <v>Specify Other PBRA Source here</v>
      </c>
      <c r="P373" s="1933">
        <f>'Part III-Sources of Funds'!P10</f>
        <v>0</v>
      </c>
      <c r="Q373" s="1933">
        <f>'Part III-Sources of Funds'!Q10</f>
        <v>0</v>
      </c>
    </row>
    <row r="374" spans="1:17" ht="13.5">
      <c r="A374" s="1868"/>
      <c r="B374" s="1874" t="str">
        <f>'Part III-Sources of Funds'!B11</f>
        <v>No</v>
      </c>
      <c r="C374" s="1877" t="s">
        <v>4570</v>
      </c>
      <c r="D374" s="1870"/>
      <c r="E374" s="2355">
        <f>'Part III-Sources of Funds'!E11</f>
        <v>0</v>
      </c>
      <c r="F374" s="2334">
        <f>'Part III-Sources of Funds'!F11</f>
        <v>0</v>
      </c>
      <c r="G374" s="1933"/>
      <c r="H374" s="1874" t="str">
        <f>'Part III-Sources of Funds'!H11</f>
        <v>No</v>
      </c>
      <c r="I374" s="1870" t="s">
        <v>3755</v>
      </c>
      <c r="J374" s="1933"/>
      <c r="K374" s="1933"/>
      <c r="L374" s="1874" t="str">
        <f>'Part III-Sources of Funds'!L11</f>
        <v>No</v>
      </c>
      <c r="M374" s="1870" t="s">
        <v>3648</v>
      </c>
      <c r="N374" s="1933"/>
      <c r="O374" s="1933"/>
      <c r="P374" s="1933"/>
      <c r="Q374" s="1933"/>
    </row>
    <row r="375" spans="1:17" ht="13.5">
      <c r="A375" s="1868"/>
      <c r="B375" s="1874" t="str">
        <f>'Part III-Sources of Funds'!B12</f>
        <v>No</v>
      </c>
      <c r="C375" s="1877" t="s">
        <v>4571</v>
      </c>
      <c r="D375" s="1933"/>
      <c r="E375" s="2355">
        <f>'Part III-Sources of Funds'!E12</f>
        <v>0</v>
      </c>
      <c r="F375" s="2334">
        <f>'Part III-Sources of Funds'!F12</f>
        <v>0</v>
      </c>
      <c r="G375" s="1933"/>
      <c r="H375" s="1874" t="str">
        <f>'Part III-Sources of Funds'!H12</f>
        <v>No</v>
      </c>
      <c r="I375" s="1915" t="s">
        <v>2814</v>
      </c>
      <c r="J375" s="1915"/>
      <c r="K375" s="1915"/>
      <c r="L375" s="1874" t="str">
        <f>'Part III-Sources of Funds'!L12</f>
        <v>No</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5">
      <c r="A376" s="1868"/>
      <c r="B376" s="1933"/>
      <c r="C376" s="1933" t="s">
        <v>3751</v>
      </c>
      <c r="D376" s="1933"/>
      <c r="E376" s="1933" t="str">
        <f>'Part III-Sources of Funds'!E13</f>
        <v>Specify Other HOME Source here</v>
      </c>
      <c r="F376" s="1933">
        <f>'Part III-Sources of Funds'!F13</f>
        <v>0</v>
      </c>
      <c r="G376" s="1933">
        <f>'Part III-Sources of Funds'!G13</f>
        <v>0</v>
      </c>
      <c r="H376" s="1874" t="str">
        <f>'Part III-Sources of Funds'!H13</f>
        <v>No</v>
      </c>
      <c r="I376" s="1877" t="s">
        <v>3925</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5">
      <c r="A377" s="1868"/>
      <c r="B377" s="1933" t="s">
        <v>3715</v>
      </c>
      <c r="C377" s="1870"/>
      <c r="D377" s="1870"/>
      <c r="E377" s="1870"/>
      <c r="F377" s="1870"/>
      <c r="G377" s="1870"/>
      <c r="H377" s="1870"/>
      <c r="I377" s="1870"/>
      <c r="J377" s="1870"/>
      <c r="K377" s="1870"/>
      <c r="L377" s="1870"/>
      <c r="M377" s="1888"/>
      <c r="N377" s="1870"/>
      <c r="O377" s="1870"/>
      <c r="P377" s="1870"/>
      <c r="Q377" s="1870"/>
    </row>
    <row r="378" spans="1:17" ht="13.5">
      <c r="A378" s="1868"/>
      <c r="B378" s="1933"/>
      <c r="C378" s="1933"/>
      <c r="D378" s="1933"/>
      <c r="E378" s="1933"/>
      <c r="F378" s="1933"/>
      <c r="G378" s="1933"/>
      <c r="H378" s="1933"/>
      <c r="I378" s="1933"/>
      <c r="J378" s="1933"/>
      <c r="K378" s="1933"/>
      <c r="L378" s="1870"/>
      <c r="M378" s="1888"/>
      <c r="N378" s="1870"/>
      <c r="O378" s="1870"/>
      <c r="P378" s="1870"/>
      <c r="Q378" s="1870"/>
    </row>
    <row r="379" spans="1:17" ht="13.5">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5">
      <c r="A380" s="1851"/>
      <c r="B380" s="1871"/>
      <c r="C380" s="1870"/>
      <c r="D380" s="1921"/>
      <c r="E380" s="1921"/>
      <c r="F380" s="1921"/>
      <c r="G380" s="1921"/>
      <c r="H380" s="1921"/>
      <c r="I380" s="1921"/>
      <c r="J380" s="1921"/>
      <c r="K380" s="1870"/>
      <c r="L380" s="1870"/>
      <c r="M380" s="1870"/>
      <c r="N380" s="1874"/>
      <c r="O380" s="1874"/>
      <c r="P380" s="1870"/>
      <c r="Q380" s="1870"/>
    </row>
    <row r="381" spans="1:17">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c r="A382" s="1870"/>
      <c r="B382" s="1870" t="s">
        <v>1603</v>
      </c>
      <c r="C382" s="1870"/>
      <c r="D382" s="1870"/>
      <c r="E382" s="1870"/>
      <c r="F382" s="1870"/>
      <c r="G382" s="1870"/>
      <c r="H382" s="1926" t="str">
        <f>'Part III-Sources of Funds'!H19</f>
        <v>Bank of America</v>
      </c>
      <c r="I382" s="1926">
        <f>'Part III-Sources of Funds'!I19</f>
        <v>0</v>
      </c>
      <c r="J382" s="1926">
        <f>'Part III-Sources of Funds'!J19</f>
        <v>0</v>
      </c>
      <c r="K382" s="1926">
        <f>'Part III-Sources of Funds'!K19</f>
        <v>0</v>
      </c>
      <c r="L382" s="1952">
        <f>'Part III-Sources of Funds'!L19</f>
        <v>14700000</v>
      </c>
      <c r="M382" s="1952">
        <f>'Part III-Sources of Funds'!M19</f>
        <v>0</v>
      </c>
      <c r="N382" s="1935">
        <f>'Part III-Sources of Funds'!N19</f>
        <v>5.2499999999999998E-2</v>
      </c>
      <c r="O382" s="1935">
        <f>'Part III-Sources of Funds'!O19</f>
        <v>0</v>
      </c>
      <c r="P382" s="2007">
        <f>'Part III-Sources of Funds'!P19</f>
        <v>18</v>
      </c>
      <c r="Q382" s="2007">
        <f>'Part III-Sources of Funds'!Q19</f>
        <v>0</v>
      </c>
    </row>
    <row r="383" spans="1:17">
      <c r="A383" s="1870"/>
      <c r="B383" s="1870" t="s">
        <v>1604</v>
      </c>
      <c r="C383" s="1870"/>
      <c r="D383" s="1870"/>
      <c r="E383" s="1870"/>
      <c r="F383" s="1870"/>
      <c r="G383" s="1870"/>
      <c r="H383" s="1926">
        <f>'Part III-Sources of Funds'!H20</f>
        <v>0</v>
      </c>
      <c r="I383" s="1926">
        <f>'Part III-Sources of Funds'!I20</f>
        <v>0</v>
      </c>
      <c r="J383" s="1926">
        <f>'Part III-Sources of Funds'!J20</f>
        <v>0</v>
      </c>
      <c r="K383" s="1926">
        <f>'Part III-Sources of Funds'!K20</f>
        <v>0</v>
      </c>
      <c r="L383" s="1952">
        <f>'Part III-Sources of Funds'!L20</f>
        <v>0</v>
      </c>
      <c r="M383" s="1952">
        <f>'Part III-Sources of Funds'!M20</f>
        <v>0</v>
      </c>
      <c r="N383" s="1935">
        <f>'Part III-Sources of Funds'!N20</f>
        <v>0</v>
      </c>
      <c r="O383" s="1935">
        <f>'Part III-Sources of Funds'!O20</f>
        <v>0</v>
      </c>
      <c r="P383" s="2007">
        <f>'Part III-Sources of Funds'!P20</f>
        <v>0</v>
      </c>
      <c r="Q383" s="2007">
        <f>'Part III-Sources of Funds'!Q20</f>
        <v>0</v>
      </c>
    </row>
    <row r="384" spans="1:17">
      <c r="A384" s="1870"/>
      <c r="B384" s="1870" t="s">
        <v>1605</v>
      </c>
      <c r="C384" s="1870"/>
      <c r="D384" s="1870"/>
      <c r="E384" s="1870"/>
      <c r="F384" s="1870"/>
      <c r="G384" s="1870"/>
      <c r="H384" s="1926">
        <f>'Part III-Sources of Funds'!H21</f>
        <v>0</v>
      </c>
      <c r="I384" s="1926">
        <f>'Part III-Sources of Funds'!I21</f>
        <v>0</v>
      </c>
      <c r="J384" s="1926">
        <f>'Part III-Sources of Funds'!J21</f>
        <v>0</v>
      </c>
      <c r="K384" s="1926">
        <f>'Part III-Sources of Funds'!K21</f>
        <v>0</v>
      </c>
      <c r="L384" s="1952">
        <f>'Part III-Sources of Funds'!L21</f>
        <v>0</v>
      </c>
      <c r="M384" s="1952">
        <f>'Part III-Sources of Funds'!M21</f>
        <v>0</v>
      </c>
      <c r="N384" s="1935">
        <f>'Part III-Sources of Funds'!N21</f>
        <v>0</v>
      </c>
      <c r="O384" s="1935">
        <f>'Part III-Sources of Funds'!O21</f>
        <v>0</v>
      </c>
      <c r="P384" s="2007">
        <f>'Part III-Sources of Funds'!P21</f>
        <v>0</v>
      </c>
      <c r="Q384" s="2007">
        <f>'Part III-Sources of Funds'!Q21</f>
        <v>0</v>
      </c>
    </row>
    <row r="385" spans="1:17">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5">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5">
      <c r="A387" s="1870"/>
      <c r="B387" s="1870" t="s">
        <v>647</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13.5">
      <c r="A388" s="1870"/>
      <c r="B388" s="1870" t="s">
        <v>810</v>
      </c>
      <c r="C388" s="1870"/>
      <c r="D388" s="1870"/>
      <c r="E388" s="1870"/>
      <c r="F388" s="1933"/>
      <c r="G388" s="1933"/>
      <c r="H388" s="1926" t="str">
        <f>'Part III-Sources of Funds'!H25</f>
        <v>Bank of America</v>
      </c>
      <c r="I388" s="1926">
        <f>'Part III-Sources of Funds'!I25</f>
        <v>0</v>
      </c>
      <c r="J388" s="1926">
        <f>'Part III-Sources of Funds'!J25</f>
        <v>0</v>
      </c>
      <c r="K388" s="1926">
        <f>'Part III-Sources of Funds'!K25</f>
        <v>0</v>
      </c>
      <c r="L388" s="1952">
        <f>'Part III-Sources of Funds'!L25</f>
        <v>1498994.2000000002</v>
      </c>
      <c r="M388" s="1952">
        <f>'Part III-Sources of Funds'!M25</f>
        <v>0</v>
      </c>
      <c r="N388" s="1870"/>
      <c r="O388" s="1870"/>
      <c r="P388" s="1870"/>
      <c r="Q388" s="1870"/>
    </row>
    <row r="389" spans="1:17" ht="13.5">
      <c r="A389" s="1870"/>
      <c r="B389" s="1870" t="s">
        <v>811</v>
      </c>
      <c r="C389" s="1870"/>
      <c r="D389" s="1870"/>
      <c r="E389" s="1870"/>
      <c r="F389" s="1933"/>
      <c r="G389" s="1933"/>
      <c r="H389" s="1926" t="str">
        <f>'Part III-Sources of Funds'!H26</f>
        <v>Bank of America</v>
      </c>
      <c r="I389" s="1926">
        <f>'Part III-Sources of Funds'!I26</f>
        <v>0</v>
      </c>
      <c r="J389" s="1926">
        <f>'Part III-Sources of Funds'!J26</f>
        <v>0</v>
      </c>
      <c r="K389" s="1926">
        <f>'Part III-Sources of Funds'!K26</f>
        <v>0</v>
      </c>
      <c r="L389" s="1952">
        <f>'Part III-Sources of Funds'!L26</f>
        <v>887159.8</v>
      </c>
      <c r="M389" s="1952">
        <f>'Part III-Sources of Funds'!M26</f>
        <v>0</v>
      </c>
      <c r="N389" s="1870"/>
      <c r="O389" s="1933"/>
      <c r="P389" s="1933"/>
      <c r="Q389" s="1870"/>
    </row>
    <row r="390" spans="1:17" ht="13.5">
      <c r="A390" s="1870"/>
      <c r="B390" s="1870" t="s">
        <v>244</v>
      </c>
      <c r="C390" s="1870"/>
      <c r="D390" s="1926">
        <f>'Part III-Sources of Funds'!D27</f>
        <v>0</v>
      </c>
      <c r="E390" s="1926">
        <f>'Part III-Sources of Funds'!E27</f>
        <v>0</v>
      </c>
      <c r="F390" s="1926">
        <f>'Part III-Sources of Funds'!F27</f>
        <v>0</v>
      </c>
      <c r="G390" s="1926">
        <f>'Part III-Sources of Funds'!G27</f>
        <v>0</v>
      </c>
      <c r="H390" s="1926">
        <f>'Part III-Sources of Funds'!H27</f>
        <v>0</v>
      </c>
      <c r="I390" s="1926">
        <f>'Part III-Sources of Funds'!I27</f>
        <v>0</v>
      </c>
      <c r="J390" s="1926">
        <f>'Part III-Sources of Funds'!J27</f>
        <v>0</v>
      </c>
      <c r="K390" s="1926">
        <f>'Part III-Sources of Funds'!K27</f>
        <v>0</v>
      </c>
      <c r="L390" s="1952">
        <f>'Part III-Sources of Funds'!L27</f>
        <v>0</v>
      </c>
      <c r="M390" s="1952">
        <f>'Part III-Sources of Funds'!M27</f>
        <v>0</v>
      </c>
      <c r="N390" s="1870"/>
      <c r="O390" s="1933"/>
      <c r="P390" s="1933"/>
      <c r="Q390" s="1870"/>
    </row>
    <row r="391" spans="1:17" ht="13.5">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5">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5">
      <c r="A393" s="1870"/>
      <c r="B393" s="1871" t="s">
        <v>1310</v>
      </c>
      <c r="C393" s="1870"/>
      <c r="D393" s="1870"/>
      <c r="E393" s="1870"/>
      <c r="F393" s="1870"/>
      <c r="G393" s="1870"/>
      <c r="H393" s="1870"/>
      <c r="I393" s="1870"/>
      <c r="J393" s="1933"/>
      <c r="K393" s="1933"/>
      <c r="L393" s="1936">
        <f>SUM(L382:L392)</f>
        <v>17086154</v>
      </c>
      <c r="M393" s="1936"/>
      <c r="N393" s="1876"/>
      <c r="O393" s="1933"/>
      <c r="P393" s="1933"/>
      <c r="Q393" s="1933"/>
    </row>
    <row r="394" spans="1:17" ht="13.5">
      <c r="A394" s="1870"/>
      <c r="B394" s="1877" t="s">
        <v>1311</v>
      </c>
      <c r="C394" s="1870"/>
      <c r="D394" s="1870"/>
      <c r="E394" s="1870"/>
      <c r="F394" s="1870"/>
      <c r="G394" s="1870"/>
      <c r="H394" s="1870"/>
      <c r="I394" s="1870"/>
      <c r="J394" s="1933"/>
      <c r="K394" s="1933"/>
      <c r="L394" s="1936">
        <f>'Part III-Sources of Funds'!L31</f>
        <v>16929928.684210528</v>
      </c>
      <c r="M394" s="1936">
        <f>'Part III-Sources of Funds'!M31</f>
        <v>0</v>
      </c>
      <c r="N394" s="1881"/>
      <c r="O394" s="1933"/>
      <c r="P394" s="1933"/>
      <c r="Q394" s="1933"/>
    </row>
    <row r="395" spans="1:17" ht="13.5">
      <c r="A395" s="1870"/>
      <c r="B395" s="1877" t="s">
        <v>2173</v>
      </c>
      <c r="C395" s="1870"/>
      <c r="D395" s="1870"/>
      <c r="E395" s="1870"/>
      <c r="F395" s="1870"/>
      <c r="G395" s="1870"/>
      <c r="H395" s="1870"/>
      <c r="I395" s="1870"/>
      <c r="J395" s="1933"/>
      <c r="K395" s="1933"/>
      <c r="L395" s="1937">
        <f>L393-L394</f>
        <v>156225.31578947231</v>
      </c>
      <c r="M395" s="1937"/>
      <c r="N395" s="1881"/>
      <c r="O395" s="1933"/>
      <c r="P395" s="1933"/>
      <c r="Q395" s="1933"/>
    </row>
    <row r="396" spans="1:17" ht="13.5">
      <c r="A396" s="1902"/>
      <c r="B396" s="1871"/>
      <c r="C396" s="1876"/>
      <c r="D396" s="1876"/>
      <c r="E396" s="1876"/>
      <c r="F396" s="1876"/>
      <c r="G396" s="1876"/>
      <c r="H396" s="1876"/>
      <c r="I396" s="1876"/>
      <c r="J396" s="1876"/>
      <c r="K396" s="1876"/>
      <c r="L396" s="1876"/>
      <c r="M396" s="1874"/>
      <c r="N396" s="1874"/>
      <c r="O396" s="1938"/>
      <c r="P396" s="1938"/>
      <c r="Q396" s="1938"/>
    </row>
    <row r="397" spans="1:17" ht="13.5">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25.5">
      <c r="A400" s="1870"/>
      <c r="B400" s="1870" t="s">
        <v>2631</v>
      </c>
      <c r="C400" s="1870"/>
      <c r="D400" s="1870"/>
      <c r="E400" s="1926" t="str">
        <f>'Part III-Sources of Funds'!E37</f>
        <v>Bank of America</v>
      </c>
      <c r="F400" s="1926">
        <f>'Part III-Sources of Funds'!F37</f>
        <v>0</v>
      </c>
      <c r="G400" s="1926">
        <f>'Part III-Sources of Funds'!G37</f>
        <v>0</v>
      </c>
      <c r="H400" s="1926">
        <f>'Part III-Sources of Funds'!H37</f>
        <v>0</v>
      </c>
      <c r="I400" s="2002">
        <f>'Part III-Sources of Funds'!I37</f>
        <v>8510787</v>
      </c>
      <c r="J400" s="1870">
        <f>'Part III-Sources of Funds'!J37</f>
        <v>0</v>
      </c>
      <c r="K400" s="1939">
        <f>'Part III-Sources of Funds'!K37</f>
        <v>5.5E-2</v>
      </c>
      <c r="L400" s="1874">
        <f>'Part III-Sources of Funds'!L37</f>
        <v>18</v>
      </c>
      <c r="M400" s="1874">
        <f>'Part III-Sources of Funds'!M37</f>
        <v>35</v>
      </c>
      <c r="N400" s="1940">
        <f>'Part III-Sources of Funds'!N37</f>
        <v>548451.74015953718</v>
      </c>
      <c r="O400" s="1940">
        <f>'Part III-Sources of Funds'!O37</f>
        <v>0</v>
      </c>
      <c r="P400" s="1870" t="str">
        <f>'Part III-Sources of Funds'!P37</f>
        <v>Amortizing</v>
      </c>
      <c r="Q400" s="1870">
        <f>'Part III-Sources of Funds'!Q37</f>
        <v>0</v>
      </c>
    </row>
    <row r="401" spans="1:17">
      <c r="A401" s="1870"/>
      <c r="B401" s="1870" t="s">
        <v>2632</v>
      </c>
      <c r="C401" s="1870"/>
      <c r="D401" s="1870"/>
      <c r="E401" s="1926">
        <f>'Part III-Sources of Funds'!E38</f>
        <v>0</v>
      </c>
      <c r="F401" s="1926">
        <f>'Part III-Sources of Funds'!F38</f>
        <v>0</v>
      </c>
      <c r="G401" s="1926">
        <f>'Part III-Sources of Funds'!G38</f>
        <v>0</v>
      </c>
      <c r="H401" s="1926">
        <f>'Part III-Sources of Funds'!H38</f>
        <v>0</v>
      </c>
      <c r="I401" s="2002">
        <f>'Part III-Sources of Funds'!I38</f>
        <v>0</v>
      </c>
      <c r="J401" s="1870">
        <f>'Part III-Sources of Funds'!J38</f>
        <v>0</v>
      </c>
      <c r="K401" s="1939">
        <f>'Part III-Sources of Funds'!K38</f>
        <v>0</v>
      </c>
      <c r="L401" s="1874">
        <f>'Part III-Sources of Funds'!L38</f>
        <v>0</v>
      </c>
      <c r="M401" s="1874">
        <f>'Part III-Sources of Funds'!M38</f>
        <v>0</v>
      </c>
      <c r="N401" s="1940" t="str">
        <f>'Part III-Sources of Funds'!N38</f>
        <v/>
      </c>
      <c r="O401" s="1940">
        <f>'Part III-Sources of Funds'!O38</f>
        <v>0</v>
      </c>
      <c r="P401" s="1870">
        <f>'Part III-Sources of Funds'!P38</f>
        <v>0</v>
      </c>
      <c r="Q401" s="1870">
        <f>'Part III-Sources of Funds'!Q38</f>
        <v>0</v>
      </c>
    </row>
    <row r="402" spans="1:17">
      <c r="A402" s="1870"/>
      <c r="B402" s="1870" t="s">
        <v>2633</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38.25">
      <c r="A405" s="1870"/>
      <c r="B405" s="1870" t="s">
        <v>230</v>
      </c>
      <c r="C405" s="1870"/>
      <c r="D405" s="1941">
        <f>'Part III-Sources of Funds'!D42</f>
        <v>0.10565707163752135</v>
      </c>
      <c r="E405" s="1926" t="str">
        <f>'Part III-Sources of Funds'!E42</f>
        <v>Oracle Consulting Services</v>
      </c>
      <c r="F405" s="1926">
        <f>'Part III-Sources of Funds'!F42</f>
        <v>0</v>
      </c>
      <c r="G405" s="1926">
        <f>'Part III-Sources of Funds'!G42</f>
        <v>0</v>
      </c>
      <c r="H405" s="1926">
        <f>'Part III-Sources of Funds'!H42</f>
        <v>0</v>
      </c>
      <c r="I405" s="2002">
        <f>'Part III-Sources of Funds'!I42</f>
        <v>264667</v>
      </c>
      <c r="J405" s="1870">
        <f>'Part III-Sources of Funds'!J42</f>
        <v>0</v>
      </c>
      <c r="K405" s="1939">
        <f>'Part III-Sources of Funds'!K42</f>
        <v>0</v>
      </c>
      <c r="L405" s="1874">
        <f>'Part III-Sources of Funds'!L42</f>
        <v>0</v>
      </c>
      <c r="M405" s="1874">
        <f>'Part III-Sources of Funds'!M42</f>
        <v>0</v>
      </c>
      <c r="N405" s="1940">
        <f>'Part III-Sources of Funds'!N42</f>
        <v>109690.34304046282</v>
      </c>
      <c r="O405" s="1940">
        <f>'Part III-Sources of Funds'!O42</f>
        <v>0</v>
      </c>
      <c r="P405" s="1870">
        <f>'Part III-Sources of Funds'!P42</f>
        <v>0</v>
      </c>
      <c r="Q405" s="1870">
        <f>'Part III-Sources of Funds'!Q42</f>
        <v>0</v>
      </c>
    </row>
    <row r="406" spans="1:17" ht="13.5">
      <c r="A406" s="1870"/>
      <c r="B406" s="1870"/>
      <c r="C406" s="1870"/>
      <c r="D406" s="1870"/>
      <c r="E406" s="1870"/>
      <c r="F406" s="1870"/>
      <c r="G406" s="1870"/>
      <c r="H406" s="1870"/>
      <c r="I406" s="2356"/>
      <c r="J406" s="1950"/>
      <c r="K406" s="1939"/>
      <c r="L406" s="1874"/>
      <c r="M406" s="1874"/>
      <c r="N406" s="2357"/>
      <c r="O406" s="2357"/>
      <c r="P406" s="1874"/>
      <c r="Q406" s="1874"/>
    </row>
    <row r="407" spans="1:17" ht="13.5">
      <c r="A407" s="1870"/>
      <c r="B407" s="1933" t="s">
        <v>4244</v>
      </c>
      <c r="C407" s="1870"/>
      <c r="D407" s="1933"/>
      <c r="E407" s="1933" t="s">
        <v>4138</v>
      </c>
      <c r="F407" s="1942" t="e">
        <f>'Part III-Sources of Funds'!F44</f>
        <v>#N/A</v>
      </c>
      <c r="G407" s="1933"/>
      <c r="H407" s="1934" t="s">
        <v>4243</v>
      </c>
      <c r="I407" s="1942" t="e">
        <f>'Part III-Sources of Funds'!I44</f>
        <v>#N/A</v>
      </c>
      <c r="J407" s="1933"/>
      <c r="K407" s="1939"/>
      <c r="L407" s="1874"/>
      <c r="M407" s="1874"/>
      <c r="N407" s="2357"/>
      <c r="O407" s="2357"/>
      <c r="P407" s="1874"/>
      <c r="Q407" s="1874"/>
    </row>
    <row r="408" spans="1:17" ht="13.5">
      <c r="A408" s="1870"/>
      <c r="B408" s="1933" t="s">
        <v>4572</v>
      </c>
      <c r="C408" s="1870"/>
      <c r="D408" s="1941"/>
      <c r="E408" s="1933"/>
      <c r="F408" s="1943">
        <f>'Part III-Sources of Funds'!F45</f>
        <v>1</v>
      </c>
      <c r="G408" s="1943">
        <f>'Part III-Sources of Funds'!G45</f>
        <v>0</v>
      </c>
      <c r="H408" s="1934" t="s">
        <v>4245</v>
      </c>
      <c r="I408" s="1943" t="e">
        <f>'Part III-Sources of Funds'!I45</f>
        <v>#N/A</v>
      </c>
      <c r="J408" s="1943">
        <f>'Part III-Sources of Funds'!J45</f>
        <v>0</v>
      </c>
      <c r="K408" s="1939"/>
      <c r="L408" s="1874"/>
      <c r="M408" s="1874"/>
      <c r="N408" s="2357"/>
      <c r="O408" s="2357"/>
      <c r="P408" s="1874"/>
      <c r="Q408" s="1874"/>
    </row>
    <row r="409" spans="1:17" ht="13.5">
      <c r="A409" s="1870"/>
      <c r="B409" s="1870"/>
      <c r="C409" s="1870"/>
      <c r="D409" s="1870"/>
      <c r="E409" s="1870"/>
      <c r="F409" s="1870"/>
      <c r="G409" s="1870"/>
      <c r="H409" s="1870"/>
      <c r="I409" s="2356"/>
      <c r="J409" s="1950"/>
      <c r="K409" s="1939"/>
      <c r="L409" s="1874"/>
      <c r="M409" s="1874"/>
      <c r="N409" s="2357"/>
      <c r="O409" s="2357"/>
      <c r="P409" s="1874"/>
      <c r="Q409" s="1874"/>
    </row>
    <row r="410" spans="1:17">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5">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25.5">
      <c r="A412" s="1870"/>
      <c r="B412" s="1870" t="s">
        <v>810</v>
      </c>
      <c r="C412" s="1870"/>
      <c r="D412" s="1870"/>
      <c r="E412" s="1926" t="str">
        <f>'Part III-Sources of Funds'!E49</f>
        <v>Bank of America</v>
      </c>
      <c r="F412" s="1926">
        <f>'Part III-Sources of Funds'!F49</f>
        <v>0</v>
      </c>
      <c r="G412" s="1926">
        <f>'Part III-Sources of Funds'!G49</f>
        <v>0</v>
      </c>
      <c r="H412" s="1926">
        <f>'Part III-Sources of Funds'!H49</f>
        <v>0</v>
      </c>
      <c r="I412" s="2002">
        <f>'Part III-Sources of Funds'!I49</f>
        <v>7494971</v>
      </c>
      <c r="J412" s="1870">
        <f>'Part III-Sources of Funds'!J49</f>
        <v>0</v>
      </c>
      <c r="K412" s="1933"/>
      <c r="L412" s="1946">
        <f>'Part IV-A-Uses of Funds'!$J$175*10*'Part IV-A-Uses of Funds'!$N$168</f>
        <v>7494971.3999999994</v>
      </c>
      <c r="M412" s="1946"/>
      <c r="N412" s="1947">
        <f>I412-L412</f>
        <v>-0.39999999944120646</v>
      </c>
      <c r="O412" s="1947"/>
      <c r="P412" s="1948" t="s">
        <v>2577</v>
      </c>
      <c r="Q412" s="1870"/>
    </row>
    <row r="413" spans="1:17" ht="25.5">
      <c r="A413" s="1870"/>
      <c r="B413" s="1870" t="s">
        <v>811</v>
      </c>
      <c r="C413" s="1870"/>
      <c r="D413" s="1870"/>
      <c r="E413" s="1926" t="str">
        <f>'Part III-Sources of Funds'!E50</f>
        <v>Bank of America</v>
      </c>
      <c r="F413" s="1926">
        <f>'Part III-Sources of Funds'!F50</f>
        <v>0</v>
      </c>
      <c r="G413" s="1926">
        <f>'Part III-Sources of Funds'!G50</f>
        <v>0</v>
      </c>
      <c r="H413" s="1926">
        <f>'Part III-Sources of Funds'!H50</f>
        <v>0</v>
      </c>
      <c r="I413" s="2002">
        <f>'Part III-Sources of Funds'!I50</f>
        <v>4435799</v>
      </c>
      <c r="J413" s="1870">
        <f>'Part III-Sources of Funds'!J50</f>
        <v>0</v>
      </c>
      <c r="K413" s="1933"/>
      <c r="L413" s="1946">
        <f>'Part IV-A-Uses of Funds'!$J$175*10*'Part IV-A-Uses of Funds'!$Q$168</f>
        <v>4435799.3999999994</v>
      </c>
      <c r="M413" s="1946"/>
      <c r="N413" s="1947">
        <f>I413-L413</f>
        <v>-0.39999999944120646</v>
      </c>
      <c r="O413" s="1947"/>
      <c r="P413" s="1949">
        <f>I412/I422</f>
        <v>0.36196706421423608</v>
      </c>
      <c r="Q413" s="1870"/>
    </row>
    <row r="414" spans="1:17" ht="13.5">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0.2142253974664404</v>
      </c>
      <c r="Q414" s="1870"/>
    </row>
    <row r="415" spans="1:17" ht="13.5">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0.5761924616806765</v>
      </c>
      <c r="Q415" s="1870"/>
    </row>
    <row r="416" spans="1:17" ht="13.5">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5">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13.5">
      <c r="A418" s="1870"/>
      <c r="B418" s="1870" t="s">
        <v>749</v>
      </c>
      <c r="C418" s="1926">
        <f>'Part III-Sources of Funds'!C55</f>
        <v>0</v>
      </c>
      <c r="D418" s="1926">
        <f>'Part III-Sources of Funds'!D55</f>
        <v>0</v>
      </c>
      <c r="E418" s="1926">
        <f>'Part III-Sources of Funds'!E55</f>
        <v>0</v>
      </c>
      <c r="F418" s="1926">
        <f>'Part III-Sources of Funds'!F55</f>
        <v>0</v>
      </c>
      <c r="G418" s="1926">
        <f>'Part III-Sources of Funds'!G55</f>
        <v>0</v>
      </c>
      <c r="H418" s="1926">
        <f>'Part III-Sources of Funds'!H55</f>
        <v>0</v>
      </c>
      <c r="I418" s="2002">
        <f>'Part III-Sources of Funds'!I55</f>
        <v>0</v>
      </c>
      <c r="J418" s="1870">
        <f>'Part III-Sources of Funds'!J55</f>
        <v>0</v>
      </c>
      <c r="K418" s="1933"/>
      <c r="L418" s="1933"/>
      <c r="M418" s="1926"/>
      <c r="N418" s="1926"/>
      <c r="O418" s="1926"/>
      <c r="P418" s="1926"/>
      <c r="Q418" s="1870"/>
    </row>
    <row r="419" spans="1:17">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5">
      <c r="A421" s="1870"/>
      <c r="B421" s="1877" t="s">
        <v>2232</v>
      </c>
      <c r="C421" s="1870"/>
      <c r="D421" s="1870"/>
      <c r="E421" s="1870"/>
      <c r="F421" s="1870"/>
      <c r="G421" s="1870"/>
      <c r="H421" s="1933"/>
      <c r="I421" s="1936">
        <f>SUM(I400:J405)+SUM(I410:J420)</f>
        <v>20706224</v>
      </c>
      <c r="J421" s="1936"/>
      <c r="K421" s="1870"/>
      <c r="L421" s="1874"/>
      <c r="M421" s="1926"/>
      <c r="N421" s="1926"/>
      <c r="O421" s="1926"/>
      <c r="P421" s="1926"/>
      <c r="Q421" s="1870"/>
    </row>
    <row r="422" spans="1:17" ht="13.5">
      <c r="A422" s="1870"/>
      <c r="B422" s="1877" t="s">
        <v>2233</v>
      </c>
      <c r="C422" s="1870"/>
      <c r="D422" s="1870"/>
      <c r="E422" s="1870"/>
      <c r="F422" s="1870"/>
      <c r="G422" s="1870"/>
      <c r="H422" s="1933"/>
      <c r="I422" s="1936">
        <f>'Part IV-A-Uses of Funds'!$G$132</f>
        <v>20706223.689910028</v>
      </c>
      <c r="J422" s="1936"/>
      <c r="K422" s="1870"/>
      <c r="L422" s="1874"/>
      <c r="M422" s="1926"/>
      <c r="N422" s="1926"/>
      <c r="O422" s="1926"/>
      <c r="P422" s="1926"/>
      <c r="Q422" s="1870"/>
    </row>
    <row r="423" spans="1:17" ht="13.5">
      <c r="A423" s="1870"/>
      <c r="B423" s="1877" t="s">
        <v>1537</v>
      </c>
      <c r="C423" s="1870"/>
      <c r="D423" s="1870"/>
      <c r="E423" s="1870"/>
      <c r="F423" s="1870"/>
      <c r="G423" s="1870"/>
      <c r="H423" s="1933"/>
      <c r="I423" s="1937">
        <f>I421-I422</f>
        <v>0.31008997187018394</v>
      </c>
      <c r="J423" s="1937"/>
      <c r="K423" s="1870"/>
      <c r="L423" s="1874"/>
      <c r="M423" s="1926"/>
      <c r="N423" s="1926"/>
      <c r="O423" s="1926"/>
      <c r="P423" s="1926"/>
      <c r="Q423" s="1870"/>
    </row>
    <row r="424" spans="1:17">
      <c r="A424" s="1870" t="s">
        <v>3491</v>
      </c>
      <c r="B424" s="1877"/>
      <c r="C424" s="1870"/>
      <c r="D424" s="1870"/>
      <c r="E424" s="1870"/>
      <c r="F424" s="1870"/>
      <c r="G424" s="1870"/>
      <c r="H424" s="1950"/>
      <c r="I424" s="1950"/>
      <c r="J424" s="1876"/>
      <c r="K424" s="1870"/>
      <c r="L424" s="1874"/>
      <c r="M424" s="1926"/>
      <c r="N424" s="1926"/>
      <c r="O424" s="1926"/>
      <c r="P424" s="1926"/>
      <c r="Q424" s="1870"/>
    </row>
    <row r="425" spans="1:17">
      <c r="A425" s="1876"/>
      <c r="B425" s="1876"/>
      <c r="C425" s="1876"/>
      <c r="D425" s="1876"/>
      <c r="E425" s="1876"/>
      <c r="F425" s="1876"/>
      <c r="G425" s="1876"/>
      <c r="H425" s="1876"/>
      <c r="I425" s="1876"/>
      <c r="J425" s="1876"/>
      <c r="K425" s="1876"/>
      <c r="L425" s="1876"/>
      <c r="M425" s="1876"/>
      <c r="N425" s="1876"/>
      <c r="O425" s="1876"/>
      <c r="P425" s="1876"/>
      <c r="Q425" s="1876"/>
    </row>
    <row r="426" spans="1:17" ht="13.5">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f>'Part III-Sources of Funds'!A64</f>
        <v>0</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c r="A437" s="1851" t="str">
        <f>CONCATENATE("PART FOUR -  USES OF FUNDS","  -  ",'Part I-Project Information'!$O$6," ",'Part I-Project Information'!$F$34,", ",'Part I-Project Information'!F474,", ",'Part I-Project Information'!J475," County")</f>
        <v>PART FOUR -  USES OF FUNDS  -  2018-0 McIntosh Woods,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McIntosh Woods, ,  County</v>
      </c>
      <c r="X437" s="1851"/>
    </row>
    <row r="438" spans="1:24">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6.5">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c r="A444" s="1870"/>
      <c r="B444" s="1870" t="s">
        <v>2016</v>
      </c>
      <c r="C444" s="1870"/>
      <c r="D444" s="1870"/>
      <c r="E444" s="1870"/>
      <c r="F444" s="1870"/>
      <c r="G444" s="1952">
        <f>'Part IV-A-Uses of Funds'!G8</f>
        <v>6000</v>
      </c>
      <c r="H444" s="1952">
        <f>'Part IV-A-Uses of Funds'!H8</f>
        <v>0</v>
      </c>
      <c r="I444" s="1870"/>
      <c r="J444" s="1952">
        <f>'Part IV-A-Uses of Funds'!J8</f>
        <v>6000</v>
      </c>
      <c r="K444" s="1952">
        <f>'Part IV-A-Uses of Funds'!K8</f>
        <v>0</v>
      </c>
      <c r="L444" s="1887"/>
      <c r="M444" s="1952">
        <f>'Part IV-A-Uses of Funds'!M8</f>
        <v>0</v>
      </c>
      <c r="N444" s="1952">
        <f>'Part IV-A-Uses of Funds'!N8</f>
        <v>0</v>
      </c>
      <c r="O444" s="1870"/>
      <c r="P444" s="1952">
        <f>'Part IV-A-Uses of Funds'!P8</f>
        <v>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c r="A445" s="1870"/>
      <c r="B445" s="1870" t="s">
        <v>461</v>
      </c>
      <c r="C445" s="1870"/>
      <c r="D445" s="1870"/>
      <c r="E445" s="1870"/>
      <c r="F445" s="1870"/>
      <c r="G445" s="1952">
        <f>'Part IV-A-Uses of Funds'!G9</f>
        <v>6000</v>
      </c>
      <c r="H445" s="1952">
        <f>'Part IV-A-Uses of Funds'!H9</f>
        <v>0</v>
      </c>
      <c r="I445" s="1870"/>
      <c r="J445" s="1952">
        <f>'Part IV-A-Uses of Funds'!J9</f>
        <v>6000</v>
      </c>
      <c r="K445" s="1952">
        <f>'Part IV-A-Uses of Funds'!K9</f>
        <v>0</v>
      </c>
      <c r="L445" s="1887"/>
      <c r="M445" s="1952">
        <f>'Part IV-A-Uses of Funds'!M9</f>
        <v>0</v>
      </c>
      <c r="N445" s="1952">
        <f>'Part IV-A-Uses of Funds'!N9</f>
        <v>0</v>
      </c>
      <c r="O445" s="1870"/>
      <c r="P445" s="1952">
        <f>'Part IV-A-Uses of Funds'!P9</f>
        <v>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c r="A446" s="1870"/>
      <c r="B446" s="1870" t="s">
        <v>491</v>
      </c>
      <c r="C446" s="1870"/>
      <c r="D446" s="1870"/>
      <c r="E446" s="1870"/>
      <c r="F446" s="1870"/>
      <c r="G446" s="1952">
        <f>'Part IV-A-Uses of Funds'!G10</f>
        <v>15000</v>
      </c>
      <c r="H446" s="1952">
        <f>'Part IV-A-Uses of Funds'!H10</f>
        <v>0</v>
      </c>
      <c r="I446" s="1870"/>
      <c r="J446" s="1952">
        <f>'Part IV-A-Uses of Funds'!J10</f>
        <v>15000</v>
      </c>
      <c r="K446" s="1952">
        <f>'Part IV-A-Uses of Funds'!K10</f>
        <v>0</v>
      </c>
      <c r="L446" s="1887"/>
      <c r="M446" s="1952">
        <f>'Part IV-A-Uses of Funds'!M10</f>
        <v>0</v>
      </c>
      <c r="N446" s="1952">
        <f>'Part IV-A-Uses of Funds'!N10</f>
        <v>0</v>
      </c>
      <c r="O446" s="1870"/>
      <c r="P446" s="1952">
        <f>'Part IV-A-Uses of Funds'!P10</f>
        <v>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c r="A447" s="1870"/>
      <c r="B447" s="1870" t="s">
        <v>492</v>
      </c>
      <c r="C447" s="1870"/>
      <c r="D447" s="1870"/>
      <c r="E447" s="1870"/>
      <c r="F447" s="1870"/>
      <c r="G447" s="1952">
        <f>'Part IV-A-Uses of Funds'!G11</f>
        <v>15000</v>
      </c>
      <c r="H447" s="1952">
        <f>'Part IV-A-Uses of Funds'!H11</f>
        <v>0</v>
      </c>
      <c r="I447" s="1870"/>
      <c r="J447" s="1952">
        <f>'Part IV-A-Uses of Funds'!J11</f>
        <v>15000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c r="A448" s="1870"/>
      <c r="B448" s="1870" t="s">
        <v>2516</v>
      </c>
      <c r="C448" s="1870"/>
      <c r="D448" s="1870"/>
      <c r="E448" s="1870"/>
      <c r="F448" s="1870"/>
      <c r="G448" s="1952">
        <f>'Part IV-A-Uses of Funds'!G12</f>
        <v>10000</v>
      </c>
      <c r="H448" s="1952">
        <f>'Part IV-A-Uses of Funds'!H12</f>
        <v>0</v>
      </c>
      <c r="I448" s="1870"/>
      <c r="J448" s="1952">
        <f>'Part IV-A-Uses of Funds'!J12</f>
        <v>10000</v>
      </c>
      <c r="K448" s="1952">
        <f>'Part IV-A-Uses of Funds'!K12</f>
        <v>0</v>
      </c>
      <c r="L448" s="1887"/>
      <c r="M448" s="1952">
        <f>'Part IV-A-Uses of Funds'!M12</f>
        <v>0</v>
      </c>
      <c r="N448" s="1952">
        <f>'Part IV-A-Uses of Funds'!N12</f>
        <v>0</v>
      </c>
      <c r="O448" s="1870"/>
      <c r="P448" s="1952">
        <f>'Part IV-A-Uses of Funds'!P12</f>
        <v>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c r="A449" s="1870"/>
      <c r="B449" s="1870" t="s">
        <v>192</v>
      </c>
      <c r="C449" s="1870"/>
      <c r="D449" s="1870"/>
      <c r="E449" s="1870"/>
      <c r="F449" s="1870"/>
      <c r="G449" s="1952">
        <f>'Part IV-A-Uses of Funds'!G13</f>
        <v>960</v>
      </c>
      <c r="H449" s="1952">
        <f>'Part IV-A-Uses of Funds'!H13</f>
        <v>0</v>
      </c>
      <c r="I449" s="1870"/>
      <c r="J449" s="1952">
        <f>'Part IV-A-Uses of Funds'!J13</f>
        <v>960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&lt;&lt; Enter description here; provide detail &amp; justification in tab Part IV-b &gt;&gt;</v>
      </c>
      <c r="D450" s="1882">
        <f>'Part IV-A-Uses of Funds'!D14</f>
        <v>0</v>
      </c>
      <c r="E450" s="1882">
        <f>'Part IV-A-Uses of Funds'!E14</f>
        <v>0</v>
      </c>
      <c r="F450" s="1882">
        <f>'Part IV-A-Uses of Funds'!F14</f>
        <v>0</v>
      </c>
      <c r="G450" s="1952">
        <f>'Part IV-A-Uses of Funds'!G14</f>
        <v>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c r="A453" s="1870"/>
      <c r="B453" s="1870"/>
      <c r="C453" s="1870"/>
      <c r="D453" s="1870"/>
      <c r="E453" s="1870"/>
      <c r="F453" s="1956" t="s">
        <v>193</v>
      </c>
      <c r="G453" s="1952">
        <f>SUM(G444:H452)</f>
        <v>52960</v>
      </c>
      <c r="H453" s="1952"/>
      <c r="I453" s="1870"/>
      <c r="J453" s="1952">
        <f>SUM(J444:K452)</f>
        <v>52960</v>
      </c>
      <c r="K453" s="1888"/>
      <c r="L453" s="1887"/>
      <c r="M453" s="1952">
        <f>SUM(M444:N452)</f>
        <v>0</v>
      </c>
      <c r="N453" s="1952"/>
      <c r="O453" s="1870"/>
      <c r="P453" s="1952">
        <f>SUM(P444:Q452)</f>
        <v>0</v>
      </c>
      <c r="Q453" s="1952"/>
      <c r="R453" s="1870"/>
      <c r="S453" s="1952">
        <f>SUM(S444:T452)</f>
        <v>0</v>
      </c>
      <c r="T453" s="1952"/>
      <c r="U453" s="1870"/>
      <c r="V453" s="1958">
        <f>SUM(V444:V452)</f>
        <v>0</v>
      </c>
      <c r="W453" s="1672"/>
      <c r="X453" s="1672"/>
    </row>
    <row r="454" spans="1:24">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c r="A455" s="1870"/>
      <c r="B455" s="1870" t="s">
        <v>2214</v>
      </c>
      <c r="C455" s="1870"/>
      <c r="D455" s="1870"/>
      <c r="E455" s="1870"/>
      <c r="F455" s="1870"/>
      <c r="G455" s="1952">
        <f>'Part IV-A-Uses of Funds'!G19</f>
        <v>675000</v>
      </c>
      <c r="H455" s="1952">
        <f>'Part IV-A-Uses of Funds'!H19</f>
        <v>0</v>
      </c>
      <c r="I455" s="1870"/>
      <c r="J455" s="1887"/>
      <c r="K455" s="1952"/>
      <c r="L455" s="1887"/>
      <c r="M455" s="1887"/>
      <c r="N455" s="1952"/>
      <c r="O455" s="1870"/>
      <c r="P455" s="1887"/>
      <c r="Q455" s="1952"/>
      <c r="R455" s="1870"/>
      <c r="S455" s="1952">
        <f>'Part IV-A-Uses of Funds'!S19</f>
        <v>675000</v>
      </c>
      <c r="T455" s="1952">
        <f>'Part IV-A-Uses of Funds'!T19</f>
        <v>0</v>
      </c>
      <c r="U455" s="1870"/>
      <c r="V455" s="1958"/>
      <c r="W455" s="1672">
        <f>'Part IV-A-Uses of Funds'!W19</f>
        <v>0</v>
      </c>
      <c r="X455" s="1672">
        <f>'Part IV-A-Uses of Funds'!X19</f>
        <v>0</v>
      </c>
    </row>
    <row r="456" spans="1:24">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c r="A458" s="1870"/>
      <c r="B458" s="1870" t="s">
        <v>432</v>
      </c>
      <c r="C458" s="1870"/>
      <c r="D458" s="1870"/>
      <c r="E458" s="1870"/>
      <c r="F458" s="1870"/>
      <c r="G458" s="1952">
        <f>'Part IV-A-Uses of Funds'!G22</f>
        <v>0</v>
      </c>
      <c r="H458" s="1952">
        <f>'Part IV-A-Uses of Funds'!H22</f>
        <v>0</v>
      </c>
      <c r="I458" s="1870"/>
      <c r="J458" s="1887"/>
      <c r="K458" s="1952"/>
      <c r="L458" s="1887"/>
      <c r="M458" s="1952">
        <f>'Part IV-A-Uses of Funds'!M22</f>
        <v>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c r="A459" s="1870"/>
      <c r="B459" s="1870"/>
      <c r="C459" s="1870"/>
      <c r="D459" s="1870"/>
      <c r="E459" s="1870"/>
      <c r="F459" s="1956" t="s">
        <v>193</v>
      </c>
      <c r="G459" s="1952">
        <f>SUM(G455:H458)</f>
        <v>675000</v>
      </c>
      <c r="H459" s="1952"/>
      <c r="I459" s="1870"/>
      <c r="J459" s="1887"/>
      <c r="K459" s="1952"/>
      <c r="L459" s="1887"/>
      <c r="M459" s="1952">
        <f>SUM(M457:N458)</f>
        <v>0</v>
      </c>
      <c r="N459" s="1952"/>
      <c r="O459" s="1870"/>
      <c r="P459" s="1887"/>
      <c r="Q459" s="1952"/>
      <c r="R459" s="1870"/>
      <c r="S459" s="1952">
        <f>SUM(S455:T458)</f>
        <v>675000</v>
      </c>
      <c r="T459" s="1952"/>
      <c r="U459" s="1870"/>
      <c r="V459" s="1958">
        <f>SUM(V455:V458)</f>
        <v>0</v>
      </c>
      <c r="W459" s="1672"/>
      <c r="X459" s="1672"/>
    </row>
    <row r="460" spans="1:24">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c r="A461" s="1870"/>
      <c r="B461" s="1870" t="s">
        <v>1131</v>
      </c>
      <c r="C461" s="1870"/>
      <c r="D461" s="1870"/>
      <c r="E461" s="1917" t="s">
        <v>3758</v>
      </c>
      <c r="F461" s="1959">
        <f>IF('Part I-Project Information'!$O$37="","",G461/'Part I-Project Information'!$O$37)</f>
        <v>50377.83375314861</v>
      </c>
      <c r="G461" s="1952">
        <f>'Part IV-A-Uses of Funds'!G25</f>
        <v>1000000</v>
      </c>
      <c r="H461" s="1952">
        <f>'Part IV-A-Uses of Funds'!H25</f>
        <v>0</v>
      </c>
      <c r="I461" s="1870"/>
      <c r="J461" s="1952">
        <f>'Part IV-A-Uses of Funds'!J25</f>
        <v>1000000</v>
      </c>
      <c r="K461" s="1952">
        <f>'Part IV-A-Uses of Funds'!K25</f>
        <v>0</v>
      </c>
      <c r="L461" s="1887"/>
      <c r="M461" s="1952">
        <f>'Part IV-A-Uses of Funds'!M25</f>
        <v>0</v>
      </c>
      <c r="N461" s="1952">
        <f>'Part IV-A-Uses of Funds'!N25</f>
        <v>0</v>
      </c>
      <c r="O461" s="1870"/>
      <c r="P461" s="1952">
        <f>'Part IV-A-Uses of Funds'!P25</f>
        <v>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c r="A463" s="1870"/>
      <c r="B463" s="1870"/>
      <c r="C463" s="1870"/>
      <c r="D463" s="1870"/>
      <c r="E463" s="1870"/>
      <c r="F463" s="1956" t="s">
        <v>193</v>
      </c>
      <c r="G463" s="1952">
        <f>SUM(G461:H462)</f>
        <v>1000000</v>
      </c>
      <c r="H463" s="1952"/>
      <c r="I463" s="1870"/>
      <c r="J463" s="1952">
        <f>SUM(J461:K462)</f>
        <v>1000000</v>
      </c>
      <c r="K463" s="1952"/>
      <c r="L463" s="1887"/>
      <c r="M463" s="1952">
        <f>M461</f>
        <v>0</v>
      </c>
      <c r="N463" s="1952"/>
      <c r="O463" s="1870"/>
      <c r="P463" s="1952">
        <f>P461</f>
        <v>0</v>
      </c>
      <c r="Q463" s="1952"/>
      <c r="R463" s="1870"/>
      <c r="S463" s="1952">
        <f>SUM(S461:T462)</f>
        <v>0</v>
      </c>
      <c r="T463" s="1952"/>
      <c r="U463" s="1870"/>
      <c r="V463" s="1958">
        <f>SUM(V461:V462)</f>
        <v>0</v>
      </c>
      <c r="W463" s="1672"/>
      <c r="X463" s="1672"/>
    </row>
    <row r="464" spans="1:24">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c r="A465" s="1870"/>
      <c r="B465" s="1870" t="s">
        <v>1134</v>
      </c>
      <c r="C465" s="1870"/>
      <c r="D465" s="1870"/>
      <c r="E465" s="1870"/>
      <c r="F465" s="1870"/>
      <c r="G465" s="1952">
        <f>'Part IV-A-Uses of Funds'!G29</f>
        <v>10368421</v>
      </c>
      <c r="H465" s="1952">
        <f>'Part IV-A-Uses of Funds'!H29</f>
        <v>0</v>
      </c>
      <c r="I465" s="1870"/>
      <c r="J465" s="1952">
        <f>'Part IV-A-Uses of Funds'!J29</f>
        <v>10368421</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c r="A466" s="1870"/>
      <c r="B466" s="1870" t="s">
        <v>1135</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c r="A467" s="1870"/>
      <c r="B467" s="1870" t="s">
        <v>2798</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c r="A469" s="1870"/>
      <c r="B469" s="1870"/>
      <c r="C469" s="1961"/>
      <c r="D469" s="1961"/>
      <c r="E469" s="1962"/>
      <c r="F469" s="1956" t="s">
        <v>193</v>
      </c>
      <c r="G469" s="1952">
        <f>SUM(G465:H468)</f>
        <v>10368421</v>
      </c>
      <c r="H469" s="1952"/>
      <c r="I469" s="1870"/>
      <c r="J469" s="1952">
        <f>SUM(J465:K468)</f>
        <v>10368421</v>
      </c>
      <c r="K469" s="1952"/>
      <c r="L469" s="1887"/>
      <c r="M469" s="1952">
        <f>SUM(M465:N468)</f>
        <v>0</v>
      </c>
      <c r="N469" s="1952"/>
      <c r="O469" s="1870"/>
      <c r="P469" s="1952">
        <f>SUM(P465:Q468)</f>
        <v>0</v>
      </c>
      <c r="Q469" s="1952"/>
      <c r="R469" s="1870"/>
      <c r="S469" s="1952">
        <f>SUM(S465:T468)</f>
        <v>0</v>
      </c>
      <c r="T469" s="1952"/>
      <c r="U469" s="1870"/>
      <c r="V469" s="1958">
        <f>SUM(V465:V468)</f>
        <v>0</v>
      </c>
      <c r="W469" s="1672"/>
      <c r="X469" s="1672"/>
    </row>
    <row r="470" spans="1:24" ht="13.5">
      <c r="A470" s="1870"/>
      <c r="B470" s="1851" t="s">
        <v>2359</v>
      </c>
      <c r="C470" s="1870"/>
      <c r="D470" s="1921" t="s">
        <v>3762</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5">
      <c r="A471" s="1870"/>
      <c r="B471" s="1870" t="s">
        <v>2360</v>
      </c>
      <c r="C471" s="1870"/>
      <c r="D471" s="1965">
        <f>'DCA Underwriting Assumptions'!$R$74</f>
        <v>0.06</v>
      </c>
      <c r="E471" s="1966">
        <f>D471*(G463+G469)</f>
        <v>682105.26</v>
      </c>
      <c r="F471" s="1965" t="e">
        <f>IF(($G$27+$G$33)=0,0,G471/($G$27+$G$33))</f>
        <v>#VALUE!</v>
      </c>
      <c r="G471" s="1952">
        <f>'Part IV-A-Uses of Funds'!G35</f>
        <v>682105.26</v>
      </c>
      <c r="H471" s="1952">
        <f>'Part IV-A-Uses of Funds'!H35</f>
        <v>0</v>
      </c>
      <c r="I471" s="1876"/>
      <c r="J471" s="1952">
        <f>'Part IV-A-Uses of Funds'!J35</f>
        <v>682105.26</v>
      </c>
      <c r="K471" s="1952">
        <f>'Part IV-A-Uses of Funds'!K35</f>
        <v>0</v>
      </c>
      <c r="L471" s="1887"/>
      <c r="M471" s="1952">
        <f>'Part IV-A-Uses of Funds'!M35</f>
        <v>0</v>
      </c>
      <c r="N471" s="1952">
        <f>'Part IV-A-Uses of Funds'!N35</f>
        <v>0</v>
      </c>
      <c r="O471" s="1870"/>
      <c r="P471" s="1952">
        <f>'Part IV-A-Uses of Funds'!P35</f>
        <v>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5">
      <c r="A472" s="1870"/>
      <c r="B472" s="1870" t="s">
        <v>2754</v>
      </c>
      <c r="C472" s="1870"/>
      <c r="D472" s="1965">
        <f>'DCA Underwriting Assumptions'!$R$75</f>
        <v>0.02</v>
      </c>
      <c r="E472" s="1966">
        <f>D472*(G463+G469)</f>
        <v>227368.42</v>
      </c>
      <c r="F472" s="1965" t="e">
        <f>IF(($G$27+$G$33)=0,0,G472/($G$27+$G$33))</f>
        <v>#VALUE!</v>
      </c>
      <c r="G472" s="1952">
        <f>'Part IV-A-Uses of Funds'!G36</f>
        <v>227368.42</v>
      </c>
      <c r="H472" s="1952">
        <f>'Part IV-A-Uses of Funds'!H36</f>
        <v>0</v>
      </c>
      <c r="I472" s="1876"/>
      <c r="J472" s="1952">
        <f>'Part IV-A-Uses of Funds'!J36</f>
        <v>227368.42</v>
      </c>
      <c r="K472" s="1952">
        <f>'Part IV-A-Uses of Funds'!K36</f>
        <v>0</v>
      </c>
      <c r="L472" s="1887"/>
      <c r="M472" s="1952">
        <f>'Part IV-A-Uses of Funds'!M36</f>
        <v>0</v>
      </c>
      <c r="N472" s="1952">
        <f>'Part IV-A-Uses of Funds'!N36</f>
        <v>0</v>
      </c>
      <c r="O472" s="1870"/>
      <c r="P472" s="1952">
        <f>'Part IV-A-Uses of Funds'!P36</f>
        <v>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5">
      <c r="A473" s="1870"/>
      <c r="B473" s="1870" t="s">
        <v>2755</v>
      </c>
      <c r="C473" s="1870"/>
      <c r="D473" s="1965">
        <f>'DCA Underwriting Assumptions'!$R$76</f>
        <v>0.06</v>
      </c>
      <c r="E473" s="1966">
        <f>D473*(G463+G469)</f>
        <v>682105.26</v>
      </c>
      <c r="F473" s="1965" t="e">
        <f>IF(($G$27+$G$33)=0,0,G473/($G$27+$G$33))</f>
        <v>#VALUE!</v>
      </c>
      <c r="G473" s="1952">
        <f>'Part IV-A-Uses of Funds'!G37</f>
        <v>682105.26</v>
      </c>
      <c r="H473" s="1952">
        <f>'Part IV-A-Uses of Funds'!H37</f>
        <v>0</v>
      </c>
      <c r="I473" s="1876"/>
      <c r="J473" s="1952">
        <f>'Part IV-A-Uses of Funds'!J37</f>
        <v>682105.26</v>
      </c>
      <c r="K473" s="1952">
        <f>'Part IV-A-Uses of Funds'!K37</f>
        <v>0</v>
      </c>
      <c r="L473" s="1887"/>
      <c r="M473" s="1952">
        <f>'Part IV-A-Uses of Funds'!M37</f>
        <v>0</v>
      </c>
      <c r="N473" s="1952">
        <f>'Part IV-A-Uses of Funds'!N37</f>
        <v>0</v>
      </c>
      <c r="O473" s="1870"/>
      <c r="P473" s="1952">
        <f>'Part IV-A-Uses of Funds'!P37</f>
        <v>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5">
      <c r="A474" s="1870"/>
      <c r="B474" s="1875" t="s">
        <v>3763</v>
      </c>
      <c r="C474" s="1870"/>
      <c r="D474" s="1963">
        <f>SUM(D471:D473)</f>
        <v>0.14000000000000001</v>
      </c>
      <c r="E474" s="1967">
        <f>SUM(E471:E473)</f>
        <v>1591578.94</v>
      </c>
      <c r="F474" s="1956" t="s">
        <v>193</v>
      </c>
      <c r="G474" s="1952">
        <f>SUM(G471:H473)</f>
        <v>1591578.94</v>
      </c>
      <c r="H474" s="1952"/>
      <c r="I474" s="1870"/>
      <c r="J474" s="1952">
        <f>SUM(J471:K473)</f>
        <v>1591578.94</v>
      </c>
      <c r="K474" s="1952"/>
      <c r="L474" s="1887"/>
      <c r="M474" s="1952">
        <f>SUM(M471:N473)</f>
        <v>0</v>
      </c>
      <c r="N474" s="1952"/>
      <c r="O474" s="1870"/>
      <c r="P474" s="1952">
        <f>SUM(P471:Q473)</f>
        <v>0</v>
      </c>
      <c r="Q474" s="1952"/>
      <c r="R474" s="1870"/>
      <c r="S474" s="1952">
        <f>SUM(S471:T473)</f>
        <v>0</v>
      </c>
      <c r="T474" s="1952"/>
      <c r="U474" s="1870"/>
      <c r="V474" s="1958">
        <f>SUM(V471:V473)</f>
        <v>0</v>
      </c>
      <c r="W474" s="1672"/>
      <c r="X474" s="1672"/>
    </row>
    <row r="475" spans="1:24">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c r="A476" s="1870"/>
      <c r="B476" s="1851" t="s">
        <v>4573</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4574</v>
      </c>
      <c r="C479" s="1969"/>
      <c r="D479" s="1870"/>
      <c r="E479" s="1869" t="s">
        <v>2762</v>
      </c>
      <c r="F479" s="1970">
        <f>B480/'Part VI-Revenues &amp; Expenses'!$O$60</f>
        <v>134999.99937499998</v>
      </c>
      <c r="G479" s="1971" t="s">
        <v>4575</v>
      </c>
      <c r="H479" s="1870"/>
      <c r="I479" s="1870"/>
      <c r="J479" s="1972">
        <f>B480/'Part VI-Revenues &amp; Expenses'!$O$62</f>
        <v>134999.99937499998</v>
      </c>
      <c r="K479" s="1972"/>
      <c r="L479" s="1870"/>
      <c r="M479" s="1973" t="s">
        <v>1414</v>
      </c>
      <c r="N479" s="1973"/>
      <c r="O479" s="1870"/>
      <c r="P479" s="1972">
        <f>B480/'Part I-Project Information'!$P$71</f>
        <v>105.96892837285364</v>
      </c>
      <c r="Q479" s="1972"/>
      <c r="R479" s="1870"/>
      <c r="S479" s="1894" t="s">
        <v>2796</v>
      </c>
      <c r="T479" s="1894"/>
      <c r="U479" s="1870"/>
      <c r="V479" s="1958"/>
      <c r="W479" s="1672">
        <f>'Part IV-A-Uses of Funds'!W43</f>
        <v>0</v>
      </c>
      <c r="X479" s="1672">
        <f>'Part IV-A-Uses of Funds'!X43</f>
        <v>0</v>
      </c>
    </row>
    <row r="480" spans="1:24">
      <c r="A480" s="1870"/>
      <c r="B480" s="1974">
        <f>G463+G469+G474+G477</f>
        <v>12959999.939999999</v>
      </c>
      <c r="C480" s="1974"/>
      <c r="D480" s="1870"/>
      <c r="E480" s="1869"/>
      <c r="F480" s="1970">
        <f>B480/'Part VI-Revenues &amp; Expenses'!$O$117</f>
        <v>108.63369606035205</v>
      </c>
      <c r="G480" s="1894" t="s">
        <v>4576</v>
      </c>
      <c r="H480" s="1870"/>
      <c r="I480" s="1870"/>
      <c r="J480" s="1972">
        <f>B480/'Part VI-Revenues &amp; Expenses'!$O$119</f>
        <v>108.63369606035205</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c r="A482" s="1870"/>
      <c r="B482" s="1851" t="s">
        <v>1136</v>
      </c>
      <c r="C482" s="1870"/>
      <c r="D482" s="1870"/>
      <c r="E482" s="1870"/>
      <c r="F482" s="1975" t="s">
        <v>4249</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5">
      <c r="A483" s="1876"/>
      <c r="B483" s="1870" t="s">
        <v>1977</v>
      </c>
      <c r="C483" s="1876"/>
      <c r="D483" s="1976" t="s">
        <v>4248</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647999.99699999997</v>
      </c>
      <c r="F483" s="1978">
        <f>G483/B480</f>
        <v>5.0000000231481483E-2</v>
      </c>
      <c r="G483" s="1952">
        <f>'Part IV-A-Uses of Funds'!G47</f>
        <v>648000</v>
      </c>
      <c r="H483" s="1952">
        <f>'Part IV-A-Uses of Funds'!H47</f>
        <v>0</v>
      </c>
      <c r="I483" s="1870"/>
      <c r="J483" s="1952">
        <f>'Part IV-A-Uses of Funds'!J47</f>
        <v>648000</v>
      </c>
      <c r="K483" s="1952">
        <f>'Part IV-A-Uses of Funds'!K47</f>
        <v>0</v>
      </c>
      <c r="L483" s="1887"/>
      <c r="M483" s="1952">
        <f>'Part IV-A-Uses of Funds'!M47</f>
        <v>0</v>
      </c>
      <c r="N483" s="1952">
        <f>'Part IV-A-Uses of Funds'!N47</f>
        <v>0</v>
      </c>
      <c r="O483" s="1870"/>
      <c r="P483" s="1952">
        <f>'Part IV-A-Uses of Funds'!P47</f>
        <v>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622</v>
      </c>
      <c r="B485" s="1951" t="s">
        <v>4577</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c r="A488" s="1870"/>
      <c r="B488" s="1870" t="s">
        <v>3764</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c r="A489" s="1870"/>
      <c r="B489" s="1870" t="s">
        <v>3765</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c r="A490" s="1870"/>
      <c r="B490" s="1870" t="s">
        <v>2362</v>
      </c>
      <c r="C490" s="1870"/>
      <c r="D490" s="1870"/>
      <c r="E490" s="1870"/>
      <c r="F490" s="1870"/>
      <c r="G490" s="1952">
        <f>'Part IV-A-Uses of Funds'!G54</f>
        <v>161700.00000000006</v>
      </c>
      <c r="H490" s="1952">
        <f>'Part IV-A-Uses of Funds'!H54</f>
        <v>0</v>
      </c>
      <c r="I490" s="1870"/>
      <c r="J490" s="1952">
        <f>'Part IV-A-Uses of Funds'!J54</f>
        <v>106722.00000000003</v>
      </c>
      <c r="K490" s="1952">
        <f>'Part IV-A-Uses of Funds'!K54</f>
        <v>0</v>
      </c>
      <c r="L490" s="1887"/>
      <c r="M490" s="1952">
        <f>'Part IV-A-Uses of Funds'!M54</f>
        <v>0</v>
      </c>
      <c r="N490" s="1952">
        <f>'Part IV-A-Uses of Funds'!N54</f>
        <v>0</v>
      </c>
      <c r="O490" s="1870"/>
      <c r="P490" s="1952">
        <f>'Part IV-A-Uses of Funds'!P54</f>
        <v>0</v>
      </c>
      <c r="Q490" s="1952">
        <f>'Part IV-A-Uses of Funds'!Q54</f>
        <v>0</v>
      </c>
      <c r="R490" s="1870"/>
      <c r="S490" s="1952">
        <f>'Part IV-A-Uses of Funds'!S54</f>
        <v>54978.000000000015</v>
      </c>
      <c r="T490" s="1952">
        <f>'Part IV-A-Uses of Funds'!T54</f>
        <v>0</v>
      </c>
      <c r="U490" s="1870"/>
      <c r="V490" s="1958"/>
      <c r="W490" s="1672"/>
      <c r="X490" s="1672"/>
    </row>
    <row r="491" spans="1:24">
      <c r="A491" s="1870"/>
      <c r="B491" s="1870" t="s">
        <v>2363</v>
      </c>
      <c r="C491" s="1870"/>
      <c r="D491" s="1870"/>
      <c r="E491" s="1870"/>
      <c r="F491" s="1870"/>
      <c r="G491" s="1952">
        <f>'Part IV-A-Uses of Funds'!G55</f>
        <v>694575</v>
      </c>
      <c r="H491" s="1952">
        <f>'Part IV-A-Uses of Funds'!H55</f>
        <v>0</v>
      </c>
      <c r="I491" s="1870"/>
      <c r="J491" s="1952">
        <f>'Part IV-A-Uses of Funds'!J55</f>
        <v>458419.5</v>
      </c>
      <c r="K491" s="1952">
        <f>'Part IV-A-Uses of Funds'!K55</f>
        <v>0</v>
      </c>
      <c r="L491" s="1887"/>
      <c r="M491" s="1952">
        <f>'Part IV-A-Uses of Funds'!M55</f>
        <v>0</v>
      </c>
      <c r="N491" s="1952">
        <f>'Part IV-A-Uses of Funds'!N55</f>
        <v>0</v>
      </c>
      <c r="O491" s="1870"/>
      <c r="P491" s="1952">
        <f>'Part IV-A-Uses of Funds'!P55</f>
        <v>0</v>
      </c>
      <c r="Q491" s="1952">
        <f>'Part IV-A-Uses of Funds'!Q55</f>
        <v>0</v>
      </c>
      <c r="R491" s="1870"/>
      <c r="S491" s="1952">
        <f>'Part IV-A-Uses of Funds'!S55</f>
        <v>236155.50000000003</v>
      </c>
      <c r="T491" s="1952">
        <f>'Part IV-A-Uses of Funds'!T55</f>
        <v>0</v>
      </c>
      <c r="U491" s="1870"/>
      <c r="V491" s="1958"/>
      <c r="W491" s="1672"/>
      <c r="X491" s="1672"/>
    </row>
    <row r="492" spans="1:24">
      <c r="A492" s="1870"/>
      <c r="B492" s="1870" t="s">
        <v>2364</v>
      </c>
      <c r="C492" s="1870"/>
      <c r="D492" s="1870"/>
      <c r="E492" s="1870"/>
      <c r="F492" s="1870"/>
      <c r="G492" s="1952">
        <f>'Part IV-A-Uses of Funds'!G56</f>
        <v>75000</v>
      </c>
      <c r="H492" s="1952">
        <f>'Part IV-A-Uses of Funds'!H56</f>
        <v>0</v>
      </c>
      <c r="I492" s="1870"/>
      <c r="J492" s="1952">
        <f>'Part IV-A-Uses of Funds'!J56</f>
        <v>75000</v>
      </c>
      <c r="K492" s="1952">
        <f>'Part IV-A-Uses of Funds'!K56</f>
        <v>0</v>
      </c>
      <c r="L492" s="1887"/>
      <c r="M492" s="1952">
        <f>'Part IV-A-Uses of Funds'!M56</f>
        <v>0</v>
      </c>
      <c r="N492" s="1952">
        <f>'Part IV-A-Uses of Funds'!N56</f>
        <v>0</v>
      </c>
      <c r="O492" s="1870"/>
      <c r="P492" s="1952">
        <f>'Part IV-A-Uses of Funds'!P56</f>
        <v>0</v>
      </c>
      <c r="Q492" s="1952">
        <f>'Part IV-A-Uses of Funds'!Q56</f>
        <v>0</v>
      </c>
      <c r="R492" s="1870"/>
      <c r="S492" s="1952">
        <f>'Part IV-A-Uses of Funds'!S56</f>
        <v>0</v>
      </c>
      <c r="T492" s="1952">
        <f>'Part IV-A-Uses of Funds'!T56</f>
        <v>0</v>
      </c>
      <c r="U492" s="1870"/>
      <c r="V492" s="1958"/>
      <c r="W492" s="1672"/>
      <c r="X492" s="1672"/>
    </row>
    <row r="493" spans="1:24">
      <c r="A493" s="1870"/>
      <c r="B493" s="1870" t="s">
        <v>2704</v>
      </c>
      <c r="C493" s="1870"/>
      <c r="D493" s="1870"/>
      <c r="E493" s="1870"/>
      <c r="F493" s="1870"/>
      <c r="G493" s="1952">
        <f>'Part IV-A-Uses of Funds'!G57</f>
        <v>28800</v>
      </c>
      <c r="H493" s="1952">
        <f>'Part IV-A-Uses of Funds'!H57</f>
        <v>0</v>
      </c>
      <c r="I493" s="1870"/>
      <c r="J493" s="1952">
        <f>'Part IV-A-Uses of Funds'!J57</f>
        <v>28800</v>
      </c>
      <c r="K493" s="1952">
        <f>'Part IV-A-Uses of Funds'!K57</f>
        <v>0</v>
      </c>
      <c r="L493" s="1887"/>
      <c r="M493" s="1952">
        <f>'Part IV-A-Uses of Funds'!M57</f>
        <v>0</v>
      </c>
      <c r="N493" s="1952">
        <f>'Part IV-A-Uses of Funds'!N57</f>
        <v>0</v>
      </c>
      <c r="O493" s="1870"/>
      <c r="P493" s="1952">
        <f>'Part IV-A-Uses of Funds'!P57</f>
        <v>0</v>
      </c>
      <c r="Q493" s="1952">
        <f>'Part IV-A-Uses of Funds'!Q57</f>
        <v>0</v>
      </c>
      <c r="R493" s="1870"/>
      <c r="S493" s="1952">
        <f>'Part IV-A-Uses of Funds'!S57</f>
        <v>0</v>
      </c>
      <c r="T493" s="1952">
        <f>'Part IV-A-Uses of Funds'!T57</f>
        <v>0</v>
      </c>
      <c r="U493" s="1870"/>
      <c r="V493" s="1958"/>
      <c r="W493" s="1672"/>
      <c r="X493" s="1672"/>
    </row>
    <row r="494" spans="1:24">
      <c r="A494" s="1870"/>
      <c r="B494" s="1870" t="s">
        <v>731</v>
      </c>
      <c r="C494" s="1870"/>
      <c r="D494" s="1870"/>
      <c r="E494" s="1870"/>
      <c r="F494" s="1870"/>
      <c r="G494" s="1952">
        <f>'Part IV-A-Uses of Funds'!G58</f>
        <v>10800</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10800</v>
      </c>
      <c r="T494" s="1952">
        <f>'Part IV-A-Uses of Funds'!T58</f>
        <v>0</v>
      </c>
      <c r="U494" s="1870"/>
      <c r="V494" s="1958"/>
      <c r="W494" s="1672"/>
      <c r="X494" s="1672"/>
    </row>
    <row r="495" spans="1:24">
      <c r="A495" s="1870"/>
      <c r="B495" s="1870" t="s">
        <v>2365</v>
      </c>
      <c r="C495" s="1870"/>
      <c r="D495" s="1870"/>
      <c r="E495" s="1870"/>
      <c r="F495" s="1870"/>
      <c r="G495" s="1952">
        <f>'Part IV-A-Uses of Funds'!G59</f>
        <v>45000</v>
      </c>
      <c r="H495" s="1952">
        <f>'Part IV-A-Uses of Funds'!H59</f>
        <v>0</v>
      </c>
      <c r="I495" s="1870"/>
      <c r="J495" s="1952">
        <f>'Part IV-A-Uses of Funds'!J59</f>
        <v>45000</v>
      </c>
      <c r="K495" s="1952">
        <f>'Part IV-A-Uses of Funds'!K59</f>
        <v>0</v>
      </c>
      <c r="L495" s="1887"/>
      <c r="M495" s="1952">
        <f>'Part IV-A-Uses of Funds'!M59</f>
        <v>0</v>
      </c>
      <c r="N495" s="1952">
        <f>'Part IV-A-Uses of Funds'!N59</f>
        <v>0</v>
      </c>
      <c r="O495" s="1870"/>
      <c r="P495" s="1952">
        <f>'Part IV-A-Uses of Funds'!P59</f>
        <v>0</v>
      </c>
      <c r="Q495" s="1952">
        <f>'Part IV-A-Uses of Funds'!Q59</f>
        <v>0</v>
      </c>
      <c r="R495" s="1870"/>
      <c r="S495" s="1952">
        <f>'Part IV-A-Uses of Funds'!S59</f>
        <v>0</v>
      </c>
      <c r="T495" s="1952">
        <f>'Part IV-A-Uses of Funds'!T59</f>
        <v>0</v>
      </c>
      <c r="U495" s="1870"/>
      <c r="V495" s="1958"/>
      <c r="W495" s="1672"/>
      <c r="X495" s="1672"/>
    </row>
    <row r="496" spans="1:24">
      <c r="A496" s="1870"/>
      <c r="B496" s="1870" t="s">
        <v>1288</v>
      </c>
      <c r="C496" s="1870"/>
      <c r="D496" s="1870"/>
      <c r="E496" s="1870"/>
      <c r="F496" s="1870"/>
      <c r="G496" s="1952">
        <f>'Part IV-A-Uses of Funds'!G60</f>
        <v>35000</v>
      </c>
      <c r="H496" s="1952">
        <f>'Part IV-A-Uses of Funds'!H60</f>
        <v>0</v>
      </c>
      <c r="I496" s="1870"/>
      <c r="J496" s="1952">
        <f>'Part IV-A-Uses of Funds'!J60</f>
        <v>35000</v>
      </c>
      <c r="K496" s="1952">
        <f>'Part IV-A-Uses of Funds'!K60</f>
        <v>0</v>
      </c>
      <c r="L496" s="1887"/>
      <c r="M496" s="1952">
        <f>'Part IV-A-Uses of Funds'!M60</f>
        <v>0</v>
      </c>
      <c r="N496" s="1952">
        <f>'Part IV-A-Uses of Funds'!N60</f>
        <v>0</v>
      </c>
      <c r="O496" s="1870"/>
      <c r="P496" s="1952">
        <f>'Part IV-A-Uses of Funds'!P60</f>
        <v>0</v>
      </c>
      <c r="Q496" s="1952">
        <f>'Part IV-A-Uses of Funds'!Q60</f>
        <v>0</v>
      </c>
      <c r="R496" s="1870"/>
      <c r="S496" s="1952">
        <f>'Part IV-A-Uses of Funds'!S60</f>
        <v>0</v>
      </c>
      <c r="T496" s="1952">
        <f>'Part IV-A-Uses of Funds'!T60</f>
        <v>0</v>
      </c>
      <c r="U496" s="1870"/>
      <c r="V496" s="1958"/>
      <c r="W496" s="1672"/>
      <c r="X496" s="1672"/>
    </row>
    <row r="497" spans="1:24">
      <c r="A497" s="1870"/>
      <c r="B497" s="1979" t="s">
        <v>1163</v>
      </c>
      <c r="C497" s="1870"/>
      <c r="D497" s="1978"/>
      <c r="E497" s="1978"/>
      <c r="F497" s="1980"/>
      <c r="G497" s="1952">
        <f>'Part IV-A-Uses of Funds'!G61</f>
        <v>259200</v>
      </c>
      <c r="H497" s="1952">
        <f>'Part IV-A-Uses of Funds'!H61</f>
        <v>0</v>
      </c>
      <c r="I497" s="1876"/>
      <c r="J497" s="1952">
        <f>'Part IV-A-Uses of Funds'!J61</f>
        <v>259200</v>
      </c>
      <c r="K497" s="1952">
        <f>'Part IV-A-Uses of Funds'!K61</f>
        <v>0</v>
      </c>
      <c r="L497" s="1887"/>
      <c r="M497" s="1952">
        <f>'Part IV-A-Uses of Funds'!M61</f>
        <v>0</v>
      </c>
      <c r="N497" s="1952">
        <f>'Part IV-A-Uses of Funds'!N61</f>
        <v>0</v>
      </c>
      <c r="O497" s="1870"/>
      <c r="P497" s="1952">
        <f>'Part IV-A-Uses of Funds'!P61</f>
        <v>0</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c r="A500" s="1870"/>
      <c r="B500" s="1870"/>
      <c r="C500" s="1870"/>
      <c r="D500" s="1870"/>
      <c r="E500" s="1870"/>
      <c r="F500" s="1956" t="s">
        <v>193</v>
      </c>
      <c r="G500" s="1952">
        <f>SUM(G488:H499)</f>
        <v>1310075</v>
      </c>
      <c r="H500" s="1952"/>
      <c r="I500" s="1870"/>
      <c r="J500" s="1952">
        <f>SUM(J488:K499)</f>
        <v>1008141.5</v>
      </c>
      <c r="K500" s="1952"/>
      <c r="L500" s="1887"/>
      <c r="M500" s="1952">
        <f>SUM(M488:N499)</f>
        <v>0</v>
      </c>
      <c r="N500" s="1952"/>
      <c r="O500" s="1870"/>
      <c r="P500" s="1952">
        <f>SUM(P488:Q499)</f>
        <v>0</v>
      </c>
      <c r="Q500" s="1952"/>
      <c r="R500" s="1870"/>
      <c r="S500" s="1952">
        <f>SUM(S488:T499)</f>
        <v>301933.50000000006</v>
      </c>
      <c r="T500" s="1952"/>
      <c r="U500" s="1870"/>
      <c r="V500" s="1958">
        <f>SUM(V488:V499)</f>
        <v>0</v>
      </c>
      <c r="W500" s="1672"/>
      <c r="X500" s="1672"/>
    </row>
    <row r="501" spans="1:24">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c r="A502" s="1870"/>
      <c r="B502" s="1870" t="s">
        <v>481</v>
      </c>
      <c r="C502" s="1870"/>
      <c r="D502" s="1870"/>
      <c r="E502" s="1870"/>
      <c r="F502" s="1870"/>
      <c r="G502" s="1952">
        <f>'Part IV-A-Uses of Funds'!G66</f>
        <v>233280</v>
      </c>
      <c r="H502" s="1952">
        <f>'Part IV-A-Uses of Funds'!H66</f>
        <v>0</v>
      </c>
      <c r="I502" s="1870"/>
      <c r="J502" s="1952">
        <f>'Part IV-A-Uses of Funds'!J66</f>
        <v>233280</v>
      </c>
      <c r="K502" s="1952">
        <f>'Part IV-A-Uses of Funds'!K66</f>
        <v>0</v>
      </c>
      <c r="L502" s="1887"/>
      <c r="M502" s="1952">
        <f>'Part IV-A-Uses of Funds'!M66</f>
        <v>0</v>
      </c>
      <c r="N502" s="1952">
        <f>'Part IV-A-Uses of Funds'!N66</f>
        <v>0</v>
      </c>
      <c r="O502" s="1870"/>
      <c r="P502" s="1952">
        <f>'Part IV-A-Uses of Funds'!P66</f>
        <v>0</v>
      </c>
      <c r="Q502" s="1952">
        <f>'Part IV-A-Uses of Funds'!Q66</f>
        <v>0</v>
      </c>
      <c r="R502" s="1870"/>
      <c r="S502" s="1952">
        <f>'Part IV-A-Uses of Funds'!S66</f>
        <v>0</v>
      </c>
      <c r="T502" s="1952">
        <f>'Part IV-A-Uses of Funds'!T66</f>
        <v>0</v>
      </c>
      <c r="U502" s="1870"/>
      <c r="V502" s="1958"/>
      <c r="W502" s="1672"/>
      <c r="X502" s="1672"/>
    </row>
    <row r="503" spans="1:24">
      <c r="A503" s="1870"/>
      <c r="B503" s="1870" t="s">
        <v>482</v>
      </c>
      <c r="C503" s="1870"/>
      <c r="D503" s="1870"/>
      <c r="E503" s="1870"/>
      <c r="F503" s="1870"/>
      <c r="G503" s="1952">
        <f>'Part IV-A-Uses of Funds'!G67</f>
        <v>27910</v>
      </c>
      <c r="H503" s="1952">
        <f>'Part IV-A-Uses of Funds'!H67</f>
        <v>0</v>
      </c>
      <c r="I503" s="1870"/>
      <c r="J503" s="1952">
        <f>'Part IV-A-Uses of Funds'!J67</f>
        <v>27910</v>
      </c>
      <c r="K503" s="1952">
        <f>'Part IV-A-Uses of Funds'!K67</f>
        <v>0</v>
      </c>
      <c r="L503" s="1887"/>
      <c r="M503" s="1952">
        <f>'Part IV-A-Uses of Funds'!M67</f>
        <v>0</v>
      </c>
      <c r="N503" s="1952">
        <f>'Part IV-A-Uses of Funds'!N67</f>
        <v>0</v>
      </c>
      <c r="O503" s="1870"/>
      <c r="P503" s="1952">
        <f>'Part IV-A-Uses of Funds'!P67</f>
        <v>0</v>
      </c>
      <c r="Q503" s="1952">
        <f>'Part IV-A-Uses of Funds'!Q67</f>
        <v>0</v>
      </c>
      <c r="R503" s="1870"/>
      <c r="S503" s="1952">
        <f>'Part IV-A-Uses of Funds'!S67</f>
        <v>0</v>
      </c>
      <c r="T503" s="1952">
        <f>'Part IV-A-Uses of Funds'!T67</f>
        <v>0</v>
      </c>
      <c r="U503" s="1870"/>
      <c r="V503" s="1958"/>
      <c r="W503" s="1672"/>
      <c r="X503" s="1672"/>
    </row>
    <row r="504" spans="1:24">
      <c r="A504" s="1870"/>
      <c r="B504" s="1870" t="s">
        <v>1137</v>
      </c>
      <c r="C504" s="1870"/>
      <c r="D504" s="1880" t="s">
        <v>3883</v>
      </c>
      <c r="E504" s="1981">
        <f>'DCA Underwriting Assumptions'!R513</f>
        <v>0</v>
      </c>
      <c r="F504" s="1851" t="str">
        <f>IF(G504&gt;E504,"CHECK!!!","")</f>
        <v>CHECK!!!</v>
      </c>
      <c r="G504" s="1952">
        <f>'Part IV-A-Uses of Funds'!G68</f>
        <v>20000</v>
      </c>
      <c r="H504" s="1952">
        <f>'Part IV-A-Uses of Funds'!H68</f>
        <v>0</v>
      </c>
      <c r="I504" s="1870"/>
      <c r="J504" s="1952">
        <f>'Part IV-A-Uses of Funds'!J68</f>
        <v>20000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c r="A505" s="1870"/>
      <c r="B505" s="1870" t="s">
        <v>1138</v>
      </c>
      <c r="C505" s="1870"/>
      <c r="D505" s="1870"/>
      <c r="E505" s="1870"/>
      <c r="F505" s="1870"/>
      <c r="G505" s="1952">
        <f>'Part IV-A-Uses of Funds'!G69</f>
        <v>9600</v>
      </c>
      <c r="H505" s="1952">
        <f>'Part IV-A-Uses of Funds'!H69</f>
        <v>0</v>
      </c>
      <c r="I505" s="1870"/>
      <c r="J505" s="1952">
        <f>'Part IV-A-Uses of Funds'!J69</f>
        <v>9600</v>
      </c>
      <c r="K505" s="1952">
        <f>'Part IV-A-Uses of Funds'!K69</f>
        <v>0</v>
      </c>
      <c r="L505" s="1887"/>
      <c r="M505" s="1952">
        <f>'Part IV-A-Uses of Funds'!M69</f>
        <v>0</v>
      </c>
      <c r="N505" s="1952">
        <f>'Part IV-A-Uses of Funds'!N69</f>
        <v>0</v>
      </c>
      <c r="O505" s="1870"/>
      <c r="P505" s="1952">
        <f>'Part IV-A-Uses of Funds'!P69</f>
        <v>0</v>
      </c>
      <c r="Q505" s="1952">
        <f>'Part IV-A-Uses of Funds'!Q69</f>
        <v>0</v>
      </c>
      <c r="R505" s="1870"/>
      <c r="S505" s="1952">
        <f>'Part IV-A-Uses of Funds'!S69</f>
        <v>0</v>
      </c>
      <c r="T505" s="1952">
        <f>'Part IV-A-Uses of Funds'!T69</f>
        <v>0</v>
      </c>
      <c r="U505" s="1870"/>
      <c r="V505" s="1958"/>
      <c r="W505" s="1672"/>
      <c r="X505" s="1672"/>
    </row>
    <row r="506" spans="1:24">
      <c r="A506" s="1870"/>
      <c r="B506" s="1870" t="s">
        <v>1139</v>
      </c>
      <c r="C506" s="1870"/>
      <c r="D506" s="1870"/>
      <c r="E506" s="1870"/>
      <c r="F506" s="1870"/>
      <c r="G506" s="1952">
        <f>'Part IV-A-Uses of Funds'!G70</f>
        <v>12000</v>
      </c>
      <c r="H506" s="1952">
        <f>'Part IV-A-Uses of Funds'!H70</f>
        <v>0</v>
      </c>
      <c r="I506" s="1870"/>
      <c r="J506" s="1952">
        <f>'Part IV-A-Uses of Funds'!J70</f>
        <v>12000</v>
      </c>
      <c r="K506" s="1952">
        <f>'Part IV-A-Uses of Funds'!K70</f>
        <v>0</v>
      </c>
      <c r="L506" s="1887"/>
      <c r="M506" s="1952">
        <f>'Part IV-A-Uses of Funds'!M70</f>
        <v>0</v>
      </c>
      <c r="N506" s="1952">
        <f>'Part IV-A-Uses of Funds'!N70</f>
        <v>0</v>
      </c>
      <c r="O506" s="1870"/>
      <c r="P506" s="1952">
        <f>'Part IV-A-Uses of Funds'!P70</f>
        <v>0</v>
      </c>
      <c r="Q506" s="1952">
        <f>'Part IV-A-Uses of Funds'!Q70</f>
        <v>0</v>
      </c>
      <c r="R506" s="1870"/>
      <c r="S506" s="1952">
        <f>'Part IV-A-Uses of Funds'!S70</f>
        <v>0</v>
      </c>
      <c r="T506" s="1952">
        <f>'Part IV-A-Uses of Funds'!T70</f>
        <v>0</v>
      </c>
      <c r="U506" s="1870"/>
      <c r="V506" s="1958"/>
      <c r="W506" s="1672"/>
      <c r="X506" s="1672"/>
    </row>
    <row r="507" spans="1:24">
      <c r="A507" s="1870"/>
      <c r="B507" s="1870" t="s">
        <v>1140</v>
      </c>
      <c r="C507" s="1870"/>
      <c r="D507" s="1870"/>
      <c r="E507" s="1870"/>
      <c r="F507" s="1870"/>
      <c r="G507" s="1952">
        <f>'Part IV-A-Uses of Funds'!G71</f>
        <v>64800</v>
      </c>
      <c r="H507" s="1952">
        <f>'Part IV-A-Uses of Funds'!H71</f>
        <v>0</v>
      </c>
      <c r="I507" s="1870"/>
      <c r="J507" s="1952">
        <f>'Part IV-A-Uses of Funds'!J71</f>
        <v>64800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c r="A508" s="1870"/>
      <c r="B508" s="1870" t="s">
        <v>483</v>
      </c>
      <c r="C508" s="1870"/>
      <c r="D508" s="1870"/>
      <c r="E508" s="1870"/>
      <c r="F508" s="1870"/>
      <c r="G508" s="1952">
        <f>'Part IV-A-Uses of Funds'!G72</f>
        <v>100000</v>
      </c>
      <c r="H508" s="1952">
        <f>'Part IV-A-Uses of Funds'!H72</f>
        <v>0</v>
      </c>
      <c r="I508" s="1870"/>
      <c r="J508" s="1952">
        <f>'Part IV-A-Uses of Funds'!J72</f>
        <v>100000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0</v>
      </c>
      <c r="T508" s="1952">
        <f>'Part IV-A-Uses of Funds'!T72</f>
        <v>0</v>
      </c>
      <c r="U508" s="1870"/>
      <c r="V508" s="1958"/>
      <c r="W508" s="1672"/>
      <c r="X508" s="1672"/>
    </row>
    <row r="509" spans="1:24">
      <c r="A509" s="1870"/>
      <c r="B509" s="1870" t="s">
        <v>484</v>
      </c>
      <c r="C509" s="1870"/>
      <c r="D509" s="1870"/>
      <c r="E509" s="1870"/>
      <c r="F509" s="1870"/>
      <c r="G509" s="1952">
        <f>'Part IV-A-Uses of Funds'!G73</f>
        <v>75000</v>
      </c>
      <c r="H509" s="1952">
        <f>'Part IV-A-Uses of Funds'!H73</f>
        <v>0</v>
      </c>
      <c r="I509" s="1870"/>
      <c r="J509" s="1952">
        <f>'Part IV-A-Uses of Funds'!J73</f>
        <v>75000</v>
      </c>
      <c r="K509" s="1952">
        <f>'Part IV-A-Uses of Funds'!K73</f>
        <v>0</v>
      </c>
      <c r="L509" s="1887"/>
      <c r="M509" s="1952">
        <f>'Part IV-A-Uses of Funds'!M73</f>
        <v>0</v>
      </c>
      <c r="N509" s="1952">
        <f>'Part IV-A-Uses of Funds'!N73</f>
        <v>0</v>
      </c>
      <c r="O509" s="1870"/>
      <c r="P509" s="1952">
        <f>'Part IV-A-Uses of Funds'!P73</f>
        <v>0</v>
      </c>
      <c r="Q509" s="1952">
        <f>'Part IV-A-Uses of Funds'!Q73</f>
        <v>0</v>
      </c>
      <c r="R509" s="1870"/>
      <c r="S509" s="1952">
        <f>'Part IV-A-Uses of Funds'!S73</f>
        <v>0</v>
      </c>
      <c r="T509" s="1952">
        <f>'Part IV-A-Uses of Funds'!T73</f>
        <v>0</v>
      </c>
      <c r="U509" s="1870"/>
      <c r="V509" s="1958"/>
      <c r="W509" s="1672"/>
      <c r="X509" s="1672"/>
    </row>
    <row r="510" spans="1:24">
      <c r="A510" s="1870"/>
      <c r="B510" s="1870" t="s">
        <v>2065</v>
      </c>
      <c r="C510" s="1870"/>
      <c r="D510" s="1870"/>
      <c r="E510" s="1870"/>
      <c r="F510" s="1870"/>
      <c r="G510" s="1952">
        <f>'Part IV-A-Uses of Funds'!G74</f>
        <v>25000</v>
      </c>
      <c r="H510" s="1952">
        <f>'Part IV-A-Uses of Funds'!H74</f>
        <v>0</v>
      </c>
      <c r="I510" s="1870"/>
      <c r="J510" s="1952">
        <f>'Part IV-A-Uses of Funds'!J74</f>
        <v>25000</v>
      </c>
      <c r="K510" s="1952">
        <f>'Part IV-A-Uses of Funds'!K74</f>
        <v>0</v>
      </c>
      <c r="L510" s="1887"/>
      <c r="M510" s="1952">
        <f>'Part IV-A-Uses of Funds'!M74</f>
        <v>0</v>
      </c>
      <c r="N510" s="1952">
        <f>'Part IV-A-Uses of Funds'!N74</f>
        <v>0</v>
      </c>
      <c r="O510" s="1870"/>
      <c r="P510" s="1952">
        <f>'Part IV-A-Uses of Funds'!P74</f>
        <v>0</v>
      </c>
      <c r="Q510" s="1952">
        <f>'Part IV-A-Uses of Funds'!Q74</f>
        <v>0</v>
      </c>
      <c r="R510" s="1870"/>
      <c r="S510" s="1952">
        <f>'Part IV-A-Uses of Funds'!S74</f>
        <v>0</v>
      </c>
      <c r="T510" s="1952">
        <f>'Part IV-A-Uses of Funds'!T74</f>
        <v>0</v>
      </c>
      <c r="U510" s="1870"/>
      <c r="V510" s="1958"/>
      <c r="W510" s="1672"/>
      <c r="X510" s="1672"/>
    </row>
    <row r="511" spans="1:24">
      <c r="A511" s="1870"/>
      <c r="B511" s="1870" t="s">
        <v>1289</v>
      </c>
      <c r="C511" s="1870"/>
      <c r="D511" s="1870"/>
      <c r="E511" s="1870"/>
      <c r="F511" s="1870"/>
      <c r="G511" s="1952">
        <f>'Part IV-A-Uses of Funds'!G75</f>
        <v>15000</v>
      </c>
      <c r="H511" s="1952">
        <f>'Part IV-A-Uses of Funds'!H75</f>
        <v>0</v>
      </c>
      <c r="I511" s="1870"/>
      <c r="J511" s="1952">
        <f>'Part IV-A-Uses of Funds'!J75</f>
        <v>15000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c r="A513" s="1870"/>
      <c r="B513" s="1870"/>
      <c r="C513" s="1870"/>
      <c r="D513" s="1870"/>
      <c r="E513" s="1870"/>
      <c r="F513" s="1956" t="s">
        <v>193</v>
      </c>
      <c r="G513" s="1952">
        <f>SUM(G502:H512)</f>
        <v>582590</v>
      </c>
      <c r="H513" s="1952"/>
      <c r="I513" s="1870"/>
      <c r="J513" s="1952">
        <f>SUM(J502:K512)</f>
        <v>582590</v>
      </c>
      <c r="K513" s="1952"/>
      <c r="L513" s="1887"/>
      <c r="M513" s="1952">
        <f>SUM(M502:N512)</f>
        <v>0</v>
      </c>
      <c r="N513" s="1952"/>
      <c r="O513" s="1870"/>
      <c r="P513" s="1952">
        <f>SUM(P502:Q512)</f>
        <v>0</v>
      </c>
      <c r="Q513" s="1952"/>
      <c r="R513" s="1870"/>
      <c r="S513" s="1952">
        <f>SUM(S502:T512)</f>
        <v>0</v>
      </c>
      <c r="T513" s="1952"/>
      <c r="U513" s="1870"/>
      <c r="V513" s="1958">
        <f>SUM(V502:V512)</f>
        <v>0</v>
      </c>
      <c r="W513" s="1672"/>
      <c r="X513" s="1672"/>
    </row>
    <row r="514" spans="1:24">
      <c r="A514" s="1870"/>
      <c r="B514" s="1851" t="s">
        <v>1281</v>
      </c>
      <c r="C514" s="1870"/>
      <c r="D514" s="1982" t="s">
        <v>3766</v>
      </c>
      <c r="E514" s="1983">
        <f>G519/'Part VI-Revenues &amp; Expenses'!$O$62</f>
        <v>6018.6842105263158</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c r="A515" s="1870"/>
      <c r="B515" s="1870" t="s">
        <v>1282</v>
      </c>
      <c r="C515" s="1870"/>
      <c r="D515" s="1870"/>
      <c r="E515" s="1870"/>
      <c r="F515" s="1870"/>
      <c r="G515" s="1952">
        <f>'Part IV-A-Uses of Funds'!G79</f>
        <v>56793.68421052632</v>
      </c>
      <c r="H515" s="1952">
        <f>'Part IV-A-Uses of Funds'!H79</f>
        <v>0</v>
      </c>
      <c r="I515" s="1870"/>
      <c r="J515" s="1952">
        <f>'Part IV-A-Uses of Funds'!J79</f>
        <v>56793.68421052632</v>
      </c>
      <c r="K515" s="1952">
        <f>'Part IV-A-Uses of Funds'!K79</f>
        <v>0</v>
      </c>
      <c r="L515" s="1887"/>
      <c r="M515" s="1952">
        <f>'Part IV-A-Uses of Funds'!M79</f>
        <v>0</v>
      </c>
      <c r="N515" s="1952">
        <f>'Part IV-A-Uses of Funds'!N79</f>
        <v>0</v>
      </c>
      <c r="O515" s="1870"/>
      <c r="P515" s="1952">
        <f>'Part IV-A-Uses of Funds'!P79</f>
        <v>0</v>
      </c>
      <c r="Q515" s="1952">
        <f>'Part IV-A-Uses of Funds'!Q79</f>
        <v>0</v>
      </c>
      <c r="R515" s="1870"/>
      <c r="S515" s="1952">
        <f>'Part IV-A-Uses of Funds'!S79</f>
        <v>0</v>
      </c>
      <c r="T515" s="1952">
        <f>'Part IV-A-Uses of Funds'!T79</f>
        <v>0</v>
      </c>
      <c r="U515" s="1870"/>
      <c r="V515" s="1958"/>
      <c r="W515" s="1672"/>
      <c r="X515" s="1672"/>
    </row>
    <row r="516" spans="1:24">
      <c r="A516" s="1870"/>
      <c r="B516" s="1870" t="s">
        <v>1283</v>
      </c>
      <c r="C516" s="1870"/>
      <c r="D516" s="1870"/>
      <c r="E516" s="1870"/>
      <c r="F516" s="1870"/>
      <c r="G516" s="1952">
        <f>'Part IV-A-Uses of Funds'!G80</f>
        <v>521000</v>
      </c>
      <c r="H516" s="1952">
        <f>'Part IV-A-Uses of Funds'!H80</f>
        <v>0</v>
      </c>
      <c r="I516" s="1870"/>
      <c r="J516" s="1952">
        <f>'Part IV-A-Uses of Funds'!J80</f>
        <v>521000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c r="A517" s="1870"/>
      <c r="B517" s="1870" t="s">
        <v>1284</v>
      </c>
      <c r="C517" s="1870"/>
      <c r="D517" s="1984" t="s">
        <v>1415</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c r="A518" s="1870"/>
      <c r="B518" s="1870" t="s">
        <v>1285</v>
      </c>
      <c r="C518" s="1870"/>
      <c r="D518" s="1984" t="s">
        <v>1415</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c r="A519" s="1870"/>
      <c r="B519" s="1870"/>
      <c r="C519" s="1870"/>
      <c r="D519" s="1870"/>
      <c r="E519" s="1870"/>
      <c r="F519" s="1956" t="s">
        <v>193</v>
      </c>
      <c r="G519" s="1952">
        <f>SUM(G515:H518)</f>
        <v>577793.68421052629</v>
      </c>
      <c r="H519" s="1952"/>
      <c r="I519" s="1870"/>
      <c r="J519" s="1952">
        <f>SUM(J515:K518)</f>
        <v>577793.68421052629</v>
      </c>
      <c r="K519" s="1952"/>
      <c r="L519" s="1887"/>
      <c r="M519" s="1952">
        <f>SUM(M515:N518)</f>
        <v>0</v>
      </c>
      <c r="N519" s="1952"/>
      <c r="O519" s="1870"/>
      <c r="P519" s="1952">
        <f>SUM(P515:Q518)</f>
        <v>0</v>
      </c>
      <c r="Q519" s="1952"/>
      <c r="R519" s="1870"/>
      <c r="S519" s="1952">
        <f>SUM(S515:T518)</f>
        <v>0</v>
      </c>
      <c r="T519" s="1952"/>
      <c r="U519" s="1870"/>
      <c r="V519" s="1958">
        <f>SUM(V515:V518)</f>
        <v>0</v>
      </c>
      <c r="W519" s="1672"/>
      <c r="X519" s="1672"/>
    </row>
    <row r="520" spans="1:24">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c r="A521" s="1870"/>
      <c r="B521" s="1870" t="s">
        <v>1286</v>
      </c>
      <c r="C521" s="1870"/>
      <c r="D521" s="1870"/>
      <c r="E521" s="1870"/>
      <c r="F521" s="1870"/>
      <c r="G521" s="1952">
        <f>'Part IV-A-Uses of Funds'!G85</f>
        <v>106384.83750000001</v>
      </c>
      <c r="H521" s="1952">
        <f>'Part IV-A-Uses of Funds'!H85</f>
        <v>0</v>
      </c>
      <c r="I521" s="1870"/>
      <c r="J521" s="1952"/>
      <c r="K521" s="1952"/>
      <c r="L521" s="1887"/>
      <c r="M521" s="1952"/>
      <c r="N521" s="1952"/>
      <c r="O521" s="1870"/>
      <c r="P521" s="1952"/>
      <c r="Q521" s="1952"/>
      <c r="R521" s="1870"/>
      <c r="S521" s="1952">
        <f>'Part IV-A-Uses of Funds'!S85</f>
        <v>106384.83750000001</v>
      </c>
      <c r="T521" s="1952">
        <f>'Part IV-A-Uses of Funds'!T85</f>
        <v>0</v>
      </c>
      <c r="U521" s="1870"/>
      <c r="V521" s="1958"/>
      <c r="W521" s="1672"/>
      <c r="X521" s="1672"/>
    </row>
    <row r="522" spans="1:24">
      <c r="A522" s="1870"/>
      <c r="B522" s="1870" t="s">
        <v>1287</v>
      </c>
      <c r="C522" s="1870"/>
      <c r="D522" s="1870"/>
      <c r="E522" s="1870"/>
      <c r="F522" s="1870"/>
      <c r="G522" s="1952">
        <f>'Part IV-A-Uses of Funds'!G86</f>
        <v>70000</v>
      </c>
      <c r="H522" s="1952">
        <f>'Part IV-A-Uses of Funds'!H86</f>
        <v>0</v>
      </c>
      <c r="I522" s="1870"/>
      <c r="J522" s="1952"/>
      <c r="K522" s="1952"/>
      <c r="L522" s="1887"/>
      <c r="M522" s="1952"/>
      <c r="N522" s="1952"/>
      <c r="O522" s="1870"/>
      <c r="P522" s="1952"/>
      <c r="Q522" s="1952"/>
      <c r="R522" s="1870"/>
      <c r="S522" s="1952">
        <f>'Part IV-A-Uses of Funds'!S86</f>
        <v>70000</v>
      </c>
      <c r="T522" s="1952">
        <f>'Part IV-A-Uses of Funds'!T86</f>
        <v>0</v>
      </c>
      <c r="U522" s="1870"/>
      <c r="V522" s="1958"/>
      <c r="W522" s="1672"/>
      <c r="X522" s="1672"/>
    </row>
    <row r="523" spans="1:24">
      <c r="A523" s="1870"/>
      <c r="B523" s="1870" t="s">
        <v>1288</v>
      </c>
      <c r="C523" s="1870"/>
      <c r="D523" s="1870"/>
      <c r="E523" s="1870"/>
      <c r="F523" s="1870"/>
      <c r="G523" s="1952">
        <f>'Part IV-A-Uses of Funds'!G87</f>
        <v>25000</v>
      </c>
      <c r="H523" s="1952">
        <f>'Part IV-A-Uses of Funds'!H87</f>
        <v>0</v>
      </c>
      <c r="I523" s="1870"/>
      <c r="J523" s="1952"/>
      <c r="K523" s="1952"/>
      <c r="L523" s="1887"/>
      <c r="M523" s="1952"/>
      <c r="N523" s="1952"/>
      <c r="O523" s="1870"/>
      <c r="P523" s="1952"/>
      <c r="Q523" s="1952"/>
      <c r="R523" s="1870"/>
      <c r="S523" s="1952">
        <f>'Part IV-A-Uses of Funds'!S87</f>
        <v>25000</v>
      </c>
      <c r="T523" s="1952">
        <f>'Part IV-A-Uses of Funds'!T87</f>
        <v>0</v>
      </c>
      <c r="U523" s="1870"/>
      <c r="V523" s="1958"/>
      <c r="W523" s="1672"/>
      <c r="X523" s="1672"/>
    </row>
    <row r="524" spans="1:24">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c r="A525" s="1870"/>
      <c r="B525" s="1870" t="s">
        <v>2314</v>
      </c>
      <c r="C525" s="1870"/>
      <c r="D525" s="1870"/>
      <c r="E525" s="1870"/>
      <c r="F525" s="1870"/>
      <c r="G525" s="1952">
        <f>'Part IV-A-Uses of Funds'!G89</f>
        <v>340431.48</v>
      </c>
      <c r="H525" s="1952">
        <f>'Part IV-A-Uses of Funds'!H89</f>
        <v>0</v>
      </c>
      <c r="I525" s="1870"/>
      <c r="J525" s="1952"/>
      <c r="K525" s="1952"/>
      <c r="L525" s="1887"/>
      <c r="M525" s="1952"/>
      <c r="N525" s="1952"/>
      <c r="O525" s="1870"/>
      <c r="P525" s="1952"/>
      <c r="Q525" s="1952"/>
      <c r="R525" s="1870"/>
      <c r="S525" s="1952">
        <f>'Part IV-A-Uses of Funds'!S89</f>
        <v>340431.48</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&lt;&lt; Enter description here; provide detail &amp; justification in tab Part IV-b &gt;&gt;</v>
      </c>
      <c r="D526" s="1882">
        <f>'Part IV-A-Uses of Funds'!D90</f>
        <v>0</v>
      </c>
      <c r="E526" s="1882">
        <f>'Part IV-A-Uses of Funds'!E90</f>
        <v>0</v>
      </c>
      <c r="F526" s="1882">
        <f>'Part IV-A-Uses of Funds'!F90</f>
        <v>0</v>
      </c>
      <c r="G526" s="1952">
        <f>'Part IV-A-Uses of Funds'!G90</f>
        <v>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c r="A527" s="1870"/>
      <c r="B527" s="1870"/>
      <c r="C527" s="1870"/>
      <c r="D527" s="1870"/>
      <c r="E527" s="1870"/>
      <c r="F527" s="1956" t="s">
        <v>193</v>
      </c>
      <c r="G527" s="1952">
        <f>SUM(G521:H526)</f>
        <v>541816.3175</v>
      </c>
      <c r="H527" s="1952"/>
      <c r="I527" s="1870"/>
      <c r="J527" s="1952"/>
      <c r="K527" s="1952"/>
      <c r="L527" s="1887"/>
      <c r="M527" s="1952"/>
      <c r="N527" s="1952"/>
      <c r="O527" s="1870"/>
      <c r="P527" s="1952"/>
      <c r="Q527" s="1952"/>
      <c r="R527" s="1870"/>
      <c r="S527" s="1952">
        <f>SUM(S521:T526)</f>
        <v>541816.3175</v>
      </c>
      <c r="T527" s="1952"/>
      <c r="U527" s="1870"/>
      <c r="V527" s="1958">
        <f>SUM(V521:V526)</f>
        <v>0</v>
      </c>
      <c r="W527" s="1672"/>
      <c r="X527" s="1672"/>
    </row>
    <row r="528" spans="1:24">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622</v>
      </c>
      <c r="B529" s="1951" t="s">
        <v>4578</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6500</v>
      </c>
      <c r="H533" s="1952">
        <f>'Part IV-A-Uses of Funds'!H97</f>
        <v>0</v>
      </c>
      <c r="I533" s="1870"/>
      <c r="J533" s="1887"/>
      <c r="K533" s="1887"/>
      <c r="L533" s="1985"/>
      <c r="M533" s="1887"/>
      <c r="N533" s="1887"/>
      <c r="O533" s="1870"/>
      <c r="P533" s="1887"/>
      <c r="Q533" s="1887"/>
      <c r="R533" s="1870"/>
      <c r="S533" s="1952">
        <f>'Part IV-A-Uses of Funds'!S97</f>
        <v>6500</v>
      </c>
      <c r="T533" s="1952">
        <f>'Part IV-A-Uses of Funds'!T97</f>
        <v>0</v>
      </c>
      <c r="U533" s="1870"/>
      <c r="V533" s="1958"/>
      <c r="W533" s="1672"/>
      <c r="X533" s="1672"/>
    </row>
    <row r="534" spans="1:24">
      <c r="A534" s="1870"/>
      <c r="B534" s="1870" t="s">
        <v>3991</v>
      </c>
      <c r="C534" s="1870"/>
      <c r="D534" s="1870"/>
      <c r="E534" s="1870"/>
      <c r="F534" s="1870"/>
      <c r="G534" s="1952">
        <f>'Part IV-A-Uses of Funds'!G98</f>
        <v>1000</v>
      </c>
      <c r="H534" s="1952">
        <f>'Part IV-A-Uses of Funds'!H98</f>
        <v>0</v>
      </c>
      <c r="I534" s="1870"/>
      <c r="J534" s="1887"/>
      <c r="K534" s="1887"/>
      <c r="L534" s="1985"/>
      <c r="M534" s="1887"/>
      <c r="N534" s="1887"/>
      <c r="O534" s="1870"/>
      <c r="P534" s="1887"/>
      <c r="Q534" s="1887"/>
      <c r="R534" s="1870"/>
      <c r="S534" s="1952">
        <f>'Part IV-A-Uses of Funds'!S98</f>
        <v>1000</v>
      </c>
      <c r="T534" s="1952">
        <f>'Part IV-A-Uses of Funds'!T98</f>
        <v>0</v>
      </c>
      <c r="U534" s="1870"/>
      <c r="V534" s="1958"/>
      <c r="W534" s="1672"/>
      <c r="X534" s="1672"/>
    </row>
    <row r="535" spans="1:24">
      <c r="A535" s="1870"/>
      <c r="B535" s="1870" t="s">
        <v>524</v>
      </c>
      <c r="C535" s="1870"/>
      <c r="D535" s="1870"/>
      <c r="E535" s="1986">
        <f>'DCA Underwriting Assumptions'!$Q$88*J611</f>
        <v>61183.44</v>
      </c>
      <c r="F535" s="1986"/>
      <c r="G535" s="1952">
        <f>'Part IV-A-Uses of Funds'!G99</f>
        <v>62000.4</v>
      </c>
      <c r="H535" s="1952">
        <f>'Part IV-A-Uses of Funds'!H99</f>
        <v>0</v>
      </c>
      <c r="I535" s="1870"/>
      <c r="J535" s="1987" t="str">
        <f>IF(E535&gt;G535,"WARNING!  LIHTC Allocation Fee proposed is below minimum required.","")</f>
        <v/>
      </c>
      <c r="K535" s="1887"/>
      <c r="L535" s="1887"/>
      <c r="M535" s="1887"/>
      <c r="N535" s="1887"/>
      <c r="O535" s="1870"/>
      <c r="P535" s="1887"/>
      <c r="Q535" s="1887"/>
      <c r="R535" s="1870"/>
      <c r="S535" s="1952">
        <f>'Part IV-A-Uses of Funds'!S99</f>
        <v>62000.4</v>
      </c>
      <c r="T535" s="1952">
        <f>'Part IV-A-Uses of Funds'!T99</f>
        <v>0</v>
      </c>
      <c r="U535" s="1870"/>
      <c r="V535" s="1958"/>
      <c r="W535" s="1672"/>
      <c r="X535" s="1672"/>
    </row>
    <row r="536" spans="1:24">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76800</v>
      </c>
      <c r="F536" s="1986"/>
      <c r="G536" s="1952">
        <f>'Part IV-A-Uses of Funds'!G100</f>
        <v>76800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76800</v>
      </c>
      <c r="T536" s="1952">
        <f>'Part IV-A-Uses of Funds'!T100</f>
        <v>0</v>
      </c>
      <c r="U536" s="1870"/>
      <c r="V536" s="1958"/>
      <c r="W536" s="1672"/>
      <c r="X536" s="1672"/>
    </row>
    <row r="537" spans="1:24">
      <c r="A537" s="1870"/>
      <c r="B537" s="1870" t="s">
        <v>4306</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3000</v>
      </c>
      <c r="T537" s="1952">
        <f>'Part IV-A-Uses of Funds'!T101</f>
        <v>0</v>
      </c>
      <c r="U537" s="1870"/>
      <c r="V537" s="1958"/>
      <c r="W537" s="1672"/>
      <c r="X537" s="1672"/>
    </row>
    <row r="538" spans="1:24">
      <c r="A538" s="1870"/>
      <c r="B538" s="1870" t="s">
        <v>4307</v>
      </c>
      <c r="C538" s="1870"/>
      <c r="D538" s="1870"/>
      <c r="E538" s="1870"/>
      <c r="F538" s="1988">
        <f>'DCA Underwriting Assumptions'!$Q$111</f>
        <v>3000</v>
      </c>
      <c r="G538" s="1952">
        <f>'Part IV-A-Uses of Funds'!G102</f>
        <v>3000</v>
      </c>
      <c r="H538" s="1952">
        <f>'Part IV-A-Uses of Funds'!H102</f>
        <v>0</v>
      </c>
      <c r="I538" s="1870"/>
      <c r="J538" s="1876"/>
      <c r="K538" s="1876"/>
      <c r="L538" s="1876"/>
      <c r="M538" s="1876"/>
      <c r="N538" s="1876"/>
      <c r="O538" s="1876"/>
      <c r="P538" s="1876"/>
      <c r="Q538" s="1876"/>
      <c r="R538" s="1870"/>
      <c r="S538" s="1952">
        <f>'Part IV-A-Uses of Funds'!S102</f>
        <v>3000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&lt;&lt; Enter description here; provide detail &amp; justification in tab Part IV-b &gt;&gt;</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c r="A541" s="1870"/>
      <c r="B541" s="1870"/>
      <c r="C541" s="1870"/>
      <c r="D541" s="1870"/>
      <c r="E541" s="1870"/>
      <c r="F541" s="1956" t="s">
        <v>193</v>
      </c>
      <c r="G541" s="1952">
        <f>SUM(G532:H540)</f>
        <v>152300.4</v>
      </c>
      <c r="H541" s="1952"/>
      <c r="I541" s="1870"/>
      <c r="J541" s="1887"/>
      <c r="K541" s="1887"/>
      <c r="L541" s="1887"/>
      <c r="M541" s="1887"/>
      <c r="N541" s="1887"/>
      <c r="O541" s="1870"/>
      <c r="P541" s="1887"/>
      <c r="Q541" s="1887"/>
      <c r="R541" s="1870"/>
      <c r="S541" s="1952">
        <f>SUM(S532:T540)</f>
        <v>152300.4</v>
      </c>
      <c r="T541" s="1952"/>
      <c r="U541" s="1870"/>
      <c r="V541" s="1958">
        <f>SUM(V532:V540)</f>
        <v>0</v>
      </c>
      <c r="W541" s="2061"/>
      <c r="X541" s="2061"/>
    </row>
    <row r="542" spans="1:24">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c r="A543" s="1870"/>
      <c r="B543" s="1870" t="s">
        <v>281</v>
      </c>
      <c r="C543" s="1870"/>
      <c r="D543" s="1870"/>
      <c r="E543" s="1870"/>
      <c r="F543" s="1870"/>
      <c r="G543" s="1952">
        <f>'Part IV-A-Uses of Funds'!G107</f>
        <v>2500</v>
      </c>
      <c r="H543" s="1952">
        <f>'Part IV-A-Uses of Funds'!H107</f>
        <v>0</v>
      </c>
      <c r="I543" s="1870"/>
      <c r="J543" s="1952"/>
      <c r="K543" s="1952"/>
      <c r="L543" s="1887"/>
      <c r="M543" s="1952"/>
      <c r="N543" s="1952"/>
      <c r="O543" s="1870"/>
      <c r="P543" s="1952"/>
      <c r="Q543" s="1952"/>
      <c r="R543" s="1870"/>
      <c r="S543" s="1952">
        <f>'Part IV-A-Uses of Funds'!S107</f>
        <v>2500</v>
      </c>
      <c r="T543" s="1952">
        <f>'Part IV-A-Uses of Funds'!T107</f>
        <v>0</v>
      </c>
      <c r="U543" s="1870"/>
      <c r="V543" s="1958"/>
      <c r="W543" s="1672"/>
      <c r="X543" s="1672"/>
    </row>
    <row r="544" spans="1:24">
      <c r="A544" s="1870"/>
      <c r="B544" s="1870" t="s">
        <v>282</v>
      </c>
      <c r="C544" s="1870"/>
      <c r="D544" s="1870"/>
      <c r="E544" s="1870"/>
      <c r="F544" s="1870"/>
      <c r="G544" s="1952">
        <f>'Part IV-A-Uses of Funds'!G108</f>
        <v>0</v>
      </c>
      <c r="H544" s="1952">
        <f>'Part IV-A-Uses of Funds'!H108</f>
        <v>0</v>
      </c>
      <c r="I544" s="1870"/>
      <c r="J544" s="1952"/>
      <c r="K544" s="1952"/>
      <c r="L544" s="1887"/>
      <c r="M544" s="1952"/>
      <c r="N544" s="1952"/>
      <c r="O544" s="1870"/>
      <c r="P544" s="1952"/>
      <c r="Q544" s="1952"/>
      <c r="R544" s="1870"/>
      <c r="S544" s="1952">
        <f>'Part IV-A-Uses of Funds'!S108</f>
        <v>0</v>
      </c>
      <c r="T544" s="1952">
        <f>'Part IV-A-Uses of Funds'!T108</f>
        <v>0</v>
      </c>
      <c r="U544" s="1870"/>
      <c r="V544" s="1958"/>
      <c r="W544" s="1672"/>
      <c r="X544" s="1672"/>
    </row>
    <row r="545" spans="1:24">
      <c r="A545" s="1870"/>
      <c r="B545" s="1870" t="s">
        <v>2402</v>
      </c>
      <c r="C545" s="1870"/>
      <c r="D545" s="1870"/>
      <c r="E545" s="1870"/>
      <c r="F545" s="1870"/>
      <c r="G545" s="1952">
        <f>'Part IV-A-Uses of Funds'!G109</f>
        <v>0</v>
      </c>
      <c r="H545" s="1952">
        <f>'Part IV-A-Uses of Funds'!H109</f>
        <v>0</v>
      </c>
      <c r="I545" s="1870"/>
      <c r="J545" s="1952"/>
      <c r="K545" s="1952"/>
      <c r="L545" s="1887"/>
      <c r="M545" s="1952"/>
      <c r="N545" s="1952"/>
      <c r="O545" s="1870"/>
      <c r="P545" s="1952"/>
      <c r="Q545" s="1952"/>
      <c r="R545" s="1870"/>
      <c r="S545" s="1952">
        <f>'Part IV-A-Uses of Funds'!S109</f>
        <v>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c r="A547" s="1870"/>
      <c r="B547" s="1870"/>
      <c r="C547" s="1870"/>
      <c r="D547" s="1870"/>
      <c r="E547" s="1870"/>
      <c r="F547" s="1956" t="s">
        <v>193</v>
      </c>
      <c r="G547" s="1952">
        <f>SUM(G543:H546)</f>
        <v>2500</v>
      </c>
      <c r="H547" s="1952"/>
      <c r="I547" s="1870"/>
      <c r="J547" s="1952"/>
      <c r="K547" s="1952"/>
      <c r="L547" s="1887"/>
      <c r="M547" s="1952"/>
      <c r="N547" s="1952"/>
      <c r="O547" s="1870"/>
      <c r="P547" s="1952"/>
      <c r="Q547" s="1952"/>
      <c r="R547" s="1870"/>
      <c r="S547" s="1952">
        <f>SUM(S543:T546)</f>
        <v>2500</v>
      </c>
      <c r="T547" s="1952"/>
      <c r="U547" s="1870"/>
      <c r="V547" s="1958">
        <f>SUM(V543:V546)</f>
        <v>0</v>
      </c>
      <c r="W547" s="1672"/>
      <c r="X547" s="1672"/>
    </row>
    <row r="548" spans="1:24">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c r="A550" s="1870"/>
      <c r="B550" s="1870" t="s">
        <v>4258</v>
      </c>
      <c r="C550" s="1870"/>
      <c r="D550" s="1870"/>
      <c r="E550" s="1870"/>
      <c r="F550" s="2359">
        <f>'Part IV-A-Uses of Funds'!F114</f>
        <v>1253476.6875641448</v>
      </c>
      <c r="G550" s="1870"/>
      <c r="H550" s="1870"/>
      <c r="I550" s="1870"/>
      <c r="J550" s="1870"/>
      <c r="K550" s="1870"/>
      <c r="L550" s="1870"/>
      <c r="M550" s="1870"/>
      <c r="N550" s="1870"/>
      <c r="O550" s="1870"/>
      <c r="P550" s="1870"/>
      <c r="Q550" s="1870"/>
      <c r="R550" s="1870"/>
      <c r="S550" s="1870"/>
      <c r="T550" s="1870"/>
      <c r="U550" s="1870"/>
      <c r="V550" s="1958"/>
      <c r="W550" s="1672"/>
      <c r="X550" s="1672"/>
    </row>
    <row r="551" spans="1:24">
      <c r="A551" s="1870"/>
      <c r="B551" s="1870" t="s">
        <v>1875</v>
      </c>
      <c r="C551" s="1870"/>
      <c r="D551" s="1870"/>
      <c r="E551" s="1870"/>
      <c r="F551" s="1939">
        <f>IF($G$118=0,0,G551/$G$118)</f>
        <v>0</v>
      </c>
      <c r="G551" s="1952">
        <f>'Part IV-A-Uses of Funds'!G115</f>
        <v>124997.62765817485</v>
      </c>
      <c r="H551" s="1952">
        <f>'Part IV-A-Uses of Funds'!H115</f>
        <v>0</v>
      </c>
      <c r="I551" s="1870"/>
      <c r="J551" s="1952">
        <f>'Part IV-A-Uses of Funds'!J115</f>
        <v>124997.62765817485</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c r="A552" s="1870"/>
      <c r="B552" s="1870" t="s">
        <v>3662</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c r="A553" s="1870"/>
      <c r="B553" s="1870" t="s">
        <v>1867</v>
      </c>
      <c r="C553" s="1870"/>
      <c r="D553" s="1870"/>
      <c r="E553" s="1870"/>
      <c r="F553" s="1939">
        <f>IF($G$118=0,0,G553/$G$118)</f>
        <v>0</v>
      </c>
      <c r="G553" s="1952">
        <f>'Part IV-A-Uses of Funds'!G117</f>
        <v>2379964.8504615617</v>
      </c>
      <c r="H553" s="1952">
        <f>'Part IV-A-Uses of Funds'!H117</f>
        <v>0</v>
      </c>
      <c r="I553" s="1870"/>
      <c r="J553" s="1952">
        <f>'Part IV-A-Uses of Funds'!J117</f>
        <v>2379964.8504615617</v>
      </c>
      <c r="K553" s="1952">
        <f>'Part IV-A-Uses of Funds'!K117</f>
        <v>0</v>
      </c>
      <c r="L553" s="1887"/>
      <c r="M553" s="1952">
        <f>'Part IV-A-Uses of Funds'!M117</f>
        <v>0</v>
      </c>
      <c r="N553" s="1952">
        <f>'Part IV-A-Uses of Funds'!N117</f>
        <v>0</v>
      </c>
      <c r="O553" s="1870"/>
      <c r="P553" s="1952">
        <f>'Part IV-A-Uses of Funds'!P117</f>
        <v>0</v>
      </c>
      <c r="Q553" s="1952">
        <f>'Part IV-A-Uses of Funds'!Q117</f>
        <v>0</v>
      </c>
      <c r="R553" s="1870"/>
      <c r="S553" s="1952">
        <f>'Part IV-A-Uses of Funds'!S117</f>
        <v>0</v>
      </c>
      <c r="T553" s="1952">
        <f>'Part IV-A-Uses of Funds'!T117</f>
        <v>0</v>
      </c>
      <c r="U553" s="1870"/>
      <c r="V553" s="1958"/>
      <c r="W553" s="1672"/>
      <c r="X553" s="1672"/>
    </row>
    <row r="554" spans="1:24">
      <c r="A554" s="1870"/>
      <c r="B554" s="1870"/>
      <c r="C554" s="1871"/>
      <c r="D554" s="1870"/>
      <c r="E554" s="1870"/>
      <c r="F554" s="1956" t="s">
        <v>193</v>
      </c>
      <c r="G554" s="1952">
        <f>SUM(G549:H553)</f>
        <v>2504962.4781197365</v>
      </c>
      <c r="H554" s="1952"/>
      <c r="I554" s="1870"/>
      <c r="J554" s="1952">
        <f>SUM(J549:K553)</f>
        <v>2504962.4781197365</v>
      </c>
      <c r="K554" s="1952"/>
      <c r="L554" s="1887"/>
      <c r="M554" s="1952">
        <f>SUM(M549:N553)</f>
        <v>0</v>
      </c>
      <c r="N554" s="1952"/>
      <c r="O554" s="1870"/>
      <c r="P554" s="1952">
        <f>SUM(P549:Q553)</f>
        <v>0</v>
      </c>
      <c r="Q554" s="1952"/>
      <c r="R554" s="1870"/>
      <c r="S554" s="1952">
        <f>SUM(S549:T553)</f>
        <v>0</v>
      </c>
      <c r="T554" s="1952"/>
      <c r="U554" s="1870"/>
      <c r="V554" s="1958">
        <f>SUM(V549:V553)</f>
        <v>0</v>
      </c>
      <c r="W554" s="1672"/>
      <c r="X554" s="1672"/>
    </row>
    <row r="555" spans="1:24">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c r="A556" s="1870"/>
      <c r="B556" s="1870" t="s">
        <v>253</v>
      </c>
      <c r="C556" s="1870"/>
      <c r="D556" s="1870"/>
      <c r="E556" s="1870"/>
      <c r="F556" s="1870"/>
      <c r="G556" s="1952">
        <f>'Part IV-A-Uses of Funds'!G120</f>
        <v>50000</v>
      </c>
      <c r="H556" s="1952">
        <f>'Part IV-A-Uses of Funds'!H120</f>
        <v>0</v>
      </c>
      <c r="I556" s="1870"/>
      <c r="J556" s="1985"/>
      <c r="K556" s="1985"/>
      <c r="L556" s="1985"/>
      <c r="M556" s="1985"/>
      <c r="N556" s="1985"/>
      <c r="O556" s="1870"/>
      <c r="P556" s="1985"/>
      <c r="Q556" s="1985"/>
      <c r="R556" s="1870"/>
      <c r="S556" s="1952">
        <f>'Part IV-A-Uses of Funds'!S120</f>
        <v>50000</v>
      </c>
      <c r="T556" s="1952">
        <f>'Part IV-A-Uses of Funds'!T120</f>
        <v>0</v>
      </c>
      <c r="U556" s="1870"/>
      <c r="V556" s="1958"/>
      <c r="W556" s="1672"/>
      <c r="X556" s="1672"/>
    </row>
    <row r="557" spans="1:24">
      <c r="A557" s="1870"/>
      <c r="B557" s="1870" t="s">
        <v>1548</v>
      </c>
      <c r="C557" s="1870"/>
      <c r="D557" s="1870"/>
      <c r="E557" s="1870"/>
      <c r="F557" s="1989">
        <f>+'Part VI-Revenues &amp; Expenses'!$P$175*('DCA Underwriting Assumptions'!$Q$110/12)</f>
        <v>108000</v>
      </c>
      <c r="G557" s="1952">
        <f>'Part IV-A-Uses of Funds'!G121</f>
        <v>108000</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108000</v>
      </c>
      <c r="T557" s="1952">
        <f>'Part IV-A-Uses of Funds'!T121</f>
        <v>0</v>
      </c>
      <c r="U557" s="1870"/>
      <c r="V557" s="1958"/>
      <c r="W557" s="1672"/>
      <c r="X557" s="1672"/>
    </row>
    <row r="558" spans="1:24">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490225.87007976859</v>
      </c>
      <c r="G558" s="1952">
        <f>'Part IV-A-Uses of Funds'!G122</f>
        <v>490225.87007976859</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490225.87007976859</v>
      </c>
      <c r="T558" s="1952">
        <f>'Part IV-A-Uses of Funds'!T122</f>
        <v>0</v>
      </c>
      <c r="U558" s="1870"/>
      <c r="V558" s="1958"/>
      <c r="W558" s="1672"/>
      <c r="X558" s="1672"/>
    </row>
    <row r="559" spans="1:24">
      <c r="A559" s="1870"/>
      <c r="B559" s="1870" t="s">
        <v>1256</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c r="A560" s="1870"/>
      <c r="B560" s="1870" t="s">
        <v>1257</v>
      </c>
      <c r="C560" s="1870"/>
      <c r="D560" s="1870"/>
      <c r="E560" s="1917" t="s">
        <v>3591</v>
      </c>
      <c r="F560" s="1959">
        <f>IF('Part VI-Revenues &amp; Expenses'!$O$62=0,0,G560/'Part VI-Revenues &amp; Expenses'!$O$62)</f>
        <v>520.83333333333337</v>
      </c>
      <c r="G560" s="1952">
        <f>'Part IV-A-Uses of Funds'!G124</f>
        <v>50000</v>
      </c>
      <c r="H560" s="1952">
        <f>'Part IV-A-Uses of Funds'!H124</f>
        <v>0</v>
      </c>
      <c r="I560" s="1870"/>
      <c r="J560" s="1952">
        <f>'Part IV-A-Uses of Funds'!J124</f>
        <v>50000</v>
      </c>
      <c r="K560" s="1952">
        <f>'Part IV-A-Uses of Funds'!K124</f>
        <v>0</v>
      </c>
      <c r="L560" s="1887"/>
      <c r="M560" s="1952">
        <f>'Part IV-A-Uses of Funds'!M124</f>
        <v>0</v>
      </c>
      <c r="N560" s="1952">
        <f>'Part IV-A-Uses of Funds'!N124</f>
        <v>0</v>
      </c>
      <c r="O560" s="1870"/>
      <c r="P560" s="1952">
        <f>'Part IV-A-Uses of Funds'!P124</f>
        <v>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c r="A562" s="1870"/>
      <c r="B562" s="1992"/>
      <c r="C562" s="1870"/>
      <c r="D562" s="1870"/>
      <c r="E562" s="1870"/>
      <c r="F562" s="1956" t="s">
        <v>193</v>
      </c>
      <c r="G562" s="1952">
        <f>SUM(G556:H561)</f>
        <v>698225.87007976859</v>
      </c>
      <c r="H562" s="1952"/>
      <c r="I562" s="1870"/>
      <c r="J562" s="1952">
        <f>SUM(J560:K561)</f>
        <v>50000</v>
      </c>
      <c r="K562" s="1952"/>
      <c r="L562" s="1887"/>
      <c r="M562" s="1952">
        <f>SUM(M560:N561)</f>
        <v>0</v>
      </c>
      <c r="N562" s="1952"/>
      <c r="O562" s="1870"/>
      <c r="P562" s="1952">
        <f>SUM(P560:Q561)</f>
        <v>0</v>
      </c>
      <c r="Q562" s="1952"/>
      <c r="R562" s="1870"/>
      <c r="S562" s="1952">
        <f>SUM(S556:T561)</f>
        <v>648225.87007976859</v>
      </c>
      <c r="T562" s="1952"/>
      <c r="U562" s="1870"/>
      <c r="V562" s="1958">
        <f>SUM(V556:V561)</f>
        <v>0</v>
      </c>
      <c r="W562" s="1672"/>
      <c r="X562" s="1672"/>
    </row>
    <row r="563" spans="1:24">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c r="A564" s="1870"/>
      <c r="B564" s="1870" t="s">
        <v>617</v>
      </c>
      <c r="C564" s="1877"/>
      <c r="D564" s="1870"/>
      <c r="E564" s="1870"/>
      <c r="F564" s="1870"/>
      <c r="G564" s="1952">
        <f>'Part IV-A-Uses of Funds'!G128</f>
        <v>0</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0</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c r="A566" s="1870"/>
      <c r="B566" s="1870"/>
      <c r="C566" s="1877"/>
      <c r="D566" s="1870"/>
      <c r="E566" s="1870"/>
      <c r="F566" s="1956" t="s">
        <v>193</v>
      </c>
      <c r="G566" s="1952">
        <f>SUM(G564:H565)</f>
        <v>0</v>
      </c>
      <c r="H566" s="1952"/>
      <c r="I566" s="1870"/>
      <c r="J566" s="1952">
        <f>SUM(J564:K565)</f>
        <v>0</v>
      </c>
      <c r="K566" s="1952"/>
      <c r="L566" s="1887"/>
      <c r="M566" s="1952">
        <f>SUM(M564:N565)</f>
        <v>0</v>
      </c>
      <c r="N566" s="1952"/>
      <c r="O566" s="1870"/>
      <c r="P566" s="1952">
        <f>SUM(P564:Q565)</f>
        <v>0</v>
      </c>
      <c r="Q566" s="1952"/>
      <c r="R566" s="1870"/>
      <c r="S566" s="1952">
        <f>SUM(S564:T565)</f>
        <v>0</v>
      </c>
      <c r="T566" s="1952"/>
      <c r="U566" s="1870"/>
      <c r="V566" s="1958">
        <f>SUM(V564:V565)</f>
        <v>0</v>
      </c>
      <c r="W566" s="1672"/>
      <c r="X566" s="1672"/>
    </row>
    <row r="567" spans="1:24">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c r="A568" s="1870"/>
      <c r="B568" s="1871" t="s">
        <v>4579</v>
      </c>
      <c r="C568" s="1870"/>
      <c r="D568" s="1870"/>
      <c r="E568" s="1870"/>
      <c r="F568" s="1870"/>
      <c r="G568" s="1994">
        <f>G453+G459+G463+G469+G474+G477+G483+G500+G513+G519+G527+G541+G547+G554+G562+G566</f>
        <v>20706223.689910028</v>
      </c>
      <c r="H568" s="1994"/>
      <c r="I568" s="1870"/>
      <c r="J568" s="1994">
        <f>J453+J459+J463+J469+J474+J477+J483+J500+J513+J519+J527+J541+J547+J554+J562+J566</f>
        <v>18384447.60233026</v>
      </c>
      <c r="K568" s="1994"/>
      <c r="L568" s="1870"/>
      <c r="M568" s="1994">
        <f>M453+M459+M463+M469+M474+M477+M483+M500+M513+M519+M527+M541+M547+M554+M562+M566</f>
        <v>0</v>
      </c>
      <c r="N568" s="1994"/>
      <c r="O568" s="1870"/>
      <c r="P568" s="1994">
        <f>P453+P459+P463+P469+P474+P477+P483+P500+P513+P519+P527+P541+P547+P554+P562+P566</f>
        <v>0</v>
      </c>
      <c r="Q568" s="1994"/>
      <c r="R568" s="1870"/>
      <c r="S568" s="1994">
        <f>S453+S459+S463+S469+S474+S477+S483+S500+S513+S519+S527+S541+S547+S554+S562+S566</f>
        <v>2321776.0875797682</v>
      </c>
      <c r="T568" s="1994"/>
      <c r="U568" s="1870"/>
      <c r="V568" s="1958">
        <f>V453+V459+V463+V469+V474+V477+V483+V500+V513+V519+V527+V541+V547+V554+V562+V566</f>
        <v>0</v>
      </c>
      <c r="W568" s="1672"/>
      <c r="X568" s="1672"/>
    </row>
    <row r="569" spans="1:24">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c r="A570" s="1870"/>
      <c r="B570" s="1995" t="s">
        <v>4580</v>
      </c>
      <c r="C570" s="1969"/>
      <c r="D570" s="1996">
        <f>IF('Part VI-Revenues &amp; Expenses'!$O$62=0,0,G568/'Part VI-Revenues &amp; Expenses'!$O$62)</f>
        <v>215689.83010322947</v>
      </c>
      <c r="E570" s="1996"/>
      <c r="F570" s="1997" t="s">
        <v>2781</v>
      </c>
      <c r="G570" s="1996">
        <f>IF('Part I-Project Information'!$P$71=0,0,G568/'Part I-Project Information'!$P$71)</f>
        <v>169.30681676132485</v>
      </c>
      <c r="H570" s="1996"/>
      <c r="I570" s="1998"/>
      <c r="J570" s="1870"/>
      <c r="K570" s="1870"/>
      <c r="L570" s="1870"/>
      <c r="M570" s="1870"/>
      <c r="N570" s="1870"/>
      <c r="O570" s="1870"/>
      <c r="P570" s="1870"/>
      <c r="Q570" s="1870"/>
      <c r="R570" s="1870"/>
      <c r="S570" s="1870"/>
      <c r="T570" s="1870"/>
      <c r="U570" s="1870"/>
      <c r="V570" s="1958"/>
      <c r="W570" s="1870"/>
      <c r="X570" s="1870"/>
    </row>
    <row r="571" spans="1:24">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c r="A585" s="1870"/>
      <c r="B585" s="1870" t="s">
        <v>1803</v>
      </c>
      <c r="C585" s="1870"/>
      <c r="D585" s="1870"/>
      <c r="E585" s="1870"/>
      <c r="F585" s="1870"/>
      <c r="G585" s="1870"/>
      <c r="H585" s="1870"/>
      <c r="I585" s="1870"/>
      <c r="J585" s="2002">
        <f>J568</f>
        <v>18384447.60233026</v>
      </c>
      <c r="K585" s="2002"/>
      <c r="L585" s="1870"/>
      <c r="M585" s="2002">
        <f>M568</f>
        <v>0</v>
      </c>
      <c r="N585" s="2002"/>
      <c r="O585" s="1870"/>
      <c r="P585" s="2002">
        <f>P568</f>
        <v>0</v>
      </c>
      <c r="Q585" s="2002"/>
      <c r="R585" s="1870"/>
      <c r="S585" s="1870"/>
      <c r="T585" s="1870"/>
      <c r="U585" s="1870"/>
      <c r="V585" s="1958"/>
      <c r="W585" s="1672"/>
      <c r="X585" s="1672"/>
    </row>
    <row r="586" spans="1:24">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c r="A587" s="1870"/>
      <c r="B587" s="1870" t="s">
        <v>2237</v>
      </c>
      <c r="C587" s="1870"/>
      <c r="D587" s="1870"/>
      <c r="E587" s="1870"/>
      <c r="F587" s="1870"/>
      <c r="G587" s="1870"/>
      <c r="H587" s="1870"/>
      <c r="I587" s="1870"/>
      <c r="J587" s="2002">
        <f>J585-J586</f>
        <v>18384447.60233026</v>
      </c>
      <c r="K587" s="2002"/>
      <c r="L587" s="1870"/>
      <c r="M587" s="2002">
        <f>M585</f>
        <v>0</v>
      </c>
      <c r="N587" s="2002"/>
      <c r="O587" s="1870"/>
      <c r="P587" s="2002">
        <f>P585-P586</f>
        <v>0</v>
      </c>
      <c r="Q587" s="2002"/>
      <c r="R587" s="1870"/>
      <c r="S587" s="1870"/>
      <c r="T587" s="1870"/>
      <c r="U587" s="1870"/>
      <c r="V587" s="1958"/>
      <c r="W587" s="1672"/>
      <c r="X587" s="1672"/>
    </row>
    <row r="588" spans="1:24">
      <c r="A588" s="1870"/>
      <c r="B588" s="1870" t="s">
        <v>1497</v>
      </c>
      <c r="C588" s="1870"/>
      <c r="D588" s="1870"/>
      <c r="E588" s="1870"/>
      <c r="F588" s="1870"/>
      <c r="G588" s="1874" t="s">
        <v>1727</v>
      </c>
      <c r="H588" s="1870" t="str">
        <f>'Part IV-A-Uses of Funds'!H152</f>
        <v>DDA/QCT</v>
      </c>
      <c r="I588" s="1870">
        <f>'Part IV-A-Uses of Funds'!I152</f>
        <v>0</v>
      </c>
      <c r="J588" s="2003">
        <f>'Part IV-A-Uses of Funds'!J152</f>
        <v>1.3</v>
      </c>
      <c r="K588" s="2003">
        <f>'Part IV-A-Uses of Funds'!K152</f>
        <v>0</v>
      </c>
      <c r="L588" s="1870"/>
      <c r="M588" s="2003"/>
      <c r="N588" s="2003"/>
      <c r="O588" s="1870"/>
      <c r="P588" s="2003">
        <f>'Part IV-A-Uses of Funds'!P152</f>
        <v>1.3</v>
      </c>
      <c r="Q588" s="2003">
        <f>'Part IV-A-Uses of Funds'!Q152</f>
        <v>0</v>
      </c>
      <c r="R588" s="1870"/>
      <c r="S588" s="1870"/>
      <c r="T588" s="1870"/>
      <c r="U588" s="1870"/>
      <c r="V588" s="1958"/>
      <c r="W588" s="1672"/>
      <c r="X588" s="1672"/>
    </row>
    <row r="589" spans="1:24">
      <c r="A589" s="1870"/>
      <c r="B589" s="1870" t="s">
        <v>2070</v>
      </c>
      <c r="C589" s="1870"/>
      <c r="D589" s="1870"/>
      <c r="E589" s="1870"/>
      <c r="F589" s="1870"/>
      <c r="G589" s="1870"/>
      <c r="H589" s="1870"/>
      <c r="I589" s="1870"/>
      <c r="J589" s="2002">
        <f>J587*J588</f>
        <v>23899781.883029338</v>
      </c>
      <c r="K589" s="2002"/>
      <c r="L589" s="1870"/>
      <c r="M589" s="2002">
        <f>+M587</f>
        <v>0</v>
      </c>
      <c r="N589" s="2002"/>
      <c r="O589" s="1870"/>
      <c r="P589" s="2002">
        <f>P587*P588</f>
        <v>0</v>
      </c>
      <c r="Q589" s="2002"/>
      <c r="R589" s="1870"/>
      <c r="S589" s="1870"/>
      <c r="T589" s="1870"/>
      <c r="U589" s="1870"/>
      <c r="V589" s="1958"/>
      <c r="W589" s="1672"/>
      <c r="X589" s="1672"/>
    </row>
    <row r="590" spans="1:24">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c r="A591" s="1870"/>
      <c r="B591" s="1870" t="s">
        <v>2061</v>
      </c>
      <c r="C591" s="1870"/>
      <c r="D591" s="1870"/>
      <c r="E591" s="1870"/>
      <c r="F591" s="1870"/>
      <c r="G591" s="1870"/>
      <c r="H591" s="1870"/>
      <c r="I591" s="1870"/>
      <c r="J591" s="2002">
        <f>J589*J590</f>
        <v>23899781.883029338</v>
      </c>
      <c r="K591" s="2002"/>
      <c r="L591" s="1870"/>
      <c r="M591" s="2002">
        <f>M589*M590</f>
        <v>0</v>
      </c>
      <c r="N591" s="2002"/>
      <c r="O591" s="1870"/>
      <c r="P591" s="2002">
        <f>P589*P590</f>
        <v>0</v>
      </c>
      <c r="Q591" s="2002"/>
      <c r="R591" s="1870"/>
      <c r="S591" s="1870"/>
      <c r="T591" s="1870"/>
      <c r="U591" s="1870"/>
      <c r="V591" s="1958"/>
      <c r="W591" s="1672"/>
      <c r="X591" s="1672"/>
    </row>
    <row r="592" spans="1:24">
      <c r="A592" s="1870"/>
      <c r="B592" s="1870" t="s">
        <v>2062</v>
      </c>
      <c r="C592" s="1870"/>
      <c r="D592" s="1870"/>
      <c r="E592" s="1870"/>
      <c r="F592" s="1870"/>
      <c r="G592" s="1870"/>
      <c r="H592" s="1870"/>
      <c r="I592" s="1870"/>
      <c r="J592" s="2003">
        <f>'Part IV-A-Uses of Funds'!J156</f>
        <v>3.2000000000000001E-2</v>
      </c>
      <c r="K592" s="2003">
        <f>'Part IV-A-Uses of Funds'!K156</f>
        <v>0</v>
      </c>
      <c r="L592" s="1870"/>
      <c r="M592" s="2003">
        <f>'Part IV-A-Uses of Funds'!M156</f>
        <v>3.2000000000000001E-2</v>
      </c>
      <c r="N592" s="2003">
        <f>'Part IV-A-Uses of Funds'!N156</f>
        <v>0</v>
      </c>
      <c r="O592" s="1870"/>
      <c r="P592" s="2003">
        <f>'Part IV-A-Uses of Funds'!P156</f>
        <v>3.2000000000000001E-2</v>
      </c>
      <c r="Q592" s="2003">
        <f>'Part IV-A-Uses of Funds'!Q156</f>
        <v>0</v>
      </c>
      <c r="R592" s="1870"/>
      <c r="S592" s="1870"/>
      <c r="T592" s="1870"/>
      <c r="U592" s="1870"/>
      <c r="V592" s="1958"/>
      <c r="W592" s="1672"/>
      <c r="X592" s="1672"/>
    </row>
    <row r="593" spans="1:24">
      <c r="A593" s="1870"/>
      <c r="B593" s="1870" t="s">
        <v>2559</v>
      </c>
      <c r="C593" s="1870"/>
      <c r="D593" s="1870"/>
      <c r="E593" s="1870"/>
      <c r="F593" s="1870"/>
      <c r="G593" s="1870"/>
      <c r="H593" s="1870"/>
      <c r="I593" s="1870"/>
      <c r="J593" s="2002">
        <f>J591*J592</f>
        <v>764793.02025693888</v>
      </c>
      <c r="K593" s="2002"/>
      <c r="L593" s="1870"/>
      <c r="M593" s="2002">
        <f>M591*M592</f>
        <v>0</v>
      </c>
      <c r="N593" s="2002"/>
      <c r="O593" s="1870"/>
      <c r="P593" s="2002">
        <f>P591*P592</f>
        <v>0</v>
      </c>
      <c r="Q593" s="2002"/>
      <c r="R593" s="1870"/>
      <c r="S593" s="1870"/>
      <c r="T593" s="1870"/>
      <c r="U593" s="1870"/>
      <c r="V593" s="1958"/>
      <c r="W593" s="1672"/>
      <c r="X593" s="1672"/>
    </row>
    <row r="594" spans="1:24">
      <c r="A594" s="1870"/>
      <c r="B594" s="1851" t="s">
        <v>1436</v>
      </c>
      <c r="C594" s="1870"/>
      <c r="D594" s="1870"/>
      <c r="E594" s="1870"/>
      <c r="F594" s="1870"/>
      <c r="G594" s="1870"/>
      <c r="H594" s="1870"/>
      <c r="I594" s="1870"/>
      <c r="J594" s="1937">
        <f>J593+M593+P593</f>
        <v>764793.02025693888</v>
      </c>
      <c r="K594" s="1937"/>
      <c r="L594" s="1937"/>
      <c r="M594" s="1937"/>
      <c r="N594" s="1937"/>
      <c r="O594" s="1937"/>
      <c r="P594" s="1937"/>
      <c r="Q594" s="1937"/>
      <c r="R594" s="1870"/>
      <c r="S594" s="1870"/>
      <c r="T594" s="1870"/>
      <c r="U594" s="1870"/>
      <c r="V594" s="1958"/>
      <c r="W594" s="2061"/>
      <c r="X594" s="2061"/>
    </row>
    <row r="595" spans="1:24">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6.5">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6.5">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4581</v>
      </c>
      <c r="C598" s="1870"/>
      <c r="D598" s="1870"/>
      <c r="E598" s="1870"/>
      <c r="F598" s="1870"/>
      <c r="G598" s="1964" t="str">
        <f>IF(J599&gt;J598,"TDC exceeds QAP PUCL!","")</f>
        <v/>
      </c>
      <c r="H598" s="1964"/>
      <c r="I598" s="1964"/>
      <c r="J598" s="2007">
        <f>'Part VIII-Threshold Criteria'!$P$63</f>
        <v>23207500</v>
      </c>
      <c r="K598" s="2007"/>
      <c r="L598" s="2007"/>
      <c r="M598" s="2008" t="s">
        <v>2764</v>
      </c>
      <c r="N598" s="2008"/>
      <c r="O598" s="2008"/>
      <c r="P598" s="2008"/>
      <c r="Q598" s="2008"/>
      <c r="R598" s="2008"/>
      <c r="S598" s="2008" t="s">
        <v>3703</v>
      </c>
      <c r="T598" s="2008"/>
      <c r="U598" s="1870"/>
      <c r="V598" s="1958"/>
      <c r="W598" s="1672"/>
      <c r="X598" s="1672"/>
    </row>
    <row r="599" spans="1:24">
      <c r="A599" s="1870"/>
      <c r="B599" s="1870" t="s">
        <v>4582</v>
      </c>
      <c r="C599" s="1870"/>
      <c r="D599" s="1870"/>
      <c r="E599" s="1870"/>
      <c r="F599" s="1870"/>
      <c r="G599" s="1870"/>
      <c r="H599" s="1870"/>
      <c r="I599" s="1870"/>
      <c r="J599" s="2002">
        <f>'Part IV-A-Uses of Funds'!J163</f>
        <v>20706223.689910028</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8510787</v>
      </c>
      <c r="K600" s="2002"/>
      <c r="L600" s="2002"/>
      <c r="M600" s="2008"/>
      <c r="N600" s="2008"/>
      <c r="O600" s="2008"/>
      <c r="P600" s="2008"/>
      <c r="Q600" s="2008"/>
      <c r="R600" s="2008"/>
      <c r="S600" s="2008"/>
      <c r="T600" s="2008"/>
      <c r="U600" s="1870"/>
      <c r="V600" s="1958"/>
      <c r="W600" s="1672"/>
      <c r="X600" s="1672"/>
    </row>
    <row r="601" spans="1:24" ht="13.5">
      <c r="A601" s="1870"/>
      <c r="B601" s="1870" t="s">
        <v>2248</v>
      </c>
      <c r="C601" s="1870"/>
      <c r="D601" s="1870"/>
      <c r="E601" s="1870"/>
      <c r="F601" s="1870"/>
      <c r="G601" s="1870"/>
      <c r="H601" s="1870"/>
      <c r="I601" s="1870"/>
      <c r="J601" s="2002">
        <f>+J599-J600</f>
        <v>12195436.689910028</v>
      </c>
      <c r="K601" s="2002"/>
      <c r="L601" s="2002"/>
      <c r="M601" s="1933" t="s">
        <v>2765</v>
      </c>
      <c r="N601" s="1933"/>
      <c r="O601" s="2009">
        <f>'Part III-Sources of Funds'!$I$41</f>
        <v>0</v>
      </c>
      <c r="P601" s="2009"/>
      <c r="Q601" s="2009"/>
      <c r="R601" s="2009"/>
      <c r="S601" s="2010" t="s">
        <v>1675</v>
      </c>
      <c r="T601" s="2360" t="str">
        <f>'Part IV-A-Uses of Funds'!T165</f>
        <v>No</v>
      </c>
      <c r="U601" s="1870"/>
      <c r="V601" s="1958"/>
      <c r="W601" s="1672"/>
      <c r="X601" s="1672"/>
    </row>
    <row r="602" spans="1:24" ht="13.5">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c r="A603" s="1870"/>
      <c r="B603" s="1870" t="s">
        <v>1299</v>
      </c>
      <c r="C603" s="1870"/>
      <c r="D603" s="1870"/>
      <c r="E603" s="1870"/>
      <c r="F603" s="1870"/>
      <c r="G603" s="1870"/>
      <c r="H603" s="1870"/>
      <c r="I603" s="1870"/>
      <c r="J603" s="2002">
        <f>J601/10</f>
        <v>1219543.6689910027</v>
      </c>
      <c r="K603" s="2002"/>
      <c r="L603" s="2002"/>
      <c r="M603" s="1876"/>
      <c r="N603" s="1870" t="s">
        <v>1300</v>
      </c>
      <c r="O603" s="1870"/>
      <c r="P603" s="1870"/>
      <c r="Q603" s="1870" t="s">
        <v>1812</v>
      </c>
      <c r="R603" s="1870"/>
      <c r="S603" s="1870"/>
      <c r="T603" s="1870"/>
      <c r="U603" s="1870"/>
      <c r="V603" s="1958"/>
      <c r="W603" s="1672"/>
      <c r="X603" s="1672"/>
    </row>
    <row r="604" spans="1:24">
      <c r="A604" s="1870"/>
      <c r="B604" s="1870" t="s">
        <v>4583</v>
      </c>
      <c r="C604" s="1870"/>
      <c r="D604" s="1870"/>
      <c r="E604" s="1870"/>
      <c r="F604" s="1870"/>
      <c r="G604" s="1870"/>
      <c r="H604" s="1870"/>
      <c r="I604" s="1870"/>
      <c r="J604" s="2011">
        <f>N604+Q604</f>
        <v>1.56</v>
      </c>
      <c r="K604" s="2011"/>
      <c r="L604" s="2011"/>
      <c r="M604" s="1874" t="s">
        <v>1301</v>
      </c>
      <c r="N604" s="2361">
        <f>'Part IV-A-Uses of Funds'!N168</f>
        <v>0.98</v>
      </c>
      <c r="O604" s="2361">
        <f>'Part IV-A-Uses of Funds'!O168</f>
        <v>0</v>
      </c>
      <c r="P604" s="1874" t="s">
        <v>618</v>
      </c>
      <c r="Q604" s="2361">
        <f>'Part IV-A-Uses of Funds'!Q168</f>
        <v>0.57999999999999996</v>
      </c>
      <c r="R604" s="2361">
        <f>'Part IV-A-Uses of Funds'!R168</f>
        <v>0</v>
      </c>
      <c r="S604" s="1870"/>
      <c r="T604" s="1870"/>
      <c r="U604" s="1870"/>
      <c r="V604" s="1958"/>
      <c r="W604" s="1672"/>
      <c r="X604" s="1672"/>
    </row>
    <row r="605" spans="1:24">
      <c r="A605" s="1870"/>
      <c r="B605" s="1851" t="s">
        <v>1437</v>
      </c>
      <c r="C605" s="1870"/>
      <c r="D605" s="1870"/>
      <c r="E605" s="1870"/>
      <c r="F605" s="1870"/>
      <c r="G605" s="1870"/>
      <c r="H605" s="1870"/>
      <c r="I605" s="1870"/>
      <c r="J605" s="1937">
        <f>IF(J604=0,"",J603/J604)</f>
        <v>781758.7621737197</v>
      </c>
      <c r="K605" s="1937"/>
      <c r="L605" s="1937"/>
      <c r="M605" s="1876"/>
      <c r="N605" s="1870"/>
      <c r="O605" s="1870"/>
      <c r="P605" s="1870"/>
      <c r="Q605" s="1870"/>
      <c r="R605" s="1870"/>
      <c r="S605" s="1870"/>
      <c r="T605" s="1870"/>
      <c r="U605" s="1870"/>
      <c r="V605" s="1958"/>
      <c r="W605" s="1672"/>
      <c r="X605" s="1672"/>
    </row>
    <row r="606" spans="1:24">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c r="A607" s="1870"/>
      <c r="B607" s="1851" t="s">
        <v>4584</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764793.02025693888</v>
      </c>
      <c r="K607" s="1937"/>
      <c r="L607" s="1937"/>
      <c r="M607" s="1876"/>
      <c r="N607" s="1874"/>
      <c r="O607" s="1874"/>
      <c r="P607" s="1870"/>
      <c r="Q607" s="1870"/>
      <c r="R607" s="1870"/>
      <c r="S607" s="1870"/>
      <c r="T607" s="1870"/>
      <c r="U607" s="1870"/>
      <c r="V607" s="1958"/>
      <c r="W607" s="1672"/>
      <c r="X607" s="1672"/>
    </row>
    <row r="608" spans="1:24">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c r="A609" s="1870"/>
      <c r="B609" s="1851" t="s">
        <v>4585</v>
      </c>
      <c r="C609" s="1870"/>
      <c r="D609" s="1870"/>
      <c r="E609" s="1870"/>
      <c r="F609" s="1870"/>
      <c r="G609" s="1870"/>
      <c r="H609" s="1870"/>
      <c r="I609" s="1870"/>
      <c r="J609" s="1937">
        <f>'Part IV-A-Uses of Funds'!J173</f>
        <v>764793</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6.5">
      <c r="A611" s="1954" t="s">
        <v>1805</v>
      </c>
      <c r="B611" s="1954" t="s">
        <v>4586</v>
      </c>
      <c r="C611" s="1870"/>
      <c r="D611" s="1876"/>
      <c r="E611" s="1876"/>
      <c r="F611" s="1877"/>
      <c r="G611" s="1870"/>
      <c r="H611" s="1870"/>
      <c r="I611" s="1870"/>
      <c r="J611" s="1937">
        <f>IF(J609="",0,+MIN(J607,J609))</f>
        <v>764793</v>
      </c>
      <c r="K611" s="1937"/>
      <c r="L611" s="1937"/>
      <c r="M611" s="1870"/>
      <c r="N611" s="1888"/>
      <c r="O611" s="1888"/>
      <c r="P611" s="1888"/>
      <c r="Q611" s="1888"/>
      <c r="R611" s="1888"/>
      <c r="S611" s="1888"/>
      <c r="T611" s="1888"/>
      <c r="U611" s="1870"/>
      <c r="V611" s="1958"/>
      <c r="W611" s="1672"/>
      <c r="X611" s="1672"/>
    </row>
    <row r="612" spans="1:24">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The construction hard cost budget has been developed based on the owner/developer's recent experience, discussions with potential general contractors, and the specifics of the proposed project site and buildings. We believe this is a cost-efficient budget which includes enough money to construction this type of high-quality project.</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5.75">
      <c r="A623" s="2014" t="str">
        <f>CONCATENATE("PART FOUR (b) -  OTHER COSTS","  -  ",'Part I-Project Information'!$O$6," - ",'Part I-Project Information'!$F$34,"  -  ",'Part I-Project Information'!$F$38,"  -  ",'Part I-Project Information'!$J$39,",  ","County")</f>
        <v>PART FOUR (b) -  OTHER COSTS  -  2018-0 - McIntosh Woods  -  Newnan  -  Coweta,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3744</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4587</v>
      </c>
      <c r="B627" s="2015"/>
      <c r="C627" s="2015"/>
      <c r="D627" s="2015"/>
      <c r="E627" s="2362"/>
      <c r="F627" s="2016" t="s">
        <v>3735</v>
      </c>
      <c r="G627" s="2017"/>
      <c r="H627" s="2016" t="s">
        <v>3736</v>
      </c>
    </row>
    <row r="628" spans="1:8">
      <c r="A628" s="2017"/>
      <c r="B628" s="2017"/>
      <c r="C628" s="2017"/>
      <c r="D628" s="2017"/>
      <c r="E628" s="2362"/>
      <c r="F628" s="2362"/>
      <c r="G628" s="2362"/>
      <c r="H628" s="2362"/>
    </row>
    <row r="629" spans="1:8" ht="13.5">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5" customHeight="1">
      <c r="A631" s="2021" t="str">
        <f>'Part IV-A-Uses of Funds'!$C$14</f>
        <v>&lt;&lt; Enter description here; provide detail &amp; justification in tab Part IV-b &gt;&gt;</v>
      </c>
      <c r="B631" s="2021"/>
      <c r="C631" s="2021"/>
      <c r="D631" s="2021"/>
      <c r="E631" s="2364"/>
      <c r="F631" s="2365">
        <f>'Part IV-B-Other Items'!F9</f>
        <v>0</v>
      </c>
      <c r="G631" s="2020"/>
      <c r="H631" s="2365">
        <f>'Part IV-B-Other Items'!H9</f>
        <v>0</v>
      </c>
    </row>
    <row r="632" spans="1:8" ht="13.5">
      <c r="A632" s="2021"/>
      <c r="B632" s="2021"/>
      <c r="C632" s="2021"/>
      <c r="D632" s="2021"/>
      <c r="E632" s="2364"/>
      <c r="F632" s="2365"/>
      <c r="G632" s="2020"/>
      <c r="H632" s="2365"/>
    </row>
    <row r="633" spans="1:8" ht="13.5">
      <c r="A633" s="2364"/>
      <c r="B633" s="2364"/>
      <c r="C633" s="2364"/>
      <c r="D633" s="2364"/>
      <c r="E633" s="2364"/>
      <c r="F633" s="2365"/>
      <c r="G633" s="2020"/>
      <c r="H633" s="2365"/>
    </row>
    <row r="634" spans="1:8" ht="13.5">
      <c r="A634" s="2022" t="s">
        <v>3738</v>
      </c>
      <c r="B634" s="2023">
        <f>'Part IV-A-Uses of Funds'!$G$14</f>
        <v>0</v>
      </c>
      <c r="C634" s="2022" t="s">
        <v>1803</v>
      </c>
      <c r="D634" s="2023">
        <f>'Part IV-A-Uses of Funds'!$J$14+'Part IV-A-Uses of Funds'!$M$14+'Part IV-A-Uses of Funds'!$P$14</f>
        <v>0</v>
      </c>
      <c r="E634" s="2364"/>
      <c r="F634" s="2365"/>
      <c r="G634" s="2020"/>
      <c r="H634" s="2365"/>
    </row>
    <row r="635" spans="1:8" ht="13.5">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ht="13.5">
      <c r="A637" s="2021"/>
      <c r="B637" s="2021"/>
      <c r="C637" s="2021"/>
      <c r="D637" s="2021"/>
      <c r="E637" s="2364"/>
      <c r="F637" s="2365"/>
      <c r="G637" s="2020"/>
      <c r="H637" s="2365"/>
    </row>
    <row r="638" spans="1:8" ht="13.5">
      <c r="A638" s="2364"/>
      <c r="B638" s="2364"/>
      <c r="C638" s="2364"/>
      <c r="D638" s="2364"/>
      <c r="E638" s="2364"/>
      <c r="F638" s="2365"/>
      <c r="G638" s="2020"/>
      <c r="H638" s="2365"/>
    </row>
    <row r="639" spans="1:8" ht="13.5">
      <c r="A639" s="2022" t="s">
        <v>3738</v>
      </c>
      <c r="B639" s="2023">
        <f>'Part IV-A-Uses of Funds'!$G$15</f>
        <v>0</v>
      </c>
      <c r="C639" s="2022" t="s">
        <v>1803</v>
      </c>
      <c r="D639" s="2023">
        <f>'Part IV-A-Uses of Funds'!$J$15+'Part IV-A-Uses of Funds'!$M$15+'Part IV-A-Uses of Funds'!$P$15</f>
        <v>0</v>
      </c>
      <c r="E639" s="2364"/>
      <c r="F639" s="2365"/>
      <c r="G639" s="2020"/>
      <c r="H639" s="2365"/>
    </row>
    <row r="640" spans="1:8" ht="13.5">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ht="13.5">
      <c r="A642" s="2021"/>
      <c r="B642" s="2021"/>
      <c r="C642" s="2021"/>
      <c r="D642" s="2021"/>
      <c r="E642" s="2364"/>
      <c r="F642" s="2365"/>
      <c r="G642" s="2020"/>
      <c r="H642" s="2365"/>
    </row>
    <row r="643" spans="1:8" ht="13.5">
      <c r="A643" s="2364"/>
      <c r="B643" s="2364"/>
      <c r="C643" s="2364"/>
      <c r="D643" s="2364"/>
      <c r="E643" s="2364"/>
      <c r="F643" s="2365"/>
      <c r="G643" s="2020"/>
      <c r="H643" s="2365"/>
    </row>
    <row r="644" spans="1:8" ht="13.5">
      <c r="A644" s="2022" t="s">
        <v>3738</v>
      </c>
      <c r="B644" s="2023">
        <f>'Part IV-A-Uses of Funds'!$G$16</f>
        <v>0</v>
      </c>
      <c r="C644" s="2022" t="s">
        <v>1803</v>
      </c>
      <c r="D644" s="2023">
        <f>'Part IV-A-Uses of Funds'!$J$16+'Part IV-A-Uses of Funds'!$M$16+'Part IV-A-Uses of Funds'!$P$16</f>
        <v>0</v>
      </c>
      <c r="E644" s="2364"/>
      <c r="F644" s="2365"/>
      <c r="G644" s="2020"/>
      <c r="H644" s="2365"/>
    </row>
    <row r="645" spans="1:8" ht="13.5">
      <c r="A645" s="2020"/>
      <c r="B645" s="2024"/>
      <c r="C645" s="2020"/>
      <c r="D645" s="2020"/>
      <c r="E645" s="2364"/>
      <c r="F645" s="2365"/>
      <c r="G645" s="2025"/>
      <c r="H645" s="2365"/>
    </row>
    <row r="646" spans="1:8" ht="13.5">
      <c r="A646" s="2019" t="s">
        <v>3737</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3738</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ht="13.5">
      <c r="A652" s="2019" t="s">
        <v>730</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3738</v>
      </c>
      <c r="B656" s="2023">
        <f>'Part IV-A-Uses of Funds'!$G$62</f>
        <v>0</v>
      </c>
      <c r="C656" s="2022" t="s">
        <v>1803</v>
      </c>
      <c r="D656" s="2023">
        <f>'Part IV-A-Uses of Funds'!$J$62+'Part IV-A-Uses of Funds'!$M$62+'Part IV-A-Uses of Funds'!$P$62</f>
        <v>0</v>
      </c>
      <c r="E656" s="2020"/>
      <c r="F656" s="2365"/>
      <c r="G656" s="2020"/>
      <c r="H656" s="2365"/>
    </row>
    <row r="657" spans="1:8" ht="13.5">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3738</v>
      </c>
      <c r="B661" s="2023">
        <f>'Part IV-A-Uses of Funds'!$G$63</f>
        <v>0</v>
      </c>
      <c r="C661" s="2022" t="s">
        <v>1803</v>
      </c>
      <c r="D661" s="2023">
        <f>'Part IV-A-Uses of Funds'!$J$63+'Part IV-A-Uses of Funds'!$M$63+'Part IV-A-Uses of Funds'!$P$63</f>
        <v>0</v>
      </c>
      <c r="E661" s="2020"/>
      <c r="F661" s="2365"/>
      <c r="G661" s="2020"/>
      <c r="H661" s="2365"/>
    </row>
    <row r="662" spans="1:8" ht="13.5">
      <c r="A662" s="2364"/>
      <c r="B662" s="2364"/>
      <c r="C662" s="2364"/>
      <c r="D662" s="2020"/>
      <c r="E662" s="2020"/>
      <c r="F662" s="2365"/>
      <c r="G662" s="2025"/>
      <c r="H662" s="2365"/>
    </row>
    <row r="663" spans="1:8" ht="13.5">
      <c r="A663" s="2019" t="s">
        <v>480</v>
      </c>
      <c r="B663" s="2020"/>
      <c r="C663" s="2020"/>
      <c r="D663" s="2020"/>
      <c r="E663" s="2026"/>
      <c r="F663" s="2026"/>
      <c r="G663" s="2020"/>
      <c r="H663" s="2364"/>
    </row>
    <row r="664" spans="1:8" ht="13.5"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3738</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ht="13.5">
      <c r="A669" s="2019" t="s">
        <v>732</v>
      </c>
      <c r="B669" s="2020"/>
      <c r="C669" s="2020"/>
      <c r="D669" s="2020"/>
      <c r="E669" s="2020"/>
      <c r="F669" s="2020"/>
      <c r="G669" s="2020"/>
      <c r="H669" s="2364"/>
    </row>
    <row r="670" spans="1:8" ht="13.5" customHeight="1">
      <c r="A670" s="2021" t="str">
        <f>'Part IV-A-Uses of Funds'!$C$90</f>
        <v>&lt;&lt; Enter description here; provide detail &amp; justification in tab Part IV-b &gt;&gt;</v>
      </c>
      <c r="B670" s="2021"/>
      <c r="C670" s="2021"/>
      <c r="D670" s="2021"/>
      <c r="E670" s="2364"/>
      <c r="F670" s="2365">
        <f>'Part IV-B-Other Items'!F48</f>
        <v>0</v>
      </c>
      <c r="G670" s="2020"/>
      <c r="H670" s="2364"/>
    </row>
    <row r="671" spans="1:8" ht="13.5">
      <c r="A671" s="2021"/>
      <c r="B671" s="2021"/>
      <c r="C671" s="2021"/>
      <c r="D671" s="2021"/>
      <c r="E671" s="2020"/>
      <c r="F671" s="2365"/>
      <c r="G671" s="2020"/>
      <c r="H671" s="2364"/>
    </row>
    <row r="672" spans="1:8" ht="13.5">
      <c r="A672" s="2020"/>
      <c r="B672" s="2020"/>
      <c r="C672" s="2020"/>
      <c r="D672" s="2020"/>
      <c r="E672" s="2020"/>
      <c r="F672" s="2365"/>
      <c r="G672" s="2020"/>
      <c r="H672" s="2364"/>
    </row>
    <row r="673" spans="1:8" ht="13.5">
      <c r="A673" s="2022" t="s">
        <v>3738</v>
      </c>
      <c r="B673" s="2023">
        <f>'Part IV-A-Uses of Funds'!$G$90</f>
        <v>0</v>
      </c>
      <c r="C673" s="2027"/>
      <c r="D673" s="2027"/>
      <c r="E673" s="2020"/>
      <c r="F673" s="2365"/>
      <c r="G673" s="2020"/>
      <c r="H673" s="2364"/>
    </row>
    <row r="674" spans="1:8" ht="13.5">
      <c r="A674" s="2020"/>
      <c r="B674" s="2020"/>
      <c r="C674" s="2020"/>
      <c r="D674" s="2020"/>
      <c r="E674" s="2020"/>
      <c r="F674" s="2365"/>
      <c r="G674" s="2025"/>
      <c r="H674" s="2364"/>
    </row>
    <row r="675" spans="1:8" ht="13.5">
      <c r="A675" s="2019" t="s">
        <v>4588</v>
      </c>
      <c r="B675" s="2020"/>
      <c r="C675" s="2020"/>
      <c r="D675" s="2020"/>
      <c r="E675" s="2020"/>
      <c r="F675" s="2020"/>
      <c r="G675" s="2020"/>
      <c r="H675" s="2364"/>
    </row>
    <row r="676" spans="1:8" ht="13.5" customHeight="1">
      <c r="A676" s="2021" t="str">
        <f>'Part IV-A-Uses of Funds'!$C$103</f>
        <v>&lt;&lt; Enter description here; provide detail &amp; justification in tab Part IV-b &gt;&gt;</v>
      </c>
      <c r="B676" s="2021"/>
      <c r="C676" s="2021"/>
      <c r="D676" s="2021"/>
      <c r="E676" s="2364"/>
      <c r="F676" s="2365">
        <f>'Part IV-B-Other Items'!F54</f>
        <v>0</v>
      </c>
      <c r="G676" s="2020"/>
      <c r="H676" s="2364"/>
    </row>
    <row r="677" spans="1:8" ht="13.5">
      <c r="A677" s="2021"/>
      <c r="B677" s="2021"/>
      <c r="C677" s="2021"/>
      <c r="D677" s="2021"/>
      <c r="E677" s="2020"/>
      <c r="F677" s="2365"/>
      <c r="G677" s="2020"/>
      <c r="H677" s="2364"/>
    </row>
    <row r="678" spans="1:8" ht="13.5">
      <c r="A678" s="2020"/>
      <c r="B678" s="2020"/>
      <c r="C678" s="2020"/>
      <c r="D678" s="2020"/>
      <c r="E678" s="2020"/>
      <c r="F678" s="2365"/>
      <c r="G678" s="2020"/>
      <c r="H678" s="2364"/>
    </row>
    <row r="679" spans="1:8" ht="13.5">
      <c r="A679" s="2022" t="s">
        <v>3738</v>
      </c>
      <c r="B679" s="2023">
        <f>'Part IV-A-Uses of Funds'!$G$103</f>
        <v>0</v>
      </c>
      <c r="C679" s="2027"/>
      <c r="D679" s="2027"/>
      <c r="E679" s="2020"/>
      <c r="F679" s="2365"/>
      <c r="G679" s="2020"/>
      <c r="H679" s="2364"/>
    </row>
    <row r="680" spans="1:8" ht="13.5">
      <c r="A680" s="2018"/>
      <c r="B680" s="2018"/>
      <c r="C680" s="2018"/>
      <c r="D680" s="2018"/>
      <c r="E680" s="2018"/>
      <c r="F680" s="2365"/>
      <c r="G680" s="2025"/>
      <c r="H680" s="2364"/>
    </row>
    <row r="681" spans="1:8" ht="13.5"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ht="13.5">
      <c r="A682" s="2021"/>
      <c r="B682" s="2021"/>
      <c r="C682" s="2021"/>
      <c r="D682" s="2021"/>
      <c r="E682" s="2020"/>
      <c r="F682" s="2365"/>
      <c r="G682" s="2020"/>
      <c r="H682" s="2364"/>
    </row>
    <row r="683" spans="1:8" ht="13.5">
      <c r="A683" s="2020"/>
      <c r="B683" s="2020"/>
      <c r="C683" s="2020"/>
      <c r="D683" s="2020"/>
      <c r="E683" s="2020"/>
      <c r="F683" s="2365"/>
      <c r="G683" s="2020"/>
      <c r="H683" s="2364"/>
    </row>
    <row r="684" spans="1:8" ht="13.5">
      <c r="A684" s="2022" t="s">
        <v>3738</v>
      </c>
      <c r="B684" s="2023">
        <f>'Part IV-A-Uses of Funds'!$G$104</f>
        <v>0</v>
      </c>
      <c r="C684" s="2027"/>
      <c r="D684" s="2027"/>
      <c r="E684" s="2020"/>
      <c r="F684" s="2365"/>
      <c r="G684" s="2020"/>
      <c r="H684" s="2364"/>
    </row>
    <row r="685" spans="1:8" ht="13.5">
      <c r="A685" s="2018"/>
      <c r="B685" s="2018"/>
      <c r="C685" s="2018"/>
      <c r="D685" s="2018"/>
      <c r="E685" s="2018"/>
      <c r="F685" s="2365"/>
      <c r="G685" s="2025"/>
      <c r="H685" s="2364"/>
    </row>
    <row r="686" spans="1:8" ht="13.5">
      <c r="A686" s="2019" t="s">
        <v>4589</v>
      </c>
      <c r="B686" s="2020"/>
      <c r="C686" s="2020"/>
      <c r="D686" s="2020"/>
      <c r="E686" s="2020"/>
      <c r="F686" s="2020"/>
      <c r="G686" s="2020"/>
      <c r="H686" s="2364"/>
    </row>
    <row r="687" spans="1:8" ht="13.5"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ht="13.5">
      <c r="A688" s="2021"/>
      <c r="B688" s="2021"/>
      <c r="C688" s="2021"/>
      <c r="D688" s="2021"/>
      <c r="E688" s="2020"/>
      <c r="F688" s="2365"/>
      <c r="G688" s="2020"/>
      <c r="H688" s="2364"/>
    </row>
    <row r="689" spans="1:8" ht="13.5">
      <c r="A689" s="2020"/>
      <c r="B689" s="2020"/>
      <c r="C689" s="2020"/>
      <c r="D689" s="2020"/>
      <c r="E689" s="2020"/>
      <c r="F689" s="2365"/>
      <c r="G689" s="2020"/>
      <c r="H689" s="2364"/>
    </row>
    <row r="690" spans="1:8" ht="13.5">
      <c r="A690" s="2022" t="s">
        <v>3738</v>
      </c>
      <c r="B690" s="2023">
        <f>'Part IV-A-Uses of Funds'!$G$110</f>
        <v>0</v>
      </c>
      <c r="C690" s="2027"/>
      <c r="D690" s="2027"/>
      <c r="E690" s="2020"/>
      <c r="F690" s="2365"/>
      <c r="G690" s="2020"/>
      <c r="H690" s="2364"/>
    </row>
    <row r="691" spans="1:8" ht="13.5">
      <c r="A691" s="2020"/>
      <c r="B691" s="2024"/>
      <c r="C691" s="2020"/>
      <c r="D691" s="2020"/>
      <c r="E691" s="2020"/>
      <c r="F691" s="2365"/>
      <c r="G691" s="2025"/>
      <c r="H691" s="2364"/>
    </row>
    <row r="692" spans="1:8" ht="13.5">
      <c r="A692" s="2019" t="s">
        <v>1321</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3738</v>
      </c>
      <c r="B696" s="2023">
        <f>'Part IV-A-Uses of Funds'!$G$125</f>
        <v>0</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ht="13.5">
      <c r="A698" s="2019" t="s">
        <v>4590</v>
      </c>
      <c r="B698" s="2024"/>
      <c r="C698" s="2020"/>
      <c r="D698" s="2020"/>
      <c r="E698" s="2020"/>
      <c r="F698" s="2020"/>
      <c r="G698" s="2025"/>
      <c r="H698" s="2364"/>
    </row>
    <row r="699" spans="1:8" ht="13.5"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3738</v>
      </c>
      <c r="B702" s="2023">
        <f>'Part IV-A-Uses of Funds'!$G$129</f>
        <v>0</v>
      </c>
      <c r="C702" s="2022" t="s">
        <v>1803</v>
      </c>
      <c r="D702" s="2023">
        <f>'Part IV-A-Uses of Funds'!$J$129+'Part IV-A-Uses of Funds'!$M$129+'Part IV-A-Uses of Funds'!$P$129</f>
        <v>0</v>
      </c>
      <c r="E702" s="2020"/>
      <c r="F702" s="2365"/>
      <c r="G702" s="2020"/>
      <c r="H702" s="2365"/>
    </row>
    <row r="703" spans="1:8" ht="13.5">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McIntosh Woods,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North</v>
      </c>
    </row>
    <row r="714" spans="1:13">
      <c r="A714" s="2029" t="s">
        <v>3839</v>
      </c>
    </row>
    <row r="716" spans="1:13" ht="63.75">
      <c r="A716" s="1864" t="s">
        <v>622</v>
      </c>
      <c r="B716" s="1864" t="s">
        <v>2243</v>
      </c>
      <c r="F716" s="799" t="s">
        <v>2536</v>
      </c>
      <c r="I716" s="1858" t="str">
        <f>'Part V-Utility Allowances'!I7</f>
        <v>Georgia Department of Community Affairs, South Region</v>
      </c>
      <c r="J716" s="1858"/>
      <c r="K716" s="1858"/>
      <c r="L716" s="1858"/>
      <c r="M716" s="1858"/>
    </row>
    <row r="717" spans="1:13">
      <c r="A717" s="1864"/>
      <c r="F717" s="799" t="s">
        <v>642</v>
      </c>
      <c r="I717" s="2366">
        <f>'Part V-Utility Allowances'!I8</f>
        <v>43466</v>
      </c>
      <c r="J717" s="2366">
        <f>'Part V-Utility Allowances'!J8</f>
        <v>0</v>
      </c>
      <c r="K717" s="1860" t="s">
        <v>545</v>
      </c>
      <c r="L717" s="2334" t="str">
        <f>'Part V-Utility Allowances'!L8</f>
        <v>MF</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c r="B721" s="799" t="s">
        <v>1866</v>
      </c>
      <c r="D721" s="2334" t="str">
        <f>'Part V-Utility Allowances'!D12</f>
        <v>Electric Heat Pump</v>
      </c>
      <c r="E721" s="2334">
        <f>'Part V-Utility Allowances'!E12</f>
        <v>0</v>
      </c>
      <c r="F721" s="2367" t="str">
        <f>'Part V-Utility Allowances'!F12</f>
        <v>X</v>
      </c>
      <c r="G721" s="2367">
        <f>'Part V-Utility Allowances'!G12</f>
        <v>0</v>
      </c>
      <c r="I721" s="1860">
        <f>'Part V-Utility Allowances'!I12</f>
        <v>0</v>
      </c>
      <c r="J721" s="1860">
        <f>'Part V-Utility Allowances'!J12</f>
        <v>0</v>
      </c>
      <c r="K721" s="1860">
        <f>'Part V-Utility Allowances'!K12</f>
        <v>5</v>
      </c>
      <c r="L721" s="1860">
        <f>'Part V-Utility Allowances'!L12</f>
        <v>6</v>
      </c>
      <c r="M721" s="1860">
        <f>'Part V-Utility Allowances'!M12</f>
        <v>0</v>
      </c>
    </row>
    <row r="722" spans="1:13">
      <c r="B722" s="799" t="s">
        <v>1609</v>
      </c>
      <c r="D722" s="2334" t="str">
        <f>'Part V-Utility Allowances'!D13</f>
        <v>Electric</v>
      </c>
      <c r="E722" s="2334">
        <f>'Part V-Utility Allowances'!E13</f>
        <v>0</v>
      </c>
      <c r="F722" s="2367" t="str">
        <f>'Part V-Utility Allowances'!F13</f>
        <v>X</v>
      </c>
      <c r="G722" s="2367">
        <f>'Part V-Utility Allowances'!G13</f>
        <v>0</v>
      </c>
      <c r="I722" s="1860">
        <f>'Part V-Utility Allowances'!I13</f>
        <v>0</v>
      </c>
      <c r="J722" s="1860">
        <f>'Part V-Utility Allowances'!J13</f>
        <v>0</v>
      </c>
      <c r="K722" s="1860">
        <f>'Part V-Utility Allowances'!K13</f>
        <v>9</v>
      </c>
      <c r="L722" s="1860">
        <f>'Part V-Utility Allowances'!L13</f>
        <v>11</v>
      </c>
      <c r="M722" s="1860">
        <f>'Part V-Utility Allowances'!M13</f>
        <v>0</v>
      </c>
    </row>
    <row r="723" spans="1:13">
      <c r="B723" s="799" t="s">
        <v>1610</v>
      </c>
      <c r="D723" s="2334" t="str">
        <f>'Part V-Utility Allowances'!D14</f>
        <v>Electric</v>
      </c>
      <c r="E723" s="2334">
        <f>'Part V-Utility Allowances'!E14</f>
        <v>0</v>
      </c>
      <c r="F723" s="2367" t="str">
        <f>'Part V-Utility Allowances'!F14</f>
        <v>X</v>
      </c>
      <c r="G723" s="2367">
        <f>'Part V-Utility Allowances'!G14</f>
        <v>0</v>
      </c>
      <c r="I723" s="1860">
        <f>'Part V-Utility Allowances'!I14</f>
        <v>0</v>
      </c>
      <c r="J723" s="1860">
        <f>'Part V-Utility Allowances'!J14</f>
        <v>0</v>
      </c>
      <c r="K723" s="1860">
        <f>'Part V-Utility Allowances'!K14</f>
        <v>18</v>
      </c>
      <c r="L723" s="1860">
        <f>'Part V-Utility Allowances'!L14</f>
        <v>23</v>
      </c>
      <c r="M723" s="1860">
        <f>'Part V-Utility Allowances'!M14</f>
        <v>0</v>
      </c>
    </row>
    <row r="724" spans="1:13">
      <c r="B724" s="799" t="s">
        <v>471</v>
      </c>
      <c r="D724" s="799" t="s">
        <v>1608</v>
      </c>
      <c r="F724" s="2367" t="str">
        <f>'Part V-Utility Allowances'!F15</f>
        <v>X</v>
      </c>
      <c r="G724" s="2367">
        <f>'Part V-Utility Allowances'!G15</f>
        <v>0</v>
      </c>
      <c r="I724" s="1860">
        <f>'Part V-Utility Allowances'!I15</f>
        <v>0</v>
      </c>
      <c r="J724" s="1860">
        <f>'Part V-Utility Allowances'!J15</f>
        <v>0</v>
      </c>
      <c r="K724" s="1860">
        <f>'Part V-Utility Allowances'!K15</f>
        <v>13</v>
      </c>
      <c r="L724" s="1860">
        <f>'Part V-Utility Allowances'!L15</f>
        <v>16</v>
      </c>
      <c r="M724" s="1860">
        <f>'Part V-Utility Allowances'!M15</f>
        <v>0</v>
      </c>
    </row>
    <row r="725" spans="1:13">
      <c r="B725" s="799" t="s">
        <v>3836</v>
      </c>
      <c r="D725" s="799" t="s">
        <v>1608</v>
      </c>
      <c r="F725" s="2367">
        <f>'Part V-Utility Allowances'!F16</f>
        <v>0</v>
      </c>
      <c r="G725" s="2367" t="str">
        <f>'Part V-Utility Allowances'!G16</f>
        <v>X</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3837</v>
      </c>
      <c r="D726" s="799" t="s">
        <v>1608</v>
      </c>
      <c r="F726" s="2367">
        <f>'Part V-Utility Allowances'!F17</f>
        <v>0</v>
      </c>
      <c r="G726" s="2367" t="str">
        <f>'Part V-Utility Allowances'!G17</f>
        <v>X</v>
      </c>
      <c r="I726" s="1860">
        <f>'Part V-Utility Allowances'!I17</f>
        <v>0</v>
      </c>
      <c r="J726" s="1860">
        <f>'Part V-Utility Allowances'!J17</f>
        <v>0</v>
      </c>
      <c r="K726" s="1860">
        <f>'Part V-Utility Allowances'!K17</f>
        <v>0</v>
      </c>
      <c r="L726" s="1860">
        <f>'Part V-Utility Allowances'!L17</f>
        <v>0</v>
      </c>
      <c r="M726" s="1860">
        <f>'Part V-Utility Allowances'!M17</f>
        <v>0</v>
      </c>
    </row>
    <row r="727" spans="1:13">
      <c r="B727" s="799" t="s">
        <v>3838</v>
      </c>
      <c r="D727" s="799" t="s">
        <v>1608</v>
      </c>
      <c r="F727" s="2367" t="str">
        <f>'Part V-Utility Allowances'!F18</f>
        <v>X</v>
      </c>
      <c r="G727" s="2367">
        <f>'Part V-Utility Allowances'!G18</f>
        <v>0</v>
      </c>
      <c r="I727" s="1860">
        <f>'Part V-Utility Allowances'!I18</f>
        <v>0</v>
      </c>
      <c r="J727" s="1860">
        <f>'Part V-Utility Allowances'!J18</f>
        <v>0</v>
      </c>
      <c r="K727" s="1860">
        <f>'Part V-Utility Allowances'!K18</f>
        <v>27</v>
      </c>
      <c r="L727" s="1860">
        <f>'Part V-Utility Allowances'!L18</f>
        <v>33</v>
      </c>
      <c r="M727" s="1860">
        <f>'Part V-Utility Allowances'!M18</f>
        <v>0</v>
      </c>
    </row>
    <row r="728" spans="1:13">
      <c r="B728" s="799" t="s">
        <v>1382</v>
      </c>
      <c r="D728" s="799" t="s">
        <v>4591</v>
      </c>
      <c r="E728" s="1860" t="str">
        <f>'Part V-Utility Allowances'!E19</f>
        <v>Yes</v>
      </c>
      <c r="F728" s="2367" t="str">
        <f>'Part V-Utility Allowances'!F19</f>
        <v>X</v>
      </c>
      <c r="G728" s="2367">
        <f>'Part V-Utility Allowances'!G19</f>
        <v>0</v>
      </c>
      <c r="I728" s="1860">
        <f>'Part V-Utility Allowances'!I19</f>
        <v>0</v>
      </c>
      <c r="J728" s="1860">
        <f>'Part V-Utility Allowances'!J19</f>
        <v>0</v>
      </c>
      <c r="K728" s="1860">
        <f>'Part V-Utility Allowances'!K19</f>
        <v>48</v>
      </c>
      <c r="L728" s="1860">
        <f>'Part V-Utility Allowances'!L19</f>
        <v>58</v>
      </c>
      <c r="M728" s="1860">
        <f>'Part V-Utility Allowances'!M19</f>
        <v>0</v>
      </c>
    </row>
    <row r="729" spans="1:13">
      <c r="B729" s="799" t="s">
        <v>1865</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0</v>
      </c>
      <c r="K730" s="1862">
        <f>IF(SUM(K721:K729)=0,0,IF(OR($D721="&lt;&lt;Select Fuel &gt;&gt;",$D722="&lt;&lt;Select Fuel &gt;&gt;",$D723="&lt;&lt;Select Fuel &gt;&gt;"),"Select Fuel",IF($E728="&lt;Select&gt;","Submeter?",SUM(K721:K729))))</f>
        <v>120</v>
      </c>
      <c r="L730" s="1862">
        <f>IF(SUM(L721:L729)=0,0,IF(OR($D721="&lt;&lt;Select Fuel &gt;&gt;",$D722="&lt;&lt;Select Fuel &gt;&gt;",$D723="&lt;&lt;Select Fuel &gt;&gt;"),"Select Fuel",IF($E728="&lt;Select&gt;","Submeter?",SUM(L721:L729))))</f>
        <v>147</v>
      </c>
      <c r="M730" s="1862">
        <f>IF(SUM(M721:M729)=0,0,IF(OR($D721="&lt;&lt;Select Fuel &gt;&gt;",$D722="&lt;&lt;Select Fuel &gt;&gt;",$D723="&lt;&lt;Select Fuel &gt;&gt;"),"Select Fuel",IF($E728="&lt;Select&gt;","Submeter?",SUM(M721:M729))))</f>
        <v>0</v>
      </c>
    </row>
    <row r="732" spans="1:13">
      <c r="A732" s="1864" t="s">
        <v>748</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3836</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3837</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3838</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4591</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4592</v>
      </c>
      <c r="F748" s="1860"/>
      <c r="G748" s="1860"/>
      <c r="I748" s="1862"/>
      <c r="J748" s="1862"/>
      <c r="K748" s="1862"/>
      <c r="L748" s="1862"/>
      <c r="M748" s="1862"/>
    </row>
    <row r="749" spans="1:13">
      <c r="A749" s="1864"/>
      <c r="B749" s="1864" t="s">
        <v>577</v>
      </c>
    </row>
    <row r="750" spans="1:13">
      <c r="B750" s="1672">
        <f>'Part V-Utility Allowances'!B41</f>
        <v>0</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 customHeight="1">
      <c r="A758" s="1852" t="str">
        <f>CONCATENATE("PART SIX - PROJECTED REVENUES &amp; EXPENSES","  -  ",'Part I-Project Information'!$O$6," ",'Part I-Project Information'!$F$34,", ",'Part I-Project Information'!F795,", ",'Part I-Project Information'!J796," County")</f>
        <v>PART SIX - PROJECTED REVENUES &amp; EXPENSES  -  2018-0 McIntosh Woods,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McIntosh Woods,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2382</v>
      </c>
      <c r="D760" s="1875" t="s">
        <v>3594</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2456</v>
      </c>
      <c r="FD760" s="1855" t="s">
        <v>2457</v>
      </c>
      <c r="FE760" s="1855" t="s">
        <v>2458</v>
      </c>
      <c r="FF760" s="1855" t="s">
        <v>2459</v>
      </c>
      <c r="FG760" s="1855" t="s">
        <v>490</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490</v>
      </c>
      <c r="FW760" s="1855" t="s">
        <v>2456</v>
      </c>
      <c r="FX760" s="1855" t="s">
        <v>2457</v>
      </c>
      <c r="FY760" s="1855" t="s">
        <v>2458</v>
      </c>
      <c r="FZ760" s="1855" t="s">
        <v>2459</v>
      </c>
      <c r="GA760" s="1855" t="s">
        <v>490</v>
      </c>
      <c r="GB760" s="1855" t="s">
        <v>2456</v>
      </c>
      <c r="GC760" s="1855" t="s">
        <v>2457</v>
      </c>
      <c r="GD760" s="1855" t="s">
        <v>2458</v>
      </c>
      <c r="GE760" s="1855" t="s">
        <v>2459</v>
      </c>
      <c r="GF760" s="1855" t="s">
        <v>490</v>
      </c>
      <c r="GG760" s="1855" t="s">
        <v>2456</v>
      </c>
      <c r="GH760" s="1855" t="s">
        <v>2457</v>
      </c>
      <c r="GI760" s="1855" t="s">
        <v>2458</v>
      </c>
      <c r="GJ760" s="1855" t="s">
        <v>2459</v>
      </c>
      <c r="GK760" s="1855" t="s">
        <v>490</v>
      </c>
      <c r="GL760" s="1855" t="s">
        <v>2456</v>
      </c>
      <c r="GM760" s="1855" t="s">
        <v>2457</v>
      </c>
      <c r="GN760" s="1855" t="s">
        <v>2458</v>
      </c>
      <c r="GO760" s="1855" t="s">
        <v>2459</v>
      </c>
      <c r="GP760" s="1855" t="s">
        <v>490</v>
      </c>
      <c r="GQ760" s="1855" t="s">
        <v>2456</v>
      </c>
      <c r="GR760" s="1855" t="s">
        <v>2457</v>
      </c>
      <c r="GS760" s="1855" t="s">
        <v>2458</v>
      </c>
      <c r="GT760" s="1855" t="s">
        <v>2459</v>
      </c>
      <c r="GU760" s="1855" t="s">
        <v>490</v>
      </c>
      <c r="GV760" s="1855" t="s">
        <v>2456</v>
      </c>
      <c r="GW760" s="1855" t="s">
        <v>2457</v>
      </c>
      <c r="GX760" s="1855" t="s">
        <v>2458</v>
      </c>
      <c r="GY760" s="1855" t="s">
        <v>2459</v>
      </c>
      <c r="GZ760" s="1855" t="s">
        <v>490</v>
      </c>
      <c r="HA760" s="1855" t="s">
        <v>2456</v>
      </c>
      <c r="HB760" s="1855" t="s">
        <v>2457</v>
      </c>
      <c r="HC760" s="1855" t="s">
        <v>2458</v>
      </c>
      <c r="HD760" s="1855" t="s">
        <v>2459</v>
      </c>
      <c r="HE760" s="1855" t="s">
        <v>490</v>
      </c>
      <c r="HF760" s="1855" t="s">
        <v>2456</v>
      </c>
      <c r="HG760" s="1855" t="s">
        <v>2457</v>
      </c>
      <c r="HH760" s="1855" t="s">
        <v>2458</v>
      </c>
      <c r="HI760" s="1855" t="s">
        <v>2459</v>
      </c>
      <c r="HJ760" s="1855" t="s">
        <v>490</v>
      </c>
      <c r="HK760" s="1855" t="s">
        <v>2456</v>
      </c>
      <c r="HL760" s="1855" t="s">
        <v>2457</v>
      </c>
      <c r="HM760" s="1855" t="s">
        <v>2458</v>
      </c>
      <c r="HN760" s="1855" t="s">
        <v>2459</v>
      </c>
      <c r="HO760" s="1855" t="s">
        <v>490</v>
      </c>
      <c r="HP760" s="1855" t="s">
        <v>2456</v>
      </c>
      <c r="HQ760" s="1855" t="s">
        <v>2457</v>
      </c>
      <c r="HR760" s="1855" t="s">
        <v>2458</v>
      </c>
      <c r="HS760" s="1855" t="s">
        <v>2459</v>
      </c>
      <c r="HT760" s="1855" t="s">
        <v>490</v>
      </c>
      <c r="HU760" s="1855" t="s">
        <v>2456</v>
      </c>
      <c r="HV760" s="1855" t="s">
        <v>2457</v>
      </c>
      <c r="HW760" s="1855" t="s">
        <v>2458</v>
      </c>
      <c r="HX760" s="1855" t="s">
        <v>2459</v>
      </c>
      <c r="HY760" s="1855" t="s">
        <v>490</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4593</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2446</v>
      </c>
      <c r="BV761" s="2033" t="s">
        <v>2447</v>
      </c>
      <c r="BW761" s="2033" t="s">
        <v>2448</v>
      </c>
      <c r="BX761" s="2033" t="s">
        <v>2449</v>
      </c>
      <c r="BY761" s="2033" t="s">
        <v>2450</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2445</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15" customHeight="1">
      <c r="A762" s="2034" t="str">
        <f>IF(A805&gt;0,"Finish Row!","")</f>
        <v/>
      </c>
      <c r="B762" s="1852" t="s">
        <v>1860</v>
      </c>
      <c r="E762" s="1852"/>
      <c r="G762" s="1853">
        <f>'Part VI-Revenues &amp; Expenses'!G5</f>
        <v>0</v>
      </c>
      <c r="H762" s="1852"/>
      <c r="I762" s="2035" t="s">
        <v>806</v>
      </c>
      <c r="J762" s="2035" t="s">
        <v>3589</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15" customHeight="1">
      <c r="A763" s="2034"/>
      <c r="B763" s="2037" t="s">
        <v>1818</v>
      </c>
      <c r="E763" s="1852"/>
      <c r="F763" s="1860" t="str">
        <f>'Part VI-Revenues &amp; Expenses'!F6</f>
        <v>No</v>
      </c>
      <c r="G763" s="2035" t="s">
        <v>3693</v>
      </c>
      <c r="H763" s="2031" t="s">
        <v>3927</v>
      </c>
      <c r="I763" s="2035" t="s">
        <v>807</v>
      </c>
      <c r="J763" s="2035" t="s">
        <v>3696</v>
      </c>
      <c r="K763" s="1859"/>
      <c r="L763" s="1859"/>
      <c r="M763" s="2038" t="str">
        <f>'Part I-Project Information'!$O$40</f>
        <v>Atlanta-Sandy Springs-Marietta</v>
      </c>
      <c r="N763" s="2038"/>
      <c r="O763" s="2039">
        <f>VLOOKUP('Part I-Project Information'!$O$40,'DCA Underwriting Assumptions'!$C$155:$D$265,2)</f>
        <v>69700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3694</v>
      </c>
      <c r="H764" s="2031"/>
      <c r="I764" s="2008" t="s">
        <v>3885</v>
      </c>
      <c r="J764" s="2035" t="s">
        <v>3697</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3694</v>
      </c>
      <c r="I765" s="2008"/>
      <c r="J765" s="2035" t="s">
        <v>4594</v>
      </c>
      <c r="K765" s="2043" t="s">
        <v>146</v>
      </c>
      <c r="L765" s="2043"/>
      <c r="M765" s="2035" t="s">
        <v>2383</v>
      </c>
      <c r="N765" s="2035" t="s">
        <v>537</v>
      </c>
      <c r="O765" s="2035" t="s">
        <v>385</v>
      </c>
      <c r="P765" s="2031"/>
      <c r="Q765" s="2043" t="s">
        <v>3599</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573</v>
      </c>
      <c r="FM765" s="1860" t="s">
        <v>2456</v>
      </c>
      <c r="FN765" s="1860" t="s">
        <v>2457</v>
      </c>
      <c r="FO765" s="1860" t="s">
        <v>2458</v>
      </c>
      <c r="FP765" s="1860" t="s">
        <v>2459</v>
      </c>
      <c r="FQ765" s="1860" t="s">
        <v>573</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1473</v>
      </c>
      <c r="HU765" s="1858" t="s">
        <v>1473</v>
      </c>
      <c r="HV765" s="1858" t="s">
        <v>1473</v>
      </c>
      <c r="HW765" s="1858" t="s">
        <v>1473</v>
      </c>
      <c r="HX765" s="1858" t="s">
        <v>1473</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3695</v>
      </c>
      <c r="H766" s="2035" t="s">
        <v>1490</v>
      </c>
      <c r="I766" s="2008"/>
      <c r="J766" s="2044" t="s">
        <v>352</v>
      </c>
      <c r="K766" s="2035" t="s">
        <v>1542</v>
      </c>
      <c r="L766" s="2035" t="s">
        <v>544</v>
      </c>
      <c r="M766" s="2035" t="s">
        <v>1488</v>
      </c>
      <c r="N766" s="2035" t="s">
        <v>3337</v>
      </c>
      <c r="O766" s="2035" t="s">
        <v>386</v>
      </c>
      <c r="P766" s="2031"/>
      <c r="Q766" s="2035" t="s">
        <v>3600</v>
      </c>
      <c r="R766" s="2035" t="s">
        <v>1050</v>
      </c>
      <c r="S766" s="2035" t="s">
        <v>1490</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60% AMI</v>
      </c>
      <c r="C767" s="2369">
        <f>'Part VI-Revenues &amp; Expenses'!C10</f>
        <v>3</v>
      </c>
      <c r="D767" s="2370">
        <f>'Part VI-Revenues &amp; Expenses'!D10</f>
        <v>2</v>
      </c>
      <c r="E767" s="2371">
        <f>'Part VI-Revenues &amp; Expenses'!E10</f>
        <v>76</v>
      </c>
      <c r="F767" s="2371">
        <f>'Part VI-Revenues &amp; Expenses'!F10</f>
        <v>1250</v>
      </c>
      <c r="G767" s="2371">
        <f>'Part VI-Revenues &amp; Expenses'!G10</f>
        <v>1243</v>
      </c>
      <c r="H767" s="2371">
        <f>'Part VI-Revenues &amp; Expenses'!H10</f>
        <v>1198</v>
      </c>
      <c r="I767" s="2371">
        <f>'Part VI-Revenues &amp; Expenses'!I10</f>
        <v>147</v>
      </c>
      <c r="J767" s="2372">
        <f>'Part VI-Revenues &amp; Expenses'!J10</f>
        <v>0</v>
      </c>
      <c r="K767" s="2045">
        <f t="shared" ref="K767:K804" si="2">MAX(0,H767-I767)</f>
        <v>1051</v>
      </c>
      <c r="L767" s="2045">
        <f t="shared" ref="L767:L804" si="3">MAX(0,E767*K767)</f>
        <v>79876</v>
      </c>
      <c r="M767" s="2356" t="str">
        <f>'Part VI-Revenues &amp; Expenses'!M10</f>
        <v>No</v>
      </c>
      <c r="N767" s="2356" t="str">
        <f>'Part VI-Revenues &amp; Expenses'!N10</f>
        <v>Townhome</v>
      </c>
      <c r="O767" s="2356" t="str">
        <f>'Part VI-Revenues &amp; Expenses'!O10</f>
        <v>New Construction</v>
      </c>
      <c r="P767" s="1856" t="str">
        <f>'Part VI-Revenues &amp; Expenses'!P10</f>
        <v>No</v>
      </c>
      <c r="Q767" s="2046">
        <f>'Part VI-Revenues &amp; Expenses'!Q10</f>
        <v>47920</v>
      </c>
      <c r="R767" s="2047">
        <f>'Part VI-Revenues &amp; Expenses'!R10</f>
        <v>0.66107493654122063</v>
      </c>
      <c r="S767" s="2046">
        <f>'Part VI-Revenues &amp; Expenses'!S10</f>
        <v>0</v>
      </c>
      <c r="T767" s="2047">
        <f>'Part VI-Revenues &amp; Expenses'!T10</f>
        <v>0</v>
      </c>
      <c r="U767" s="2061"/>
      <c r="V767" s="2061"/>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f t="shared" ref="Z767:Z804" si="7">IF(AND(C767=3,B767="60% AMI",NOT(M767="Common Space")),E767,"")</f>
        <v>76</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f t="shared" ref="CC767:CC804" si="62">IF(OR(AND(C767=3,B767="60% AMI",NOT(M767="Common Space")),AND(C767=3,B767="HOME 60% AMI",NOT(M767="Common Space"))),E767*F767,"")</f>
        <v>95000</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f t="shared" ref="DG767:DG804" si="92">IF(AND($C767=3, $O767="New Construction",NOT($B767="Unrestricted"),NOT($B767="NSP 120% AMI"),NOT($B767="N/A-CS"),NOT($M767="Common Space")),$E767,"")</f>
        <v>76</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t="str">
        <f t="shared" ref="DT767:DT804" si="105">IF(AND($C767=1, $O767="Acquisition/Rehab",NOT($B767="Unrestricted"),NOT($B767="NSP 120% AMI"),NOT($B767="N/A-CS"),NOT($M767="Common Space")),$E767,"")</f>
        <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t="str">
        <f t="shared" ref="EX767:EX804" si="135">IF(AND($C767=1, NOT(OR($N767="SF Detached",$N767="Mfd Home",$N767="Duplex",$N767="Townhome"))),$E767,"")</f>
        <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f t="shared" ref="GI767:GI804" si="172">IF(AND($C767=3, $N767="Townhome",NOT($P767="Yes")),$E767,"")</f>
        <v>76</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t="str">
        <f t="shared" ref="GQ767:GQ804" si="180">IF(AND($C767=1, $N767="1-Story",NOT($P767="Yes")),$E767,"")</f>
        <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0</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76</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60% AMI</v>
      </c>
      <c r="C768" s="2369">
        <f>'Part VI-Revenues &amp; Expenses'!C11</f>
        <v>2</v>
      </c>
      <c r="D768" s="2370">
        <f>'Part VI-Revenues &amp; Expenses'!D11</f>
        <v>2</v>
      </c>
      <c r="E768" s="2371">
        <f>'Part VI-Revenues &amp; Expenses'!E11</f>
        <v>20</v>
      </c>
      <c r="F768" s="2371">
        <f>'Part VI-Revenues &amp; Expenses'!F11</f>
        <v>1215</v>
      </c>
      <c r="G768" s="2371">
        <f>'Part VI-Revenues &amp; Expenses'!G11</f>
        <v>1077</v>
      </c>
      <c r="H768" s="2371">
        <f>'Part VI-Revenues &amp; Expenses'!H11</f>
        <v>1020</v>
      </c>
      <c r="I768" s="2371">
        <f>'Part VI-Revenues &amp; Expenses'!I11</f>
        <v>120</v>
      </c>
      <c r="J768" s="2372">
        <f>'Part VI-Revenues &amp; Expenses'!J11</f>
        <v>0</v>
      </c>
      <c r="K768" s="2045">
        <f t="shared" si="2"/>
        <v>900</v>
      </c>
      <c r="L768" s="2045">
        <f t="shared" si="3"/>
        <v>18000</v>
      </c>
      <c r="M768" s="2356" t="str">
        <f>'Part VI-Revenues &amp; Expenses'!M11</f>
        <v>No</v>
      </c>
      <c r="N768" s="2356" t="str">
        <f>'Part VI-Revenues &amp; Expenses'!N11</f>
        <v>Townhome</v>
      </c>
      <c r="O768" s="2356" t="str">
        <f>'Part VI-Revenues &amp; Expenses'!O11</f>
        <v>New Construction</v>
      </c>
      <c r="P768" s="1856" t="str">
        <f>'Part VI-Revenues &amp; Expenses'!P11</f>
        <v>No</v>
      </c>
      <c r="Q768" s="2046">
        <f>'Part VI-Revenues &amp; Expenses'!Q11</f>
        <v>40800</v>
      </c>
      <c r="R768" s="2047">
        <f>'Part VI-Revenues &amp; Expenses'!R11</f>
        <v>0.65040650406504064</v>
      </c>
      <c r="S768" s="2046">
        <f>'Part VI-Revenues &amp; Expenses'!S11</f>
        <v>0</v>
      </c>
      <c r="T768" s="2047">
        <f>'Part VI-Revenues &amp; Expenses'!T11</f>
        <v>0</v>
      </c>
      <c r="U768" s="2061"/>
      <c r="V768" s="2061"/>
      <c r="W768" s="799" t="str">
        <f t="shared" si="4"/>
        <v/>
      </c>
      <c r="X768" s="799" t="str">
        <f t="shared" si="5"/>
        <v/>
      </c>
      <c r="Y768" s="799">
        <f t="shared" si="6"/>
        <v>20</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f t="shared" si="61"/>
        <v>24300</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f t="shared" si="91"/>
        <v>20</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t="str">
        <f t="shared" si="136"/>
        <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f t="shared" si="171"/>
        <v>20</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t="str">
        <f t="shared" si="181"/>
        <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0</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20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&lt;&lt;Select&gt;&gt;</v>
      </c>
      <c r="C769" s="2369">
        <f>'Part VI-Revenues &amp; Expenses'!C12</f>
        <v>0</v>
      </c>
      <c r="D769" s="2370">
        <f>'Part VI-Revenues &amp; Expenses'!D12</f>
        <v>0</v>
      </c>
      <c r="E769" s="2371">
        <f>'Part VI-Revenues &amp; Expenses'!E12</f>
        <v>0</v>
      </c>
      <c r="F769" s="2371">
        <f>'Part VI-Revenues &amp; Expenses'!F12</f>
        <v>0</v>
      </c>
      <c r="G769" s="2371">
        <f>'Part VI-Revenues &amp; Expenses'!G12</f>
        <v>0</v>
      </c>
      <c r="H769" s="2371">
        <f>'Part VI-Revenues &amp; Expenses'!H12</f>
        <v>0</v>
      </c>
      <c r="I769" s="2371">
        <f>'Part VI-Revenues &amp; Expenses'!I12</f>
        <v>0</v>
      </c>
      <c r="J769" s="2372">
        <f>'Part VI-Revenues &amp; Expenses'!J12</f>
        <v>0</v>
      </c>
      <c r="K769" s="2045">
        <f t="shared" si="2"/>
        <v>0</v>
      </c>
      <c r="L769" s="2045">
        <f t="shared" si="3"/>
        <v>0</v>
      </c>
      <c r="M769" s="2356">
        <f>'Part VI-Revenues &amp; Expenses'!M12</f>
        <v>0</v>
      </c>
      <c r="N769" s="2356">
        <f>'Part VI-Revenues &amp; Expenses'!N12</f>
        <v>0</v>
      </c>
      <c r="O769" s="2356">
        <f>'Part VI-Revenues &amp; Expenses'!O12</f>
        <v>0</v>
      </c>
      <c r="P769" s="1856">
        <f>'Part VI-Revenues &amp; Expenses'!P12</f>
        <v>0</v>
      </c>
      <c r="Q769" s="2046" t="str">
        <f>'Part VI-Revenues &amp; Expenses'!Q12</f>
        <v/>
      </c>
      <c r="R769" s="2047" t="str">
        <f>'Part VI-Revenues &amp; Expenses'!R12</f>
        <v/>
      </c>
      <c r="S769" s="2046">
        <f>'Part VI-Revenues &amp; Expenses'!S12</f>
        <v>0</v>
      </c>
      <c r="T769" s="2047">
        <f>'Part VI-Revenues &amp; Expenses'!T12</f>
        <v>0</v>
      </c>
      <c r="U769" s="2061"/>
      <c r="V769" s="2061"/>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t="str">
        <f t="shared" si="137"/>
        <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t="str">
        <f t="shared" si="182"/>
        <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0</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&lt;&lt;Select&gt;&gt;</v>
      </c>
      <c r="C770" s="2369">
        <f>'Part VI-Revenues &amp; Expenses'!C13</f>
        <v>0</v>
      </c>
      <c r="D770" s="2370">
        <f>'Part VI-Revenues &amp; Expenses'!D13</f>
        <v>0</v>
      </c>
      <c r="E770" s="2371">
        <f>'Part VI-Revenues &amp; Expenses'!E13</f>
        <v>0</v>
      </c>
      <c r="F770" s="2371">
        <f>'Part VI-Revenues &amp; Expenses'!F13</f>
        <v>0</v>
      </c>
      <c r="G770" s="2371">
        <f>'Part VI-Revenues &amp; Expenses'!G13</f>
        <v>0</v>
      </c>
      <c r="H770" s="2371">
        <f>'Part VI-Revenues &amp; Expenses'!H13</f>
        <v>0</v>
      </c>
      <c r="I770" s="2371">
        <f>'Part VI-Revenues &amp; Expenses'!I13</f>
        <v>0</v>
      </c>
      <c r="J770" s="2372">
        <f>'Part VI-Revenues &amp; Expenses'!J13</f>
        <v>0</v>
      </c>
      <c r="K770" s="2045">
        <f t="shared" si="2"/>
        <v>0</v>
      </c>
      <c r="L770" s="2045">
        <f t="shared" si="3"/>
        <v>0</v>
      </c>
      <c r="M770" s="2356">
        <f>'Part VI-Revenues &amp; Expenses'!M13</f>
        <v>0</v>
      </c>
      <c r="N770" s="2356">
        <f>'Part VI-Revenues &amp; Expenses'!N13</f>
        <v>0</v>
      </c>
      <c r="O770" s="2356">
        <f>'Part VI-Revenues &amp; Expenses'!O13</f>
        <v>0</v>
      </c>
      <c r="P770" s="1856">
        <f>'Part VI-Revenues &amp; Expenses'!P13</f>
        <v>0</v>
      </c>
      <c r="Q770" s="2046" t="str">
        <f>'Part VI-Revenues &amp; Expenses'!Q13</f>
        <v/>
      </c>
      <c r="R770" s="2047" t="str">
        <f>'Part VI-Revenues &amp; Expenses'!R13</f>
        <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t="str">
        <f t="shared" si="136"/>
        <v/>
      </c>
      <c r="EZ770" s="1861" t="str">
        <f t="shared" si="137"/>
        <v/>
      </c>
      <c r="FA770" s="1861" t="str">
        <f t="shared" si="138"/>
        <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t="str">
        <f t="shared" si="183"/>
        <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0</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&lt;&lt;Select&gt;&gt;</v>
      </c>
      <c r="C771" s="2369">
        <f>'Part VI-Revenues &amp; Expenses'!C14</f>
        <v>0</v>
      </c>
      <c r="D771" s="2370">
        <f>'Part VI-Revenues &amp; Expenses'!D14</f>
        <v>0</v>
      </c>
      <c r="E771" s="2371">
        <f>'Part VI-Revenues &amp; Expenses'!E14</f>
        <v>0</v>
      </c>
      <c r="F771" s="2371">
        <f>'Part VI-Revenues &amp; Expenses'!F14</f>
        <v>0</v>
      </c>
      <c r="G771" s="2371">
        <f>'Part VI-Revenues &amp; Expenses'!G14</f>
        <v>0</v>
      </c>
      <c r="H771" s="2371">
        <f>'Part VI-Revenues &amp; Expenses'!H14</f>
        <v>0</v>
      </c>
      <c r="I771" s="2371">
        <f>'Part VI-Revenues &amp; Expenses'!I14</f>
        <v>0</v>
      </c>
      <c r="J771" s="2372">
        <f>'Part VI-Revenues &amp; Expenses'!J14</f>
        <v>0</v>
      </c>
      <c r="K771" s="2045">
        <f t="shared" si="2"/>
        <v>0</v>
      </c>
      <c r="L771" s="2045">
        <f t="shared" si="3"/>
        <v>0</v>
      </c>
      <c r="M771" s="2356">
        <f>'Part VI-Revenues &amp; Expenses'!M14</f>
        <v>0</v>
      </c>
      <c r="N771" s="2356">
        <f>'Part VI-Revenues &amp; Expenses'!N14</f>
        <v>0</v>
      </c>
      <c r="O771" s="2356">
        <f>'Part VI-Revenues &amp; Expenses'!O14</f>
        <v>0</v>
      </c>
      <c r="P771" s="1856">
        <f>'Part VI-Revenues &amp; Expenses'!P14</f>
        <v>0</v>
      </c>
      <c r="Q771" s="2046" t="str">
        <f>'Part VI-Revenues &amp; Expenses'!Q14</f>
        <v/>
      </c>
      <c r="R771" s="2047" t="str">
        <f>'Part VI-Revenues &amp; Expenses'!R14</f>
        <v/>
      </c>
      <c r="S771" s="2046">
        <f>'Part VI-Revenues &amp; Expenses'!S14</f>
        <v>0</v>
      </c>
      <c r="T771" s="2047">
        <f>'Part VI-Revenues &amp; Expenses'!T14</f>
        <v>0</v>
      </c>
      <c r="U771" s="2061"/>
      <c r="V771" s="2061"/>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t="str">
        <f t="shared" si="135"/>
        <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t="str">
        <f t="shared" si="180"/>
        <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0</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&lt;&lt;Select&gt;&gt;</v>
      </c>
      <c r="C772" s="2369">
        <f>'Part VI-Revenues &amp; Expenses'!C15</f>
        <v>0</v>
      </c>
      <c r="D772" s="2370">
        <f>'Part VI-Revenues &amp; Expenses'!D15</f>
        <v>0</v>
      </c>
      <c r="E772" s="2371">
        <f>'Part VI-Revenues &amp; Expenses'!E15</f>
        <v>0</v>
      </c>
      <c r="F772" s="2371">
        <f>'Part VI-Revenues &amp; Expenses'!F15</f>
        <v>0</v>
      </c>
      <c r="G772" s="2371">
        <f>'Part VI-Revenues &amp; Expenses'!G15</f>
        <v>0</v>
      </c>
      <c r="H772" s="2371">
        <f>'Part VI-Revenues &amp; Expenses'!H15</f>
        <v>0</v>
      </c>
      <c r="I772" s="2371">
        <f>'Part VI-Revenues &amp; Expenses'!I15</f>
        <v>0</v>
      </c>
      <c r="J772" s="2372">
        <f>'Part VI-Revenues &amp; Expenses'!J15</f>
        <v>0</v>
      </c>
      <c r="K772" s="2045">
        <f t="shared" si="2"/>
        <v>0</v>
      </c>
      <c r="L772" s="2045">
        <f t="shared" si="3"/>
        <v>0</v>
      </c>
      <c r="M772" s="2356">
        <f>'Part VI-Revenues &amp; Expenses'!M15</f>
        <v>0</v>
      </c>
      <c r="N772" s="2356">
        <f>'Part VI-Revenues &amp; Expenses'!N15</f>
        <v>0</v>
      </c>
      <c r="O772" s="2356">
        <f>'Part VI-Revenues &amp; Expenses'!O15</f>
        <v>0</v>
      </c>
      <c r="P772" s="1856">
        <f>'Part VI-Revenues &amp; Expenses'!P15</f>
        <v>0</v>
      </c>
      <c r="Q772" s="2046" t="str">
        <f>'Part VI-Revenues &amp; Expenses'!Q15</f>
        <v/>
      </c>
      <c r="R772" s="2047" t="str">
        <f>'Part VI-Revenues &amp; Expenses'!R15</f>
        <v/>
      </c>
      <c r="S772" s="2046">
        <f>'Part VI-Revenues &amp; Expenses'!S15</f>
        <v>0</v>
      </c>
      <c r="T772" s="2047">
        <f>'Part VI-Revenues &amp; Expenses'!T15</f>
        <v>0</v>
      </c>
      <c r="U772" s="2061"/>
      <c r="V772" s="2061"/>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t="str">
        <f t="shared" si="136"/>
        <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t="str">
        <f t="shared" si="181"/>
        <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0</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&lt;&lt;Select&gt;&gt;</v>
      </c>
      <c r="C773" s="2369">
        <f>'Part VI-Revenues &amp; Expenses'!C16</f>
        <v>0</v>
      </c>
      <c r="D773" s="2370">
        <f>'Part VI-Revenues &amp; Expenses'!D16</f>
        <v>0</v>
      </c>
      <c r="E773" s="2371">
        <f>'Part VI-Revenues &amp; Expenses'!E16</f>
        <v>0</v>
      </c>
      <c r="F773" s="2371">
        <f>'Part VI-Revenues &amp; Expenses'!F16</f>
        <v>0</v>
      </c>
      <c r="G773" s="2371">
        <f>'Part VI-Revenues &amp; Expenses'!G16</f>
        <v>0</v>
      </c>
      <c r="H773" s="2371">
        <f>'Part VI-Revenues &amp; Expenses'!H16</f>
        <v>0</v>
      </c>
      <c r="I773" s="2371">
        <f>'Part VI-Revenues &amp; Expenses'!I16</f>
        <v>0</v>
      </c>
      <c r="J773" s="2372">
        <f>'Part VI-Revenues &amp; Expenses'!J16</f>
        <v>0</v>
      </c>
      <c r="K773" s="2045">
        <f t="shared" si="2"/>
        <v>0</v>
      </c>
      <c r="L773" s="2045">
        <f t="shared" si="3"/>
        <v>0</v>
      </c>
      <c r="M773" s="2356">
        <f>'Part VI-Revenues &amp; Expenses'!M16</f>
        <v>0</v>
      </c>
      <c r="N773" s="2356">
        <f>'Part VI-Revenues &amp; Expenses'!N16</f>
        <v>0</v>
      </c>
      <c r="O773" s="2356">
        <f>'Part VI-Revenues &amp; Expenses'!O16</f>
        <v>0</v>
      </c>
      <c r="P773" s="1856">
        <f>'Part VI-Revenues &amp; Expenses'!P16</f>
        <v>0</v>
      </c>
      <c r="Q773" s="2046" t="str">
        <f>'Part VI-Revenues &amp; Expenses'!Q16</f>
        <v/>
      </c>
      <c r="R773" s="2047" t="str">
        <f>'Part VI-Revenues &amp; Expenses'!R16</f>
        <v/>
      </c>
      <c r="S773" s="2046">
        <f>'Part VI-Revenues &amp; Expenses'!S16</f>
        <v>0</v>
      </c>
      <c r="T773" s="2047">
        <f>'Part VI-Revenues &amp; Expenses'!T16</f>
        <v>0</v>
      </c>
      <c r="U773" s="2061"/>
      <c r="V773" s="2061"/>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t="str">
        <f t="shared" si="137"/>
        <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t="str">
        <f t="shared" si="182"/>
        <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0</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2"/>
        <v>0</v>
      </c>
      <c r="L774" s="2045">
        <f t="shared" si="3"/>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t="str">
        <f t="shared" si="138"/>
        <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t="str">
        <f t="shared" si="183"/>
        <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0</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96</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119300</v>
      </c>
      <c r="G805" s="556"/>
      <c r="H805" s="556"/>
      <c r="I805" s="556"/>
      <c r="J805" s="556"/>
      <c r="K805" s="2051" t="s">
        <v>1314</v>
      </c>
      <c r="L805" s="2049">
        <f>SUM(L767:L804)</f>
        <v>97876</v>
      </c>
      <c r="M805" s="1854"/>
      <c r="N805" s="1854"/>
      <c r="O805" s="1854"/>
      <c r="P805" s="1854"/>
      <c r="Q805" s="1854"/>
      <c r="R805" s="1854"/>
      <c r="S805" s="1854"/>
      <c r="T805" s="1854"/>
      <c r="U805" s="2035"/>
      <c r="V805" s="1863"/>
      <c r="W805" s="1863">
        <f t="shared" ref="W805:CH805" si="259">SUM(W767:W804)</f>
        <v>0</v>
      </c>
      <c r="X805" s="1863">
        <f t="shared" si="259"/>
        <v>0</v>
      </c>
      <c r="Y805" s="1863">
        <f t="shared" si="259"/>
        <v>20</v>
      </c>
      <c r="Z805" s="1863">
        <f t="shared" si="259"/>
        <v>76</v>
      </c>
      <c r="AA805" s="1863">
        <f t="shared" si="259"/>
        <v>0</v>
      </c>
      <c r="AB805" s="1863">
        <f t="shared" si="259"/>
        <v>0</v>
      </c>
      <c r="AC805" s="1863">
        <f t="shared" si="259"/>
        <v>0</v>
      </c>
      <c r="AD805" s="1863">
        <f t="shared" si="259"/>
        <v>0</v>
      </c>
      <c r="AE805" s="1863">
        <f t="shared" si="259"/>
        <v>0</v>
      </c>
      <c r="AF805" s="1863">
        <f t="shared" si="259"/>
        <v>0</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0</v>
      </c>
      <c r="AX805" s="1863">
        <f t="shared" si="259"/>
        <v>0</v>
      </c>
      <c r="AY805" s="1863">
        <f t="shared" si="259"/>
        <v>0</v>
      </c>
      <c r="AZ805" s="1863">
        <f t="shared" si="259"/>
        <v>0</v>
      </c>
      <c r="BA805" s="1863">
        <f t="shared" si="259"/>
        <v>0</v>
      </c>
      <c r="BB805" s="1863">
        <f t="shared" si="259"/>
        <v>0</v>
      </c>
      <c r="BC805" s="1863">
        <f t="shared" si="259"/>
        <v>0</v>
      </c>
      <c r="BD805" s="1863">
        <f t="shared" si="259"/>
        <v>0</v>
      </c>
      <c r="BE805" s="1863">
        <f t="shared" si="259"/>
        <v>0</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0</v>
      </c>
      <c r="CB805" s="1863">
        <f t="shared" si="259"/>
        <v>24300</v>
      </c>
      <c r="CC805" s="1863">
        <f t="shared" si="259"/>
        <v>95000</v>
      </c>
      <c r="CD805" s="1863">
        <f t="shared" si="259"/>
        <v>0</v>
      </c>
      <c r="CE805" s="1863">
        <f t="shared" si="259"/>
        <v>0</v>
      </c>
      <c r="CF805" s="1863">
        <f t="shared" si="259"/>
        <v>0</v>
      </c>
      <c r="CG805" s="1863">
        <f t="shared" si="259"/>
        <v>0</v>
      </c>
      <c r="CH805" s="1863">
        <f t="shared" si="259"/>
        <v>0</v>
      </c>
      <c r="CI805" s="1863">
        <f t="shared" ref="CI805:ET805" si="260">SUM(CI767:CI804)</f>
        <v>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0</v>
      </c>
      <c r="CV805" s="1863">
        <f t="shared" si="260"/>
        <v>0</v>
      </c>
      <c r="CW805" s="1863">
        <f t="shared" si="260"/>
        <v>0</v>
      </c>
      <c r="CX805" s="1863">
        <f t="shared" si="260"/>
        <v>0</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20</v>
      </c>
      <c r="DG805" s="1863">
        <f t="shared" si="260"/>
        <v>76</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0</v>
      </c>
      <c r="DU805" s="1863">
        <f t="shared" si="260"/>
        <v>0</v>
      </c>
      <c r="DV805" s="1863">
        <f t="shared" si="260"/>
        <v>0</v>
      </c>
      <c r="DW805" s="1863">
        <f t="shared" si="260"/>
        <v>0</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0</v>
      </c>
      <c r="EY805" s="1863">
        <f t="shared" si="261"/>
        <v>0</v>
      </c>
      <c r="EZ805" s="1863">
        <f t="shared" si="261"/>
        <v>0</v>
      </c>
      <c r="FA805" s="1863">
        <f t="shared" si="261"/>
        <v>0</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20</v>
      </c>
      <c r="GI805" s="1863">
        <f t="shared" si="261"/>
        <v>76</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0</v>
      </c>
      <c r="GR805" s="1863">
        <f t="shared" si="261"/>
        <v>0</v>
      </c>
      <c r="GS805" s="1863">
        <f t="shared" si="261"/>
        <v>0</v>
      </c>
      <c r="GT805" s="1863">
        <f t="shared" si="261"/>
        <v>0</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0</v>
      </c>
      <c r="JE805" s="1863">
        <f t="shared" si="262"/>
        <v>0</v>
      </c>
      <c r="JF805" s="1863">
        <f t="shared" si="262"/>
        <v>0</v>
      </c>
      <c r="JG805" s="1863">
        <f t="shared" si="262"/>
        <v>0</v>
      </c>
      <c r="JH805" s="1863">
        <f t="shared" si="262"/>
        <v>0</v>
      </c>
      <c r="JI805" s="1863">
        <f t="shared" si="262"/>
        <v>0</v>
      </c>
      <c r="JJ805" s="1863">
        <f t="shared" si="262"/>
        <v>20</v>
      </c>
      <c r="JK805" s="1863">
        <f t="shared" si="262"/>
        <v>76</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1174512</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4595</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5"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5"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0</v>
      </c>
      <c r="K813" s="2056">
        <f>X805</f>
        <v>0</v>
      </c>
      <c r="L813" s="2056">
        <f>Y805</f>
        <v>20</v>
      </c>
      <c r="M813" s="2056">
        <f>Z805</f>
        <v>76</v>
      </c>
      <c r="N813" s="2056">
        <f>AA805</f>
        <v>0</v>
      </c>
      <c r="O813" s="2056">
        <f t="shared" ref="O813:O819" si="263">SUM(J813:N813)</f>
        <v>96</v>
      </c>
      <c r="P813" s="2008" t="s">
        <v>3698</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0</v>
      </c>
      <c r="L814" s="2056">
        <f>AD805</f>
        <v>0</v>
      </c>
      <c r="M814" s="2056">
        <f>AE805</f>
        <v>0</v>
      </c>
      <c r="N814" s="2056">
        <f>AF805</f>
        <v>0</v>
      </c>
      <c r="O814" s="2056">
        <f t="shared" si="263"/>
        <v>0</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0</v>
      </c>
      <c r="K815" s="2056">
        <f>SUM(K813:K814)</f>
        <v>0</v>
      </c>
      <c r="L815" s="2056">
        <f>SUM(L813:L814)</f>
        <v>20</v>
      </c>
      <c r="M815" s="2056">
        <f>SUM(M813:M814)</f>
        <v>76</v>
      </c>
      <c r="N815" s="2056">
        <f>SUM(N813:N814)</f>
        <v>0</v>
      </c>
      <c r="O815" s="2056">
        <f t="shared" si="263"/>
        <v>96</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0</v>
      </c>
      <c r="K817" s="2056">
        <f>SUM(K815:K816)</f>
        <v>0</v>
      </c>
      <c r="L817" s="2056">
        <f>SUM(L815:L816)</f>
        <v>20</v>
      </c>
      <c r="M817" s="2056">
        <f>SUM(M815:M816)</f>
        <v>76</v>
      </c>
      <c r="N817" s="2056">
        <f>SUM(N815:N816)</f>
        <v>0</v>
      </c>
      <c r="O817" s="2056">
        <f t="shared" si="263"/>
        <v>96</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3699</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0</v>
      </c>
      <c r="K819" s="2056">
        <f>SUM(K817:K818)</f>
        <v>0</v>
      </c>
      <c r="L819" s="2056">
        <f>SUM(L817:L818)</f>
        <v>20</v>
      </c>
      <c r="M819" s="2056">
        <f>SUM(M817:M818)</f>
        <v>76</v>
      </c>
      <c r="N819" s="2056">
        <f>SUM(N817:N818)</f>
        <v>0</v>
      </c>
      <c r="O819" s="2056">
        <f t="shared" si="263"/>
        <v>96</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0</v>
      </c>
      <c r="K821" s="2056">
        <f>BB805</f>
        <v>0</v>
      </c>
      <c r="L821" s="2056">
        <f>BC805</f>
        <v>0</v>
      </c>
      <c r="M821" s="2056">
        <f>BD805</f>
        <v>0</v>
      </c>
      <c r="N821" s="2056">
        <f>BE805</f>
        <v>0</v>
      </c>
      <c r="O821" s="2056">
        <f>SUM(J821:N821)</f>
        <v>0</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0</v>
      </c>
      <c r="K822" s="2056">
        <f>AW805</f>
        <v>0</v>
      </c>
      <c r="L822" s="2056">
        <f>AX805</f>
        <v>0</v>
      </c>
      <c r="M822" s="2056">
        <f>AY805</f>
        <v>0</v>
      </c>
      <c r="N822" s="2056">
        <f>AZ805</f>
        <v>0</v>
      </c>
      <c r="O822" s="2056">
        <f>SUM(J822:N822)</f>
        <v>0</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0</v>
      </c>
      <c r="K823" s="2056">
        <f>SUM(K821:K822)</f>
        <v>0</v>
      </c>
      <c r="L823" s="2056">
        <f>SUM(L821:L822)</f>
        <v>0</v>
      </c>
      <c r="M823" s="2056">
        <f>SUM(M821:M822)</f>
        <v>0</v>
      </c>
      <c r="N823" s="2056">
        <f>SUM(N821:N822)</f>
        <v>0</v>
      </c>
      <c r="O823" s="2056">
        <f>SUM(J823:N823)</f>
        <v>0</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0</v>
      </c>
      <c r="L829" s="2056">
        <f>DF805</f>
        <v>20</v>
      </c>
      <c r="M829" s="2056">
        <f>DG805</f>
        <v>76</v>
      </c>
      <c r="N829" s="2056">
        <f>DH805</f>
        <v>0</v>
      </c>
      <c r="O829" s="2056">
        <f t="shared" ref="O829:O839" si="264">SUM(J829:N829)</f>
        <v>96</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20</v>
      </c>
      <c r="M831" s="2056">
        <f>SUM(M829:M830)+DQ805</f>
        <v>76</v>
      </c>
      <c r="N831" s="2056">
        <f>SUM(N829:N830)+DR805</f>
        <v>0</v>
      </c>
      <c r="O831" s="2056">
        <f t="shared" si="264"/>
        <v>96</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0</v>
      </c>
      <c r="K832" s="2056">
        <f>DT805</f>
        <v>0</v>
      </c>
      <c r="L832" s="2056">
        <f>DU805</f>
        <v>0</v>
      </c>
      <c r="M832" s="2056">
        <f>DV805</f>
        <v>0</v>
      </c>
      <c r="N832" s="2056">
        <f>DW805</f>
        <v>0</v>
      </c>
      <c r="O832" s="2056">
        <f t="shared" si="264"/>
        <v>0</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0</v>
      </c>
      <c r="L834" s="2056">
        <f>SUM(L832:L833)+EE805</f>
        <v>0</v>
      </c>
      <c r="M834" s="2056">
        <f>SUM(M832:M833)+EF805</f>
        <v>0</v>
      </c>
      <c r="N834" s="2056">
        <f>SUM(N832:N833)+EG805</f>
        <v>0</v>
      </c>
      <c r="O834" s="2056">
        <f t="shared" si="264"/>
        <v>0</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4596</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4597</v>
      </c>
      <c r="D843" s="2061"/>
      <c r="E843" s="1857" t="s">
        <v>40</v>
      </c>
      <c r="F843" s="1854"/>
      <c r="G843" s="1875"/>
      <c r="J843" s="2056">
        <f t="shared" ref="J843:O843" si="265">SUM(J844:J851)</f>
        <v>0</v>
      </c>
      <c r="K843" s="2056">
        <f t="shared" si="265"/>
        <v>0</v>
      </c>
      <c r="L843" s="2056">
        <f t="shared" si="265"/>
        <v>0</v>
      </c>
      <c r="M843" s="2056">
        <f t="shared" si="265"/>
        <v>0</v>
      </c>
      <c r="N843" s="2056">
        <f t="shared" si="265"/>
        <v>0</v>
      </c>
      <c r="O843" s="2056">
        <f t="shared" si="265"/>
        <v>0</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0</v>
      </c>
      <c r="K844" s="2056">
        <f>GQ805</f>
        <v>0</v>
      </c>
      <c r="L844" s="2056">
        <f>GR805</f>
        <v>0</v>
      </c>
      <c r="M844" s="2056">
        <f>GS805</f>
        <v>0</v>
      </c>
      <c r="N844" s="2056">
        <f>GT805</f>
        <v>0</v>
      </c>
      <c r="O844" s="2056">
        <f t="shared" ref="O844:O859" si="266">SUM(J844:N844)</f>
        <v>0</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20</v>
      </c>
      <c r="M854" s="2056">
        <f>GI805</f>
        <v>76</v>
      </c>
      <c r="N854" s="2056">
        <f>GJ805</f>
        <v>0</v>
      </c>
      <c r="O854" s="2056">
        <f t="shared" si="266"/>
        <v>96</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4598</v>
      </c>
      <c r="D861" s="2061"/>
      <c r="E861" s="1857" t="s">
        <v>3374</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0</v>
      </c>
      <c r="K863" s="2056">
        <f t="shared" ref="K863:N864" si="269">K844+K854</f>
        <v>0</v>
      </c>
      <c r="L863" s="2056">
        <f t="shared" si="269"/>
        <v>20</v>
      </c>
      <c r="M863" s="2056">
        <f t="shared" si="269"/>
        <v>76</v>
      </c>
      <c r="N863" s="2056">
        <f t="shared" si="269"/>
        <v>0</v>
      </c>
      <c r="O863" s="2056">
        <f t="shared" si="268"/>
        <v>96</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0</v>
      </c>
      <c r="K870" s="2070">
        <f>CA805</f>
        <v>0</v>
      </c>
      <c r="L870" s="2070">
        <f>CB805</f>
        <v>24300</v>
      </c>
      <c r="M870" s="2070">
        <f>CC805</f>
        <v>95000</v>
      </c>
      <c r="N870" s="2070">
        <f>CD805</f>
        <v>0</v>
      </c>
      <c r="O870" s="2070">
        <f t="shared" ref="O870:O876" si="272">SUM(J870:N870)</f>
        <v>119300</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0</v>
      </c>
      <c r="L871" s="2070">
        <f>CG805</f>
        <v>0</v>
      </c>
      <c r="M871" s="2070">
        <f>CH805</f>
        <v>0</v>
      </c>
      <c r="N871" s="2070">
        <f>CI805</f>
        <v>0</v>
      </c>
      <c r="O871" s="2070">
        <f t="shared" si="272"/>
        <v>0</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0</v>
      </c>
      <c r="K872" s="2070">
        <f>SUM(K870:K871)</f>
        <v>0</v>
      </c>
      <c r="L872" s="2070">
        <f>SUM(L870:L871)</f>
        <v>24300</v>
      </c>
      <c r="M872" s="2070">
        <f>SUM(M870:M871)</f>
        <v>95000</v>
      </c>
      <c r="N872" s="2070">
        <f>SUM(N870:N871)</f>
        <v>0</v>
      </c>
      <c r="O872" s="2070">
        <f t="shared" si="272"/>
        <v>119300</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0</v>
      </c>
      <c r="K874" s="2070">
        <f>SUM(K872:K873)</f>
        <v>0</v>
      </c>
      <c r="L874" s="2070">
        <f>SUM(L872:L873)</f>
        <v>24300</v>
      </c>
      <c r="M874" s="2070">
        <f>SUM(M872:M873)</f>
        <v>95000</v>
      </c>
      <c r="N874" s="2070">
        <f>SUM(N872:N873)</f>
        <v>0</v>
      </c>
      <c r="O874" s="2070">
        <f t="shared" si="272"/>
        <v>119300</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0</v>
      </c>
      <c r="K876" s="2070">
        <f>SUM(K874:K875)</f>
        <v>0</v>
      </c>
      <c r="L876" s="2070">
        <f>SUM(L874:L875)</f>
        <v>24300</v>
      </c>
      <c r="M876" s="2070">
        <f>SUM(M874:M875)</f>
        <v>95000</v>
      </c>
      <c r="N876" s="2070">
        <f>SUM(N874:N875)</f>
        <v>0</v>
      </c>
      <c r="O876" s="2070">
        <f t="shared" si="272"/>
        <v>119300</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 customHeight="1">
      <c r="A877" s="1864" t="s">
        <v>750</v>
      </c>
      <c r="B877" s="1864" t="s">
        <v>4599</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23490.240000000002</v>
      </c>
      <c r="I879" s="2374">
        <f>'Part VI-Revenues &amp; Expenses'!I122</f>
        <v>0</v>
      </c>
      <c r="J879" s="1673"/>
      <c r="K879" s="2072" t="s">
        <v>4600</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4601</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4602</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4601</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4602</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4601</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4602</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4601</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4602</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15"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2212</v>
      </c>
      <c r="F921" s="2070">
        <f>'Part VI-Revenues &amp; Expenses'!F164</f>
        <v>45000</v>
      </c>
      <c r="G921" s="2070">
        <f>'Part VI-Revenues &amp; Expenses'!G164</f>
        <v>0</v>
      </c>
      <c r="I921" s="1854" t="s">
        <v>1390</v>
      </c>
      <c r="K921" s="2070">
        <f>'Part VI-Revenues &amp; Expenses'!K164</f>
        <v>0</v>
      </c>
      <c r="L921" s="2070">
        <f>'Part VI-Revenues &amp; Expenses'!L164</f>
        <v>0</v>
      </c>
      <c r="N921" s="1854" t="s">
        <v>938</v>
      </c>
      <c r="P921" s="2085">
        <f>'Part VI-Revenues &amp; Expenses'!P164</f>
        <v>125000</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35000</v>
      </c>
      <c r="G922" s="2070">
        <f>'Part VI-Revenues &amp; Expenses'!G165</f>
        <v>0</v>
      </c>
      <c r="I922" s="1854" t="s">
        <v>1391</v>
      </c>
      <c r="K922" s="2070">
        <f>'Part VI-Revenues &amp; Expenses'!K165</f>
        <v>0</v>
      </c>
      <c r="L922" s="2070">
        <f>'Part VI-Revenues &amp; Expenses'!L165</f>
        <v>0</v>
      </c>
      <c r="N922" s="1854" t="s">
        <v>148</v>
      </c>
      <c r="P922" s="2085">
        <f>'Part VI-Revenues &amp; Expenses'!P165</f>
        <v>42000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0</v>
      </c>
      <c r="L923" s="2070"/>
      <c r="N923" s="2377" t="str">
        <f>'Part VI-Revenues &amp; Expenses'!N166</f>
        <v>Miscellaneous Taxes &amp; Fees</v>
      </c>
      <c r="O923" s="2377">
        <f>'Part VI-Revenues &amp; Expenses'!O166</f>
        <v>0</v>
      </c>
      <c r="P923" s="2085">
        <f>'Part VI-Revenues &amp; Expenses'!P166</f>
        <v>851</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167851</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80000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15" customHeight="1">
      <c r="B927" s="1852" t="s">
        <v>1303</v>
      </c>
      <c r="D927" s="2086"/>
      <c r="I927" s="1852" t="s">
        <v>1304</v>
      </c>
      <c r="N927" s="1852" t="s">
        <v>1392</v>
      </c>
      <c r="P927" s="2087">
        <f>IF(OR('Part VII-Pro Forma'!$B$20 = "Choose Mgt Fee",'Part VII-Pro Forma'!$B$20 = "Choose One!"), 0,- 'Part VII-Pro Forma'!$B$20)</f>
        <v>66849</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6000</v>
      </c>
      <c r="G928" s="2070">
        <f>'Part VI-Revenues &amp; Expenses'!G171</f>
        <v>0</v>
      </c>
      <c r="I928" s="1854" t="s">
        <v>1614</v>
      </c>
      <c r="K928" s="2085">
        <f>'Part VI-Revenues &amp; Expenses'!K171</f>
        <v>5000</v>
      </c>
      <c r="L928" s="2085">
        <f>'Part VI-Revenues &amp; Expenses'!L171</f>
        <v>0</v>
      </c>
      <c r="N928" s="2088">
        <f>+P927/(O819*0.93)</f>
        <v>748.75672043010752</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2400</v>
      </c>
      <c r="G929" s="2070">
        <f>'Part VI-Revenues &amp; Expenses'!G172</f>
        <v>0</v>
      </c>
      <c r="I929" s="1854" t="s">
        <v>2065</v>
      </c>
      <c r="K929" s="2085">
        <f>'Part VI-Revenues &amp; Expenses'!K172</f>
        <v>10000</v>
      </c>
      <c r="L929" s="2085">
        <f>'Part VI-Revenues &amp; Expenses'!L172</f>
        <v>0</v>
      </c>
      <c r="N929" s="2088">
        <f>+P927/(O819*0.93)/12</f>
        <v>62.396393369175627</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0</v>
      </c>
      <c r="G930" s="2070">
        <f>'Part VI-Revenues &amp; Expenses'!G173</f>
        <v>0</v>
      </c>
      <c r="I930" s="1854" t="s">
        <v>1615</v>
      </c>
      <c r="K930" s="2085">
        <f>'Part VI-Revenues &amp; Expenses'!K173</f>
        <v>5000</v>
      </c>
      <c r="L930" s="2085">
        <f>'Part VI-Revenues &amp; Expenses'!L173</f>
        <v>0</v>
      </c>
      <c r="N930" s="555" t="s">
        <v>3760</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2357</v>
      </c>
      <c r="D931" s="2086"/>
      <c r="F931" s="2070">
        <f>'Part VI-Revenues &amp; Expenses'!F174</f>
        <v>0</v>
      </c>
      <c r="G931" s="2070">
        <f>'Part VI-Revenues &amp; Expenses'!G174</f>
        <v>0</v>
      </c>
      <c r="I931" s="2377" t="str">
        <f>'Part VI-Revenues &amp; Expenses'!I174</f>
        <v>Other (describe here)</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2500</v>
      </c>
      <c r="G932" s="2070">
        <f>'Part VI-Revenues &amp; Expenses'!G175</f>
        <v>0</v>
      </c>
      <c r="I932" s="1852"/>
      <c r="J932" s="2084" t="s">
        <v>193</v>
      </c>
      <c r="K932" s="2085">
        <f>SUM(K928:K931)</f>
        <v>20000</v>
      </c>
      <c r="L932" s="2085"/>
      <c r="M932" s="2091" t="str">
        <f>IF(P934="","",IF(P932&lt;P934, "WARNING! OE below required minimum.",""))</f>
        <v/>
      </c>
      <c r="N932" s="1852" t="s">
        <v>2202</v>
      </c>
      <c r="P932" s="2085">
        <f>F925+F934+F945+K923+K932+K942+P924+P927</f>
        <v>432000</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70">
        <f>'Part VI-Revenues &amp; Expenses'!F176</f>
        <v>0</v>
      </c>
      <c r="G933" s="2070">
        <f>'Part VI-Revenues &amp; Expenses'!G176</f>
        <v>0</v>
      </c>
      <c r="J933" s="2056"/>
      <c r="M933" s="2091"/>
      <c r="N933" s="2089" t="s">
        <v>2776</v>
      </c>
      <c r="O933" s="2088">
        <f>+P932/O819</f>
        <v>4500</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10900</v>
      </c>
      <c r="G934" s="2070"/>
      <c r="J934" s="2056"/>
      <c r="M934" s="2091"/>
      <c r="O934" s="2089" t="s">
        <v>3761</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2773</v>
      </c>
      <c r="N936" s="1852" t="s">
        <v>3505</v>
      </c>
      <c r="O936" s="1852"/>
      <c r="P936" s="2378">
        <f>'Part VI-Revenues &amp; Expenses'!P179</f>
        <v>24000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15000</v>
      </c>
      <c r="G937" s="2070">
        <f>'Part VI-Revenues &amp; Expenses'!G180</f>
        <v>0</v>
      </c>
      <c r="I937" s="1854" t="s">
        <v>1380</v>
      </c>
      <c r="J937" s="1959">
        <f>K937/12/O819</f>
        <v>10.416666666666666</v>
      </c>
      <c r="K937" s="2085">
        <f>'Part VI-Revenues &amp; Expenses'!K180</f>
        <v>12000</v>
      </c>
      <c r="L937" s="2085">
        <f>'Part VI-Revenues &amp; Expenses'!L180</f>
        <v>0</v>
      </c>
      <c r="M937" s="2091" t="str">
        <f>IF(P936&lt;P945, "WARNING! RR proposed is below the DCA required minimum.","")</f>
        <v/>
      </c>
      <c r="N937" s="555" t="s">
        <v>3769</v>
      </c>
      <c r="P937" s="2092">
        <f>P936/O945</f>
        <v>250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12500</v>
      </c>
      <c r="G938" s="2070">
        <f>'Part VI-Revenues &amp; Expenses'!G181</f>
        <v>0</v>
      </c>
      <c r="I938" s="1854" t="s">
        <v>1381</v>
      </c>
      <c r="J938" s="1959">
        <f>K938/12/O819</f>
        <v>0</v>
      </c>
      <c r="K938" s="2085">
        <f>'Part VI-Revenues &amp; Expenses'!K181</f>
        <v>0</v>
      </c>
      <c r="L938" s="2085">
        <f>'Part VI-Revenues &amp; Expenses'!L181</f>
        <v>0</v>
      </c>
      <c r="M938" s="2091"/>
      <c r="N938" s="2093" t="s">
        <v>3768</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12000</v>
      </c>
      <c r="G939" s="2070">
        <f>'Part VI-Revenues &amp; Expenses'!G182</f>
        <v>0</v>
      </c>
      <c r="I939" s="1854" t="s">
        <v>2368</v>
      </c>
      <c r="J939" s="1959">
        <f>K939/12/O819</f>
        <v>2.0833333333333335</v>
      </c>
      <c r="K939" s="2085">
        <f>'Part VI-Revenues &amp; Expenses'!K182</f>
        <v>2400</v>
      </c>
      <c r="L939" s="2085">
        <f>'Part VI-Revenues &amp; Expenses'!L182</f>
        <v>0</v>
      </c>
      <c r="M939" s="2091"/>
      <c r="N939" s="2094" t="s">
        <v>2732</v>
      </c>
      <c r="O939" s="2095" t="s">
        <v>3884</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10000</v>
      </c>
      <c r="G940" s="2070">
        <f>'Part VI-Revenues &amp; Expenses'!G183</f>
        <v>0</v>
      </c>
      <c r="I940" s="1854" t="s">
        <v>1383</v>
      </c>
      <c r="K940" s="2085">
        <f>'Part VI-Revenues &amp; Expenses'!K183</f>
        <v>12500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10000</v>
      </c>
      <c r="G941" s="2070">
        <f>'Part VI-Revenues &amp; Expenses'!G184</f>
        <v>0</v>
      </c>
      <c r="I941" s="2377" t="str">
        <f>'Part VI-Revenues &amp; Expenses'!I184</f>
        <v>Other (describe here)</v>
      </c>
      <c r="J941" s="2377">
        <f>'Part VI-Revenues &amp; Expenses'!J184</f>
        <v>0</v>
      </c>
      <c r="K941" s="2085">
        <f>'Part VI-Revenues &amp; Expenses'!K184</f>
        <v>0</v>
      </c>
      <c r="L941" s="2085">
        <f>'Part VI-Revenues &amp; Expenses'!L184</f>
        <v>0</v>
      </c>
      <c r="M941" s="2091"/>
      <c r="N941" s="1875" t="s">
        <v>3452</v>
      </c>
      <c r="O941" s="2097" t="str">
        <f>CONCATENATE(SUM(JC805:JG805)," units x $",'DCA Underwriting Assumptions'!$Q$65," =")</f>
        <v>0 units x $350 =</v>
      </c>
      <c r="P941" s="2097">
        <f>SUM(JC805:JG805)*'DCA Underwriting Assumptions'!$Q$65</f>
        <v>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26900</v>
      </c>
      <c r="L942" s="2085"/>
      <c r="M942" s="2091"/>
      <c r="N942" s="1875" t="s">
        <v>3451</v>
      </c>
      <c r="O942" s="2097" t="str">
        <f>CONCATENATE(SUM(JH805:JL805)," units x $",'DCA Underwriting Assumptions'!$Q$66," =")</f>
        <v>96 units x $250 =</v>
      </c>
      <c r="P942" s="2097">
        <f>SUM(JH805:JL805)*'DCA Underwriting Assumptions'!$Q$66</f>
        <v>24000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0</v>
      </c>
      <c r="G943" s="2070">
        <f>'Part VI-Revenues &amp; Expenses'!G186</f>
        <v>0</v>
      </c>
      <c r="J943" s="2056"/>
      <c r="M943" s="2091"/>
      <c r="N943" s="1964" t="s">
        <v>3455</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70">
        <f>'Part VI-Revenues &amp; Expenses'!F187</f>
        <v>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59500</v>
      </c>
      <c r="G945" s="2070"/>
      <c r="J945" s="2056"/>
      <c r="N945" s="2051" t="s">
        <v>2735</v>
      </c>
      <c r="O945" s="2046">
        <f>SUM(JC805:JG805)+SUM(JH805:JL805)+SUM(JM805:JQ805)+O841</f>
        <v>96</v>
      </c>
      <c r="P945" s="2098">
        <f>SUM(P941:P944)</f>
        <v>24000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2203</v>
      </c>
      <c r="P947" s="2085">
        <f>P932+P936</f>
        <v>456000</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4162</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Real estate tax budget estimate is based upon the findings of the appraiser. Their methodology and results can be found in the Feasibility tab of the application, as well as in the appraisal report.
Insurance budget estimate is based upon a preliminary quote from the applicant's insurance agent.</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4161</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McIntosh Woods,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ht="13.5">
      <c r="A959" s="1864" t="s">
        <v>91</v>
      </c>
      <c r="D959" s="1864" t="s">
        <v>81</v>
      </c>
      <c r="E959" s="2036"/>
      <c r="F959" s="1872" t="s">
        <v>4603</v>
      </c>
    </row>
    <row r="961" spans="1:19" ht="12.75" customHeight="1">
      <c r="A961" s="799" t="s">
        <v>2204</v>
      </c>
      <c r="B961" s="2099">
        <v>0.02</v>
      </c>
      <c r="D961" s="2061" t="s">
        <v>4604</v>
      </c>
      <c r="E961" s="2061"/>
      <c r="F961" s="2061"/>
      <c r="G961" s="2379">
        <f>'Part VII-Pro Forma'!G5</f>
        <v>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No</v>
      </c>
      <c r="H964" s="2103" t="s">
        <v>1456</v>
      </c>
      <c r="K964" s="2381">
        <f>'Part VII-Pro Forma'!K8</f>
        <v>0</v>
      </c>
    </row>
    <row r="965" spans="1:19">
      <c r="A965" s="799" t="s">
        <v>1430</v>
      </c>
      <c r="B965" s="2099">
        <v>0.02</v>
      </c>
      <c r="D965" s="1854" t="s">
        <v>1731</v>
      </c>
      <c r="G965" s="2380" t="str">
        <f>'Part VII-Pro Forma'!G9</f>
        <v>Yes</v>
      </c>
      <c r="H965" s="2103" t="s">
        <v>2372</v>
      </c>
      <c r="K965" s="2382">
        <f>'Part VII-Pro Forma'!K9</f>
        <v>0.06</v>
      </c>
    </row>
    <row r="967" spans="1:19">
      <c r="A967" s="1864" t="s">
        <v>92</v>
      </c>
      <c r="D967" s="2028"/>
    </row>
    <row r="969" spans="1:19">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1174512</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37" t="s">
        <v>4247</v>
      </c>
    </row>
    <row r="971" spans="1:19">
      <c r="A971" s="799" t="s">
        <v>1026</v>
      </c>
      <c r="B971" s="2104">
        <f>MIN(B970*B965,'Part VI-Revenues &amp; Expenses'!$H$122)</f>
        <v>23490.240000000002</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37"/>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37" t="s">
        <v>3921</v>
      </c>
      <c r="R972" s="3837" t="s">
        <v>4246</v>
      </c>
      <c r="S972" s="3837"/>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37"/>
      <c r="R973" s="3837"/>
      <c r="S973" s="3837"/>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-365151</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109690.34304046282</v>
      </c>
      <c r="S975" s="551">
        <f>B986+R975</f>
        <v>188519.49984046281</v>
      </c>
    </row>
    <row r="976" spans="1:19">
      <c r="A976" s="799" t="s">
        <v>1125</v>
      </c>
      <c r="B976" s="2104">
        <f>IF(AND('Part VII-Pro Forma'!$G$8="Yes",'Part VII-Pro Forma'!$G$9="Yes"),"Choose One!",IF('Part VII-Pro Forma'!$G$8="Yes",ROUND((-$K$8*(1+'Part VII-Pro Forma'!$B$6)^('Part VII-Pro Forma'!B969-1)),),IF('Part VII-Pro Forma'!$G$9="Yes",ROUND((-(SUM(B970:B973)*'Part VII-Pro Forma'!$K$9)),),"Choose mgt fee")))</f>
        <v>-71880</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228652.99774492555</v>
      </c>
      <c r="S976" s="551">
        <f>SUM(B986:C986)+R976</f>
        <v>-359932.24031907436</v>
      </c>
    </row>
    <row r="977" spans="1:19">
      <c r="A977" s="799" t="s">
        <v>1214</v>
      </c>
      <c r="B977" s="2104">
        <f>-('Part VI-Revenues &amp; Expenses'!$P$179)</f>
        <v>-24000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264667</v>
      </c>
      <c r="S977" s="551">
        <f>SUM(B986:D986)+R977</f>
        <v>-908383.98047861154</v>
      </c>
    </row>
    <row r="978" spans="1:19">
      <c r="A978" s="799" t="s">
        <v>1215</v>
      </c>
      <c r="B978" s="2104">
        <f t="shared" ref="B978:K978" si="285">SUM(B970:B977)</f>
        <v>736971.24</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264667</v>
      </c>
      <c r="S978" s="551">
        <f>SUM(B986:E986)+R978</f>
        <v>-1456835.7206381487</v>
      </c>
    </row>
    <row r="979" spans="1:19">
      <c r="A979" s="799" t="s">
        <v>1603</v>
      </c>
      <c r="B979" s="2104">
        <f>'Part VII-Pro Forma'!B23</f>
        <v>-548451.74015953718</v>
      </c>
      <c r="C979" s="2104">
        <f>'Part VII-Pro Forma'!C23</f>
        <v>-548451.74015953718</v>
      </c>
      <c r="D979" s="2104">
        <f>'Part VII-Pro Forma'!D23</f>
        <v>-548451.74015953718</v>
      </c>
      <c r="E979" s="2104">
        <f>'Part VII-Pro Forma'!E23</f>
        <v>-548451.74015953718</v>
      </c>
      <c r="F979" s="2104">
        <f>'Part VII-Pro Forma'!F23</f>
        <v>-548451.74015953718</v>
      </c>
      <c r="G979" s="2104">
        <f>'Part VII-Pro Forma'!G23</f>
        <v>-548451.74015953718</v>
      </c>
      <c r="H979" s="2104">
        <f>'Part VII-Pro Forma'!H23</f>
        <v>-548451.74015953718</v>
      </c>
      <c r="I979" s="2104">
        <f>'Part VII-Pro Forma'!I23</f>
        <v>-548451.74015953718</v>
      </c>
      <c r="J979" s="2104">
        <f>'Part VII-Pro Forma'!J23</f>
        <v>-548451.74015953718</v>
      </c>
      <c r="K979" s="2104">
        <f>'Part VII-Pro Forma'!K23</f>
        <v>-548451.74015953718</v>
      </c>
      <c r="Q979" s="550">
        <v>5</v>
      </c>
      <c r="R979" s="551">
        <f>-SUM(B985:F985)</f>
        <v>264667</v>
      </c>
      <c r="S979" s="551">
        <f>SUM(B986:F986)+R979</f>
        <v>-2005287.4607976861</v>
      </c>
    </row>
    <row r="980" spans="1:19">
      <c r="A980" s="799" t="s">
        <v>1604</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0</v>
      </c>
      <c r="J980" s="2104">
        <f>'Part VII-Pro Forma'!J24</f>
        <v>0</v>
      </c>
      <c r="K980" s="2104">
        <f>'Part VII-Pro Forma'!K24</f>
        <v>0</v>
      </c>
      <c r="Q980" s="550">
        <v>6</v>
      </c>
      <c r="R980" s="551">
        <f>-SUM(B985:G985)</f>
        <v>264667</v>
      </c>
      <c r="S980" s="551">
        <f>SUM(B986:G986)+R980</f>
        <v>-2553739.2009572233</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264667</v>
      </c>
      <c r="S981" s="551">
        <f>SUM(B986:H986)+R981</f>
        <v>-3102190.9411167605</v>
      </c>
    </row>
    <row r="982" spans="1:19">
      <c r="A982" s="799" t="s">
        <v>3887</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264667</v>
      </c>
      <c r="S982" s="551">
        <f>SUM(B986:I986)+R982</f>
        <v>-3650642.6812762977</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264667</v>
      </c>
      <c r="S983" s="551">
        <f>SUM(B986:J986)+R983</f>
        <v>-4199094.4214358348</v>
      </c>
    </row>
    <row r="984" spans="1:19">
      <c r="A984" s="799" t="s">
        <v>1174</v>
      </c>
      <c r="B984" s="2104">
        <f>'Part VII-Pro Forma'!B28</f>
        <v>0</v>
      </c>
      <c r="C984" s="2104">
        <f>'Part VII-Pro Forma'!C28</f>
        <v>0</v>
      </c>
      <c r="D984" s="2104">
        <f>'Part VII-Pro Forma'!D28</f>
        <v>0</v>
      </c>
      <c r="E984" s="2104">
        <f>'Part VII-Pro Forma'!E28</f>
        <v>0</v>
      </c>
      <c r="F984" s="2104">
        <f>'Part VII-Pro Forma'!F28</f>
        <v>0</v>
      </c>
      <c r="G984" s="2104">
        <f>'Part VII-Pro Forma'!G28</f>
        <v>0</v>
      </c>
      <c r="H984" s="2104">
        <f>'Part VII-Pro Forma'!H28</f>
        <v>0</v>
      </c>
      <c r="I984" s="2104">
        <f>'Part VII-Pro Forma'!I28</f>
        <v>0</v>
      </c>
      <c r="J984" s="2104">
        <f>'Part VII-Pro Forma'!J28</f>
        <v>0</v>
      </c>
      <c r="K984" s="2104">
        <f>'Part VII-Pro Forma'!K28</f>
        <v>0</v>
      </c>
      <c r="Q984" s="550">
        <v>10</v>
      </c>
      <c r="R984" s="551">
        <f>-SUM(B985:K985)</f>
        <v>264667</v>
      </c>
      <c r="S984" s="551">
        <f>SUM(B986:K986)+R984</f>
        <v>-4747546.1615953725</v>
      </c>
    </row>
    <row r="985" spans="1:19">
      <c r="A985" s="799" t="s">
        <v>4136</v>
      </c>
      <c r="B985" s="2104">
        <f>'Part VII-Pro Forma'!B29</f>
        <v>-109690.34304046282</v>
      </c>
      <c r="C985" s="2104">
        <f>'Part VII-Pro Forma'!C29</f>
        <v>-118962.65470446274</v>
      </c>
      <c r="D985" s="2104">
        <f>'Part VII-Pro Forma'!D29</f>
        <v>-36014.002255074447</v>
      </c>
      <c r="E985" s="2104">
        <f>'Part VII-Pro Forma'!E29</f>
        <v>0</v>
      </c>
      <c r="F985" s="2104">
        <f>'Part VII-Pro Forma'!F29</f>
        <v>0</v>
      </c>
      <c r="G985" s="2104">
        <f>'Part VII-Pro Forma'!G29</f>
        <v>0</v>
      </c>
      <c r="H985" s="2104">
        <f>'Part VII-Pro Forma'!H29</f>
        <v>0</v>
      </c>
      <c r="I985" s="2104">
        <f>'Part VII-Pro Forma'!I29</f>
        <v>0</v>
      </c>
      <c r="J985" s="2104">
        <f>'Part VII-Pro Forma'!J29</f>
        <v>0</v>
      </c>
      <c r="K985" s="2104">
        <f>'Part VII-Pro Forma'!K29</f>
        <v>0</v>
      </c>
      <c r="Q985" s="550">
        <v>11</v>
      </c>
      <c r="R985" s="551">
        <f>-SUM(B985:K985)-B1015</f>
        <v>374357.34304046282</v>
      </c>
      <c r="S985" s="551">
        <f>SUM(B986:K986)+B1016+R985</f>
        <v>-5295997.9017549101</v>
      </c>
    </row>
    <row r="986" spans="1:19">
      <c r="A986" s="799" t="s">
        <v>1175</v>
      </c>
      <c r="B986" s="2104">
        <f>SUM(B978:B985)</f>
        <v>78829.156799999997</v>
      </c>
      <c r="C986" s="2104">
        <f t="shared" ref="C986:K986" si="286">SUM(C978:C985)</f>
        <v>-667414.39486399991</v>
      </c>
      <c r="D986" s="2104">
        <f t="shared" si="286"/>
        <v>-584465.74241461162</v>
      </c>
      <c r="E986" s="2104">
        <f t="shared" si="286"/>
        <v>-548451.74015953718</v>
      </c>
      <c r="F986" s="2104">
        <f t="shared" si="286"/>
        <v>-548451.74015953718</v>
      </c>
      <c r="G986" s="2104">
        <f t="shared" si="286"/>
        <v>-548451.74015953718</v>
      </c>
      <c r="H986" s="2104">
        <f t="shared" si="286"/>
        <v>-548451.74015953718</v>
      </c>
      <c r="I986" s="2104">
        <f t="shared" si="286"/>
        <v>-548451.74015953718</v>
      </c>
      <c r="J986" s="2104">
        <f t="shared" si="286"/>
        <v>-548451.74015953718</v>
      </c>
      <c r="K986" s="2104">
        <f t="shared" si="286"/>
        <v>-548451.74015953718</v>
      </c>
      <c r="Q986" s="550">
        <v>12</v>
      </c>
      <c r="R986" s="551">
        <f>-SUM(B985:K985) - SUM(B1015:C1015)</f>
        <v>484047.68608092563</v>
      </c>
      <c r="S986" s="551">
        <f>SUM(B986:K986) + SUM(B60:C60)+R986</f>
        <v>-4528165.4755144473</v>
      </c>
    </row>
    <row r="987" spans="1:19">
      <c r="A987" s="799" t="str">
        <f>IF('Part III-Sources of Funds'!$E$37 = "Neither", "", "DCR Mortgage A")</f>
        <v>DCR Mortgage A</v>
      </c>
      <c r="B987" s="2105">
        <f t="shared" ref="B987:K987" si="287">IF(B979=0,"",-B978/B979)</f>
        <v>1.3437303340228715</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593738.02912138845</v>
      </c>
      <c r="S987" s="551">
        <f>SUM(B986:K986) + SUM(B1016:D1016)+R987</f>
        <v>-6392901.3820739836</v>
      </c>
    </row>
    <row r="988" spans="1:19">
      <c r="A988" s="799" t="str">
        <f>IF('Part III-Sources of Funds'!$E$37 = "Neither", "", "DCR Mortgage B")</f>
        <v>DCR Mortgage B</v>
      </c>
      <c r="B988" s="2105" t="str">
        <f t="shared" ref="B988:K988" si="288">IF(B980=0,"",-(B978+B979)/B980)</f>
        <v/>
      </c>
      <c r="C988" s="2105" t="str">
        <f t="shared" si="288"/>
        <v/>
      </c>
      <c r="D988" s="2105" t="str">
        <f t="shared" si="288"/>
        <v/>
      </c>
      <c r="E988" s="2105" t="str">
        <f t="shared" si="288"/>
        <v/>
      </c>
      <c r="F988" s="2105" t="str">
        <f t="shared" si="288"/>
        <v/>
      </c>
      <c r="G988" s="2105" t="str">
        <f t="shared" si="288"/>
        <v/>
      </c>
      <c r="H988" s="2105" t="str">
        <f t="shared" si="288"/>
        <v/>
      </c>
      <c r="I988" s="2105" t="str">
        <f t="shared" si="288"/>
        <v/>
      </c>
      <c r="J988" s="2105" t="str">
        <f t="shared" si="288"/>
        <v/>
      </c>
      <c r="K988" s="2105" t="str">
        <f t="shared" si="288"/>
        <v/>
      </c>
      <c r="Q988" s="550">
        <v>14</v>
      </c>
      <c r="R988" s="551">
        <f>-SUM(B985:K985) - SUM(B1015:E1015)</f>
        <v>703428.37216185126</v>
      </c>
      <c r="S988" s="551">
        <f>SUM(B986:K986) + SUM(B1016:E1016)+R988</f>
        <v>-6941353.1222335212</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813118.71520231408</v>
      </c>
      <c r="S989" s="551">
        <f>SUM(B986:K986) + SUM(B1016:F1016)+R989</f>
        <v>-7489804.8623930588</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813118.71520231408</v>
      </c>
      <c r="S990" s="551">
        <f>SUM(B986:K986) + SUM(B1016:G1016)+R990</f>
        <v>-8038256.6025525955</v>
      </c>
    </row>
    <row r="991" spans="1:19">
      <c r="A991" s="799" t="s">
        <v>3743</v>
      </c>
      <c r="B991" s="2105">
        <f t="shared" ref="B991:K991" si="291">IF(AND(B979=0,B980=0,B981=0,B982=0),"",-B978/(B979+B980+B981+B982))</f>
        <v>1.3437303340228715</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813118.71520231408</v>
      </c>
      <c r="S991" s="551">
        <f>SUM(B986:K986) + SUM(B1016:H1016)+R991</f>
        <v>-8586708.3427121323</v>
      </c>
    </row>
    <row r="992" spans="1:19">
      <c r="A992" s="799" t="s">
        <v>778</v>
      </c>
      <c r="B992" s="2106">
        <f t="shared" ref="B992:K992" si="292">IF(OR(B976="Choose mgt fee",B976="Choose One!"),"",(B970+B971+B972+B973+B974) / -(B975+B976+B977))</f>
        <v>2.5985286021981167</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813118.71520231408</v>
      </c>
      <c r="S992" s="551">
        <f>SUM(B986:K986) + SUM(B1016:I1016)+R992</f>
        <v>-9135160.0828716699</v>
      </c>
    </row>
    <row r="993" spans="1:19">
      <c r="A993" s="799" t="s">
        <v>2634</v>
      </c>
      <c r="B993" s="2104">
        <f>'Part VII-Pro Forma'!B37</f>
        <v>8428371.5723738819</v>
      </c>
      <c r="C993" s="2104">
        <f>'Part VII-Pro Forma'!C37</f>
        <v>8341307.266812616</v>
      </c>
      <c r="D993" s="2104">
        <f>'Part VII-Pro Forma'!D37</f>
        <v>8249331.8500586869</v>
      </c>
      <c r="E993" s="2104">
        <f>'Part VII-Pro Forma'!E37</f>
        <v>8152168.2968376009</v>
      </c>
      <c r="F993" s="2104">
        <f>'Part VII-Pro Forma'!F37</f>
        <v>8049523.9554718575</v>
      </c>
      <c r="G993" s="2104">
        <f>'Part VII-Pro Forma'!G37</f>
        <v>7941089.6664289897</v>
      </c>
      <c r="H993" s="2104">
        <f>'Part VII-Pro Forma'!H37</f>
        <v>7826538.8311487874</v>
      </c>
      <c r="I993" s="2104">
        <f>'Part VII-Pro Forma'!I37</f>
        <v>7705526.4283450525</v>
      </c>
      <c r="J993" s="2104">
        <f>'Part VII-Pro Forma'!J37</f>
        <v>7577687.9748190464</v>
      </c>
      <c r="K993" s="2104">
        <f>'Part VII-Pro Forma'!K37</f>
        <v>7442638.4276546426</v>
      </c>
      <c r="Q993" s="550">
        <v>19</v>
      </c>
      <c r="R993" s="551">
        <f>-SUM(B985:K985) - SUM(B1015:J1015)</f>
        <v>813118.71520231408</v>
      </c>
      <c r="S993" s="551">
        <f>SUM(B986:K986) + SUM(B1016:J1016)+R993</f>
        <v>-9683611.8230312075</v>
      </c>
    </row>
    <row r="994" spans="1:19">
      <c r="A994" s="799" t="s">
        <v>2635</v>
      </c>
      <c r="B994" s="2104" t="str">
        <f>'Part VII-Pro Forma'!B38</f>
        <v/>
      </c>
      <c r="C994" s="2104" t="str">
        <f>'Part VII-Pro Forma'!C38</f>
        <v/>
      </c>
      <c r="D994" s="2104" t="str">
        <f>'Part VII-Pro Forma'!D38</f>
        <v/>
      </c>
      <c r="E994" s="2104" t="str">
        <f>'Part VII-Pro Forma'!E38</f>
        <v/>
      </c>
      <c r="F994" s="2104" t="str">
        <f>'Part VII-Pro Forma'!F38</f>
        <v/>
      </c>
      <c r="G994" s="2104" t="str">
        <f>'Part VII-Pro Forma'!G38</f>
        <v/>
      </c>
      <c r="H994" s="2104" t="str">
        <f>'Part VII-Pro Forma'!H38</f>
        <v/>
      </c>
      <c r="I994" s="2104" t="str">
        <f>'Part VII-Pro Forma'!I38</f>
        <v/>
      </c>
      <c r="J994" s="2104" t="str">
        <f>'Part VII-Pro Forma'!J38</f>
        <v/>
      </c>
      <c r="K994" s="2104" t="str">
        <f>'Part VII-Pro Forma'!K38</f>
        <v/>
      </c>
      <c r="Q994" s="550">
        <v>20</v>
      </c>
      <c r="R994" s="551">
        <f>-SUM(B985:K985) - SUM(B1015:K1015)</f>
        <v>813118.71520231408</v>
      </c>
      <c r="S994" s="551">
        <f>SUM(B986:K986) + SUM(B1016:K1016)+R994</f>
        <v>-10232063.563190745</v>
      </c>
    </row>
    <row r="995" spans="1:19">
      <c r="A995" s="799" t="s">
        <v>2636</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4137</v>
      </c>
      <c r="B997" s="2104">
        <f>'Part VII-Pro Forma'!B41</f>
        <v>154976.65695953718</v>
      </c>
      <c r="C997" s="2104">
        <f>'Part VII-Pro Forma'!C41</f>
        <v>36014.002255074447</v>
      </c>
      <c r="D997" s="2104">
        <f>'Part VII-Pro Forma'!D41</f>
        <v>0</v>
      </c>
      <c r="E997" s="2104">
        <f>'Part VII-Pro Forma'!E41</f>
        <v>0</v>
      </c>
      <c r="F997" s="2104">
        <f>'Part VII-Pro Forma'!F41</f>
        <v>0</v>
      </c>
      <c r="G997" s="2104">
        <f>'Part VII-Pro Forma'!G41</f>
        <v>0</v>
      </c>
      <c r="H997" s="2104">
        <f>'Part VII-Pro Forma'!H41</f>
        <v>0</v>
      </c>
      <c r="I997" s="2104">
        <f>'Part VII-Pro Forma'!I41</f>
        <v>0</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-548451.74015953718</v>
      </c>
      <c r="C1009" s="2104">
        <f>'Part VII-Pro Forma'!C53</f>
        <v>-548451.74015953718</v>
      </c>
      <c r="D1009" s="2104">
        <f>'Part VII-Pro Forma'!D53</f>
        <v>-548451.74015953718</v>
      </c>
      <c r="E1009" s="2104">
        <f>'Part VII-Pro Forma'!E53</f>
        <v>-548451.74015953718</v>
      </c>
      <c r="F1009" s="2104">
        <f>'Part VII-Pro Forma'!F53</f>
        <v>-548451.74015953718</v>
      </c>
      <c r="G1009" s="2104">
        <f>'Part VII-Pro Forma'!G53</f>
        <v>-548451.74015953718</v>
      </c>
      <c r="H1009" s="2104">
        <f>'Part VII-Pro Forma'!H53</f>
        <v>-548451.74015953718</v>
      </c>
      <c r="I1009" s="2104">
        <f>'Part VII-Pro Forma'!I53</f>
        <v>-548451.74015953718</v>
      </c>
      <c r="J1009" s="2104">
        <f>'Part VII-Pro Forma'!J53</f>
        <v>-548451.74015953718</v>
      </c>
      <c r="K1009" s="2104">
        <f>'Part VII-Pro Forma'!K53</f>
        <v>-548451.74015953718</v>
      </c>
    </row>
    <row r="1010" spans="1:11">
      <c r="A1010" s="799" t="str">
        <f>$A980</f>
        <v>Mortgage B</v>
      </c>
      <c r="B1010" s="2104">
        <f>'Part VII-Pro Forma'!B54</f>
        <v>0</v>
      </c>
      <c r="C1010" s="2104">
        <f>'Part VII-Pro Forma'!C54</f>
        <v>0</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0</v>
      </c>
      <c r="C1014" s="2104">
        <f>'Part VII-Pro Forma'!C58</f>
        <v>0</v>
      </c>
      <c r="D1014" s="2104">
        <f>'Part VII-Pro Forma'!D58</f>
        <v>0</v>
      </c>
      <c r="E1014" s="2104">
        <f>'Part VII-Pro Forma'!E58</f>
        <v>0</v>
      </c>
      <c r="F1014" s="2104">
        <f>'Part VII-Pro Forma'!F58</f>
        <v>0</v>
      </c>
      <c r="G1014" s="2104">
        <f>'Part VII-Pro Forma'!G58</f>
        <v>0</v>
      </c>
      <c r="H1014" s="2104">
        <f>'Part VII-Pro Forma'!H58</f>
        <v>0</v>
      </c>
      <c r="I1014" s="2104">
        <f>'Part VII-Pro Forma'!I58</f>
        <v>0</v>
      </c>
      <c r="J1014" s="2104">
        <f>'Part VII-Pro Forma'!J58</f>
        <v>0</v>
      </c>
      <c r="K1014" s="2104">
        <f>'Part VII-Pro Forma'!K58</f>
        <v>0</v>
      </c>
    </row>
    <row r="1015" spans="1:11">
      <c r="A1015" s="799" t="s">
        <v>4136</v>
      </c>
      <c r="B1015" s="2104">
        <f>'Part VII-Pro Forma'!B59</f>
        <v>-109690.34304046282</v>
      </c>
      <c r="C1015" s="2104">
        <f>'Part VII-Pro Forma'!C59</f>
        <v>-109690.34304046282</v>
      </c>
      <c r="D1015" s="2104">
        <f>'Part VII-Pro Forma'!D59</f>
        <v>-109690.34304046282</v>
      </c>
      <c r="E1015" s="2104">
        <f>'Part VII-Pro Forma'!E59</f>
        <v>-109690.34304046282</v>
      </c>
      <c r="F1015" s="2104">
        <f>'Part VII-Pro Forma'!F59</f>
        <v>-109690.34304046282</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-658142.08319999999</v>
      </c>
      <c r="C1016" s="2104">
        <f t="shared" ref="C1016:K1016" si="300">SUM(C1008:C1015)</f>
        <v>-658142.08319999999</v>
      </c>
      <c r="D1016" s="2104">
        <f t="shared" si="300"/>
        <v>-658142.08319999999</v>
      </c>
      <c r="E1016" s="2104">
        <f t="shared" si="300"/>
        <v>-658142.08319999999</v>
      </c>
      <c r="F1016" s="2104">
        <f t="shared" si="300"/>
        <v>-658142.08319999999</v>
      </c>
      <c r="G1016" s="2104">
        <f t="shared" si="300"/>
        <v>-548451.74015953718</v>
      </c>
      <c r="H1016" s="2104">
        <f t="shared" si="300"/>
        <v>-548451.74015953718</v>
      </c>
      <c r="I1016" s="2104">
        <f t="shared" si="300"/>
        <v>-548451.74015953718</v>
      </c>
      <c r="J1016" s="2104">
        <f t="shared" si="300"/>
        <v>-548451.74015953718</v>
      </c>
      <c r="K1016" s="2104">
        <f t="shared" si="300"/>
        <v>-548451.74015953718</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t="str">
        <f t="shared" ref="B1018:K1018" si="302">IF(B1010=0,"",-(B1008+B1009)/B1010)</f>
        <v/>
      </c>
      <c r="C1018" s="2105" t="str">
        <f t="shared" si="302"/>
        <v/>
      </c>
      <c r="D1018" s="2105" t="str">
        <f t="shared" si="302"/>
        <v/>
      </c>
      <c r="E1018" s="2105" t="str">
        <f t="shared" si="302"/>
        <v/>
      </c>
      <c r="F1018" s="2105" t="str">
        <f t="shared" si="302"/>
        <v/>
      </c>
      <c r="G1018" s="2105" t="str">
        <f t="shared" si="302"/>
        <v/>
      </c>
      <c r="H1018" s="2105" t="str">
        <f t="shared" si="302"/>
        <v/>
      </c>
      <c r="I1018" s="2105" t="str">
        <f t="shared" si="302"/>
        <v/>
      </c>
      <c r="J1018" s="2105" t="str">
        <f t="shared" si="302"/>
        <v/>
      </c>
      <c r="K1018" s="2105" t="str">
        <f t="shared" si="302"/>
        <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3743</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7299971.0244886596</v>
      </c>
      <c r="C1023" s="2104">
        <f>'Part VII-Pro Forma'!C67</f>
        <v>7149256.0583633222</v>
      </c>
      <c r="D1023" s="2104">
        <f>'Part VII-Pro Forma'!D67</f>
        <v>6990039.5834707767</v>
      </c>
      <c r="E1023" s="2104">
        <f>'Part VII-Pro Forma'!E67</f>
        <v>6821842.0478914157</v>
      </c>
      <c r="F1023" s="2104">
        <f>'Part VII-Pro Forma'!F67</f>
        <v>6644156.8492079023</v>
      </c>
      <c r="G1023" s="2104">
        <f>'Part VII-Pro Forma'!G67</f>
        <v>6456448.8086444736</v>
      </c>
      <c r="H1023" s="2104">
        <f>'Part VII-Pro Forma'!H67</f>
        <v>6258152.5591357006</v>
      </c>
      <c r="I1023" s="2104">
        <f>'Part VII-Pro Forma'!I67</f>
        <v>6048670.8424696615</v>
      </c>
      <c r="J1023" s="2104">
        <f>'Part VII-Pro Forma'!J67</f>
        <v>5827372.7103766017</v>
      </c>
      <c r="K1023" s="2104">
        <f>'Part VII-Pro Forma'!K67</f>
        <v>5593591.6241448568</v>
      </c>
    </row>
    <row r="1024" spans="1:11">
      <c r="A1024" s="799" t="s">
        <v>2635</v>
      </c>
      <c r="B1024" s="2104" t="str">
        <f>'Part VII-Pro Forma'!B68</f>
        <v/>
      </c>
      <c r="C1024" s="2104" t="str">
        <f>'Part VII-Pro Forma'!C68</f>
        <v/>
      </c>
      <c r="D1024" s="2104" t="str">
        <f>'Part VII-Pro Forma'!D68</f>
        <v/>
      </c>
      <c r="E1024" s="2104" t="str">
        <f>'Part VII-Pro Forma'!E68</f>
        <v/>
      </c>
      <c r="F1024" s="2104" t="str">
        <f>'Part VII-Pro Forma'!F68</f>
        <v/>
      </c>
      <c r="G1024" s="2104" t="str">
        <f>'Part VII-Pro Forma'!G68</f>
        <v/>
      </c>
      <c r="H1024" s="2104" t="str">
        <f>'Part VII-Pro Forma'!H68</f>
        <v/>
      </c>
      <c r="I1024" s="2104" t="str">
        <f>'Part VII-Pro Forma'!I68</f>
        <v/>
      </c>
      <c r="J1024" s="2104" t="str">
        <f>'Part VII-Pro Forma'!J68</f>
        <v/>
      </c>
      <c r="K1024" s="2104" t="str">
        <f>'Part VII-Pro Forma'!K68</f>
        <v/>
      </c>
    </row>
    <row r="1025" spans="1:11">
      <c r="A1025" s="799" t="s">
        <v>2636</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4137</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-548451.74015953718</v>
      </c>
      <c r="C1039" s="2104">
        <f>'Part VII-Pro Forma'!C83</f>
        <v>-548451.74015953718</v>
      </c>
      <c r="D1039" s="2104">
        <f>'Part VII-Pro Forma'!D83</f>
        <v>-548451.74015953718</v>
      </c>
      <c r="E1039" s="2104">
        <f>'Part VII-Pro Forma'!E83</f>
        <v>-548451.74015953718</v>
      </c>
      <c r="F1039" s="2104">
        <f>'Part VII-Pro Forma'!F83</f>
        <v>-548451.74015953718</v>
      </c>
      <c r="G1039" s="2104">
        <f>'Part VII-Pro Forma'!G83</f>
        <v>-548451.74015953718</v>
      </c>
      <c r="H1039" s="2104">
        <f>'Part VII-Pro Forma'!H83</f>
        <v>-548451.74015953718</v>
      </c>
      <c r="I1039" s="2104">
        <f>'Part VII-Pro Forma'!I83</f>
        <v>-548451.74015953718</v>
      </c>
      <c r="J1039" s="2104">
        <f>'Part VII-Pro Forma'!J83</f>
        <v>-548451.74015953718</v>
      </c>
      <c r="K1039" s="2104">
        <f>'Part VII-Pro Forma'!K83</f>
        <v>-548451.74015953718</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0</v>
      </c>
      <c r="C1044" s="2104">
        <f>'Part VII-Pro Forma'!C88</f>
        <v>0</v>
      </c>
      <c r="D1044" s="2104">
        <f>'Part VII-Pro Forma'!D88</f>
        <v>0</v>
      </c>
      <c r="E1044" s="2104">
        <f>'Part VII-Pro Forma'!E88</f>
        <v>0</v>
      </c>
      <c r="F1044" s="2104">
        <f>'Part VII-Pro Forma'!F88</f>
        <v>0</v>
      </c>
      <c r="G1044" s="2104">
        <f>'Part VII-Pro Forma'!G88</f>
        <v>0</v>
      </c>
      <c r="H1044" s="2104">
        <f>'Part VII-Pro Forma'!H88</f>
        <v>0</v>
      </c>
      <c r="I1044" s="2104">
        <f>'Part VII-Pro Forma'!I88</f>
        <v>0</v>
      </c>
      <c r="J1044" s="2104">
        <f>'Part VII-Pro Forma'!J88</f>
        <v>0</v>
      </c>
      <c r="K1044" s="2104">
        <f>'Part VII-Pro Forma'!K88</f>
        <v>0</v>
      </c>
    </row>
    <row r="1045" spans="1:11">
      <c r="A1045" s="799" t="s">
        <v>1175</v>
      </c>
      <c r="B1045" s="2104">
        <f t="shared" ref="B1045:K1045" si="314">SUM(B1038:B1044)</f>
        <v>-548451.74015953718</v>
      </c>
      <c r="C1045" s="2104">
        <f t="shared" si="314"/>
        <v>-548451.74015953718</v>
      </c>
      <c r="D1045" s="2104">
        <f t="shared" si="314"/>
        <v>-548451.74015953718</v>
      </c>
      <c r="E1045" s="2104">
        <f t="shared" si="314"/>
        <v>-548451.74015953718</v>
      </c>
      <c r="F1045" s="2104">
        <f t="shared" si="314"/>
        <v>-548451.74015953718</v>
      </c>
      <c r="G1045" s="2104">
        <f t="shared" si="314"/>
        <v>-548451.74015953718</v>
      </c>
      <c r="H1045" s="2104">
        <f t="shared" si="314"/>
        <v>-548451.74015953718</v>
      </c>
      <c r="I1045" s="2104">
        <f t="shared" si="314"/>
        <v>-548451.74015953718</v>
      </c>
      <c r="J1045" s="2104">
        <f t="shared" si="314"/>
        <v>-548451.74015953718</v>
      </c>
      <c r="K1045" s="2104">
        <f t="shared" si="314"/>
        <v>-548451.74015953718</v>
      </c>
    </row>
    <row r="1046" spans="1:11">
      <c r="A1046" s="799" t="str">
        <f>$A1017</f>
        <v>DCR Mortgage A</v>
      </c>
      <c r="B1046" s="2105">
        <f>IF(B1039=0,"",-B1038/B1039)</f>
        <v>0</v>
      </c>
      <c r="C1046" s="2105">
        <f t="shared" ref="C1046:K1046" si="315">IF(C1039=0,"",-C1038/C1039)</f>
        <v>0</v>
      </c>
      <c r="D1046" s="2105">
        <f t="shared" si="315"/>
        <v>0</v>
      </c>
      <c r="E1046" s="2105">
        <f t="shared" si="315"/>
        <v>0</v>
      </c>
      <c r="F1046" s="2105">
        <f t="shared" si="315"/>
        <v>0</v>
      </c>
      <c r="G1046" s="2105">
        <f t="shared" si="315"/>
        <v>0</v>
      </c>
      <c r="H1046" s="2105">
        <f t="shared" si="315"/>
        <v>0</v>
      </c>
      <c r="I1046" s="2105">
        <f t="shared" si="315"/>
        <v>0</v>
      </c>
      <c r="J1046" s="2105">
        <f t="shared" si="315"/>
        <v>0</v>
      </c>
      <c r="K1046" s="2105">
        <f t="shared" si="315"/>
        <v>0</v>
      </c>
    </row>
    <row r="1047" spans="1:11">
      <c r="A1047" s="799" t="str">
        <f>$A1018</f>
        <v>DCR Mortgage B</v>
      </c>
      <c r="B1047" s="2105" t="str">
        <f>IF(B1040=0,"",-(B1038+B1039)/B1040)</f>
        <v/>
      </c>
      <c r="C1047" s="2105" t="str">
        <f t="shared" ref="C1047:K1047" si="316">IF(C1040=0,"",-(C1038+C1039)/C1040)</f>
        <v/>
      </c>
      <c r="D1047" s="2105" t="str">
        <f t="shared" si="316"/>
        <v/>
      </c>
      <c r="E1047" s="2105" t="str">
        <f t="shared" si="316"/>
        <v/>
      </c>
      <c r="F1047" s="2105" t="str">
        <f t="shared" si="316"/>
        <v/>
      </c>
      <c r="G1047" s="2105" t="str">
        <f t="shared" si="316"/>
        <v/>
      </c>
      <c r="H1047" s="2105" t="str">
        <f t="shared" si="316"/>
        <v/>
      </c>
      <c r="I1047" s="2105" t="str">
        <f t="shared" si="316"/>
        <v/>
      </c>
      <c r="J1047" s="2105" t="str">
        <f t="shared" si="316"/>
        <v/>
      </c>
      <c r="K1047" s="2105" t="str">
        <f t="shared" si="316"/>
        <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3743</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5346623.4470401732</v>
      </c>
      <c r="C1052" s="2104">
        <f>'Part VII-Pro Forma'!C96</f>
        <v>5085724.3234816985</v>
      </c>
      <c r="D1052" s="2104">
        <f>'Part VII-Pro Forma'!D96</f>
        <v>4810108.4385868283</v>
      </c>
      <c r="E1052" s="2104">
        <f>'Part VII-Pro Forma'!E96</f>
        <v>4518945.6513367724</v>
      </c>
      <c r="F1052" s="2104">
        <f>'Part VII-Pro Forma'!F96</f>
        <v>4211358.9942340525</v>
      </c>
      <c r="G1052" s="2104">
        <f>'Part VII-Pro Forma'!G96</f>
        <v>3886422.0319210291</v>
      </c>
      <c r="H1052" s="2104">
        <f>'Part VII-Pro Forma'!H96</f>
        <v>3543156.0708037522</v>
      </c>
      <c r="I1052" s="2104">
        <f>'Part VII-Pro Forma'!I96</f>
        <v>3180527.2112766653</v>
      </c>
      <c r="J1052" s="2104">
        <f>'Part VII-Pro Forma'!J96</f>
        <v>2797443.2336696088</v>
      </c>
      <c r="K1052" s="2104">
        <f>'Part VII-Pro Forma'!K96</f>
        <v>2392750.308537758</v>
      </c>
    </row>
    <row r="1053" spans="1:11">
      <c r="A1053" s="799" t="s">
        <v>2635</v>
      </c>
      <c r="B1053" s="2104" t="str">
        <f>'Part VII-Pro Forma'!B97</f>
        <v/>
      </c>
      <c r="C1053" s="2104" t="str">
        <f>'Part VII-Pro Forma'!C97</f>
        <v/>
      </c>
      <c r="D1053" s="2104" t="str">
        <f>'Part VII-Pro Forma'!D97</f>
        <v/>
      </c>
      <c r="E1053" s="2104" t="str">
        <f>'Part VII-Pro Forma'!E97</f>
        <v/>
      </c>
      <c r="F1053" s="2104" t="str">
        <f>'Part VII-Pro Forma'!F97</f>
        <v/>
      </c>
      <c r="G1053" s="2104" t="str">
        <f>'Part VII-Pro Forma'!G97</f>
        <v/>
      </c>
      <c r="H1053" s="2104" t="str">
        <f>'Part VII-Pro Forma'!H97</f>
        <v/>
      </c>
      <c r="I1053" s="2104" t="str">
        <f>'Part VII-Pro Forma'!I97</f>
        <v/>
      </c>
      <c r="J1053" s="2104" t="str">
        <f>'Part VII-Pro Forma'!J97</f>
        <v/>
      </c>
      <c r="K1053" s="2104" t="str">
        <f>'Part VII-Pro Forma'!K97</f>
        <v/>
      </c>
    </row>
    <row r="1054" spans="1:11">
      <c r="A1054" s="799" t="s">
        <v>2636</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-548451.74015953718</v>
      </c>
      <c r="C1067" s="2104">
        <f>'Part VII-Pro Forma'!C111</f>
        <v>-548451.74015953718</v>
      </c>
      <c r="D1067" s="2104">
        <f>'Part VII-Pro Forma'!D111</f>
        <v>-548451.74015953718</v>
      </c>
      <c r="E1067" s="2104">
        <f>'Part VII-Pro Forma'!E111</f>
        <v>-548451.74015953718</v>
      </c>
      <c r="F1067" s="2104">
        <f>'Part VII-Pro Forma'!F111</f>
        <v>-548451.74015953718</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0</v>
      </c>
      <c r="C1072" s="2104">
        <f>'Part VII-Pro Forma'!C116</f>
        <v>0</v>
      </c>
      <c r="D1072" s="2104">
        <f>'Part VII-Pro Forma'!D116</f>
        <v>0</v>
      </c>
      <c r="E1072" s="2104">
        <f>'Part VII-Pro Forma'!E116</f>
        <v>0</v>
      </c>
      <c r="F1072" s="2104">
        <f>'Part VII-Pro Forma'!F116</f>
        <v>0</v>
      </c>
      <c r="G1072" s="2104"/>
      <c r="H1072" s="2104"/>
      <c r="I1072" s="2104"/>
      <c r="J1072" s="2104"/>
      <c r="K1072" s="2104"/>
    </row>
    <row r="1073" spans="1:11">
      <c r="A1073" s="799" t="s">
        <v>1175</v>
      </c>
      <c r="B1073" s="2104">
        <f>SUM(B1066:B1072)</f>
        <v>-548451.74015953718</v>
      </c>
      <c r="C1073" s="2104">
        <f>SUM(C1066:C1072)</f>
        <v>-548451.74015953718</v>
      </c>
      <c r="D1073" s="2104">
        <f>SUM(D1066:D1072)</f>
        <v>-548451.74015953718</v>
      </c>
      <c r="E1073" s="2104">
        <f>SUM(E1066:E1072)</f>
        <v>-548451.74015953718</v>
      </c>
      <c r="F1073" s="2104">
        <f>SUM(F1066:F1072)</f>
        <v>-548451.74015953718</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3743</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1965229.5213860555</v>
      </c>
      <c r="C1080" s="2104">
        <f>'Part VII-Pro Forma'!C124</f>
        <v>1513593.2013607856</v>
      </c>
      <c r="D1080" s="2104">
        <f>'Part VII-Pro Forma'!D124</f>
        <v>1036481.0428504932</v>
      </c>
      <c r="E1080" s="2104">
        <f>'Part VII-Pro Forma'!E124</f>
        <v>532456.00831471104</v>
      </c>
      <c r="F1080" s="2104">
        <f>'Part VII-Pro Forma'!F124</f>
        <v>1.9674189388751984E-8</v>
      </c>
      <c r="G1080" s="2104"/>
      <c r="H1080" s="2104"/>
      <c r="I1080" s="2104"/>
      <c r="J1080" s="2104"/>
      <c r="K1080" s="2104"/>
    </row>
    <row r="1081" spans="1:11">
      <c r="A1081" s="799" t="s">
        <v>2635</v>
      </c>
      <c r="B1081" s="2104" t="str">
        <f>'Part VII-Pro Forma'!B125</f>
        <v/>
      </c>
      <c r="C1081" s="2104" t="str">
        <f>'Part VII-Pro Forma'!C125</f>
        <v/>
      </c>
      <c r="D1081" s="2104" t="str">
        <f>'Part VII-Pro Forma'!D125</f>
        <v/>
      </c>
      <c r="E1081" s="2104" t="str">
        <f>'Part VII-Pro Forma'!E125</f>
        <v/>
      </c>
      <c r="F1081" s="2104" t="str">
        <f>'Part VII-Pro Forma'!F125</f>
        <v/>
      </c>
      <c r="G1081" s="2104"/>
      <c r="H1081" s="2104"/>
      <c r="I1081" s="2104"/>
      <c r="J1081" s="2104"/>
      <c r="K1081" s="2104"/>
    </row>
    <row r="1082" spans="1:11">
      <c r="A1082" s="799" t="s">
        <v>2636</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APPLICANTS: Explain any any debt service payment amounts that deviate from the amount shown in Permanent Sources (Part III)</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McIntosh Woods,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4605</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3785</v>
      </c>
      <c r="C1125" s="2089"/>
      <c r="D1125" s="2089"/>
      <c r="E1125" s="2089"/>
      <c r="F1125" s="2089"/>
      <c r="G1125" s="2118"/>
      <c r="H1125" s="2118"/>
      <c r="I1125" s="2118"/>
      <c r="J1125" s="2118"/>
      <c r="K1125" s="2035"/>
      <c r="L1125" s="2035"/>
      <c r="M1125" s="2035"/>
      <c r="N1125" s="2035"/>
      <c r="O1125" s="2035"/>
      <c r="P1125" s="2035"/>
    </row>
    <row r="1126" spans="1:17" ht="409.5">
      <c r="A1126" s="2123" t="str">
        <f>'Part VIII-Threshold Criteria'!A32</f>
        <v>The applicant has taken every effort to ensure the proposed project is feasible, viable, and meets all goals and requirements of the QAP. Budgeted costs are based on the Development Team's previous expereince with similar projects and any project-specific data that is currently available. Construciton costs are based on discussions with general contractors about current market pricing.</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4606</v>
      </c>
      <c r="B1131" s="2125"/>
      <c r="C1131" s="2125"/>
      <c r="D1131" s="2125"/>
      <c r="E1131" s="2125"/>
      <c r="F1131" s="2125"/>
      <c r="G1131" s="1964" t="s">
        <v>2733</v>
      </c>
      <c r="H1131" s="1964"/>
      <c r="I1131" s="2117"/>
      <c r="J1131" s="1854"/>
      <c r="K1131" s="2117" t="s">
        <v>3663</v>
      </c>
      <c r="L1131" s="2117"/>
      <c r="M1131" s="2117"/>
      <c r="N1131" s="2117"/>
    </row>
    <row r="1132" spans="1:17" ht="13.5">
      <c r="A1132" s="2125"/>
      <c r="B1132" s="2125"/>
      <c r="C1132" s="2125"/>
      <c r="D1132" s="2125"/>
      <c r="E1132" s="2125"/>
      <c r="F1132" s="2125"/>
      <c r="G1132" s="1964" t="s">
        <v>348</v>
      </c>
      <c r="H1132" s="1964"/>
      <c r="I1132" s="2117"/>
      <c r="J1132" s="1854"/>
      <c r="K1132" s="555" t="s">
        <v>3664</v>
      </c>
      <c r="L1132" s="555"/>
      <c r="M1132" s="555"/>
      <c r="N1132" s="555"/>
      <c r="P1132" s="1976" t="s">
        <v>2753</v>
      </c>
      <c r="Q1132" s="2161" t="str">
        <f>'Part VIII-Threshold Criteria'!Q38</f>
        <v>Yes</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3929</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Atlanta</v>
      </c>
      <c r="Q1136" s="2133">
        <f>'Part VIII-Threshold Criteria'!Q42</f>
        <v>0</v>
      </c>
    </row>
    <row r="1137" spans="1:17">
      <c r="A1137" s="2128"/>
      <c r="B1137" s="2128"/>
      <c r="C1137" s="2128"/>
      <c r="D1137" s="2129" t="s">
        <v>2457</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3660</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20706223.689910028</v>
      </c>
      <c r="Q1139" s="2134">
        <f>'Part VIII-Threshold Criteria'!Q45</f>
        <v>0</v>
      </c>
    </row>
    <row r="1140" spans="1:17" ht="12.75" customHeight="1">
      <c r="C1140" s="1854"/>
      <c r="D1140" s="2135" t="s">
        <v>3390</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573</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4140</v>
      </c>
      <c r="Q1142" s="2008"/>
    </row>
    <row r="1143" spans="1:17" ht="12.75" customHeight="1">
      <c r="A1143" s="2128"/>
      <c r="B1143" s="2128"/>
      <c r="C1143" s="2128"/>
      <c r="D1143" s="2129" t="s">
        <v>2456</v>
      </c>
      <c r="E1143" s="2118">
        <v>1</v>
      </c>
      <c r="F1143" s="2130">
        <f>'Part VI-Revenues &amp; Expenses'!$K$106</f>
        <v>0</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0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20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20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76</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76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3658</v>
      </c>
      <c r="Q1146" s="555"/>
    </row>
    <row r="1147" spans="1:17">
      <c r="C1147" s="1854"/>
      <c r="D1147" s="2135" t="s">
        <v>3390</v>
      </c>
      <c r="E1147" s="2136"/>
      <c r="F1147" s="2137">
        <f>SUM(F1142:F1146)</f>
        <v>96</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3659</v>
      </c>
      <c r="Q1150" s="555"/>
    </row>
    <row r="1151" spans="1:17">
      <c r="C1151" s="1854"/>
      <c r="D1151" s="2129" t="s">
        <v>2457</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23207500</v>
      </c>
      <c r="Q1157" s="2149">
        <f>'Part VIII-Threshold Criteria'!Q63</f>
        <v>0</v>
      </c>
    </row>
    <row r="1158" spans="1:17" ht="12.75" customHeight="1">
      <c r="C1158" s="1854"/>
      <c r="D1158" s="2129" t="s">
        <v>2457</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4607</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3390</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ht="13.5">
      <c r="A1163" s="2152" t="s">
        <v>3391</v>
      </c>
      <c r="B1163" s="1854"/>
      <c r="C1163" s="1854"/>
      <c r="D1163" s="1854"/>
      <c r="E1163" s="1857"/>
      <c r="F1163" s="2153">
        <f>F1140+F1147+F1154+F1161</f>
        <v>96</v>
      </c>
      <c r="G1163" s="1921"/>
      <c r="H1163" s="2154">
        <f>'Part VIII-Threshold Criteria'!H69</f>
        <v>23207500</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3785</v>
      </c>
      <c r="D1164" s="2065"/>
      <c r="E1164" s="2065"/>
      <c r="F1164" s="2065"/>
      <c r="G1164" s="2065"/>
      <c r="H1164" s="2064"/>
      <c r="I1164" s="2118"/>
      <c r="J1164" s="2118"/>
      <c r="K1164" s="2120" t="s">
        <v>1880</v>
      </c>
      <c r="L1164" s="2035"/>
      <c r="M1164" s="2035"/>
      <c r="N1164" s="2035"/>
      <c r="O1164" s="2035"/>
      <c r="P1164" s="2035"/>
      <c r="Q1164" s="2035"/>
    </row>
    <row r="1165" spans="1:17" ht="56.25">
      <c r="A1165" s="2123" t="str">
        <f>'Part VIII-Threshold Criteria'!A71</f>
        <v>Budgeted development costs are below DCA cost limits.</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3785</v>
      </c>
      <c r="D1168" s="2065"/>
      <c r="E1168" s="2065"/>
      <c r="F1168" s="2065"/>
      <c r="G1168" s="2065"/>
      <c r="H1168" s="2064"/>
      <c r="I1168" s="2118"/>
      <c r="J1168" s="2118"/>
      <c r="K1168" s="2120" t="s">
        <v>1880</v>
      </c>
      <c r="L1168" s="2035"/>
      <c r="M1168" s="2035"/>
      <c r="N1168" s="2035"/>
      <c r="O1168" s="2035"/>
      <c r="P1168" s="2035"/>
      <c r="Q1168" s="2035"/>
    </row>
    <row r="1169" spans="1:17" ht="67.5">
      <c r="A1169" s="2123" t="str">
        <f>'Part VIII-Threshold Criteria'!A75</f>
        <v>The proposed project will have a family tenancy.</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3773</v>
      </c>
      <c r="D1173" s="2144"/>
      <c r="E1173" s="2144"/>
      <c r="F1173" s="2144"/>
      <c r="G1173" s="2144"/>
      <c r="H1173" s="2144"/>
      <c r="I1173" s="2144"/>
      <c r="K1173" s="2144"/>
      <c r="L1173" s="2144"/>
      <c r="M1173" s="2157" t="s">
        <v>3726</v>
      </c>
      <c r="O1173" s="2123"/>
      <c r="P1173" s="2161" t="str">
        <f>'Part VIII-Threshold Criteria'!P79</f>
        <v>Agree</v>
      </c>
    </row>
    <row r="1174" spans="1:17">
      <c r="A1174" s="2158" t="s">
        <v>2001</v>
      </c>
      <c r="B1174" s="2064" t="s">
        <v>3772</v>
      </c>
      <c r="D1174" s="2064"/>
      <c r="E1174" s="2064"/>
      <c r="F1174" s="2064"/>
      <c r="G1174" s="2064"/>
      <c r="H1174" s="2064"/>
      <c r="I1174" s="2064"/>
      <c r="J1174" s="2064"/>
      <c r="K1174" s="2064"/>
      <c r="L1174" s="2064"/>
      <c r="M1174" s="2064"/>
      <c r="O1174" s="2064"/>
      <c r="P1174" s="2064"/>
      <c r="Q1174" s="2064"/>
    </row>
    <row r="1175" spans="1:17" ht="22.5">
      <c r="A1175" s="2159"/>
      <c r="B1175" s="2160" t="s">
        <v>1750</v>
      </c>
      <c r="C1175" s="2064" t="s">
        <v>3508</v>
      </c>
      <c r="E1175" s="2057"/>
      <c r="F1175" s="2057"/>
      <c r="G1175" s="2057"/>
      <c r="H1175" s="1854"/>
      <c r="I1175" s="555" t="s">
        <v>2723</v>
      </c>
      <c r="J1175" s="2189" t="str">
        <f>'Part VIII-Threshold Criteria'!J81</f>
        <v>Monthly birthday parties</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ht="78.75">
      <c r="A1176" s="2159"/>
      <c r="B1176" s="2160" t="s">
        <v>1751</v>
      </c>
      <c r="C1176" s="2064" t="s">
        <v>3606</v>
      </c>
      <c r="E1176" s="2057"/>
      <c r="F1176" s="2057"/>
      <c r="G1176" s="2057"/>
      <c r="H1176" s="1854"/>
      <c r="I1176" s="555" t="s">
        <v>2723</v>
      </c>
      <c r="J1176" s="2189" t="str">
        <f>'Part VIII-Threshold Criteria'!J82</f>
        <v>Monthly classes of interest to residents. May be taught by manager or outside organization</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3607</v>
      </c>
      <c r="E1177" s="2057"/>
      <c r="F1177" s="2057"/>
      <c r="G1177" s="2057"/>
      <c r="H1177" s="1854"/>
      <c r="I1177" s="555" t="s">
        <v>2723</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3940</v>
      </c>
      <c r="E1178" s="2057"/>
      <c r="I1178" s="555" t="s">
        <v>2723</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3592</v>
      </c>
      <c r="D1179" s="2064"/>
      <c r="E1179" s="2057"/>
      <c r="J1179" s="555"/>
      <c r="K1179" s="555"/>
      <c r="L1179" s="555"/>
      <c r="M1179" s="555"/>
      <c r="N1179" s="555"/>
      <c r="O1179" s="555"/>
      <c r="P1179" s="555"/>
      <c r="Q1179" s="555"/>
    </row>
    <row r="1180" spans="1:17">
      <c r="A1180" s="2159"/>
      <c r="B1180" s="1339" t="s">
        <v>3931</v>
      </c>
      <c r="D1180" s="2090"/>
      <c r="E1180" s="2090"/>
      <c r="F1180" s="2090"/>
      <c r="G1180" s="2090"/>
      <c r="H1180" s="2090"/>
      <c r="I1180" s="1854"/>
      <c r="J1180" s="1854"/>
      <c r="K1180" s="2160" t="s">
        <v>757</v>
      </c>
      <c r="L1180" s="2117">
        <f>'Part VIII-Threshold Criteria'!L86</f>
        <v>0</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3785</v>
      </c>
      <c r="D1181" s="2065"/>
      <c r="E1181" s="2065"/>
      <c r="F1181" s="2065"/>
      <c r="G1181" s="2065"/>
      <c r="H1181" s="2064"/>
      <c r="I1181" s="2118"/>
      <c r="J1181" s="2118"/>
      <c r="K1181" s="2120" t="s">
        <v>1880</v>
      </c>
      <c r="L1181" s="2035"/>
      <c r="M1181" s="2035"/>
      <c r="N1181" s="2035"/>
      <c r="O1181" s="2035"/>
      <c r="P1181" s="2035"/>
      <c r="Q1181" s="2035"/>
    </row>
    <row r="1182" spans="1:17" ht="191.25">
      <c r="A1182" s="2123" t="str">
        <f>'Part VIII-Threshold Criteria'!A88</f>
        <v>The proposed project does not involve rehabilitation of existing congregate supportive housing, therefore question IV.C has been intentionally left blank.</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Bowen National Research</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9 months</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2898</v>
      </c>
      <c r="D1188" s="2090"/>
      <c r="E1188" s="2090"/>
      <c r="F1188" s="2090"/>
      <c r="L1188" s="2160" t="s">
        <v>757</v>
      </c>
      <c r="M1188" s="2162">
        <f>'Part VIII-Threshold Criteria'!M94</f>
        <v>0.96499999999999997</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3933</v>
      </c>
      <c r="D1189" s="2090"/>
      <c r="E1189" s="2090"/>
      <c r="F1189" s="2090"/>
      <c r="L1189" s="2160" t="s">
        <v>3934</v>
      </c>
      <c r="M1189" s="2384">
        <f>'Part VIII-Threshold Criteria'!M95</f>
        <v>0.16</v>
      </c>
      <c r="N1189" s="2162"/>
      <c r="O1189" s="2163" t="s">
        <v>4183</v>
      </c>
      <c r="P1189" s="2231" t="str">
        <f>'Part VIII-Threshold Criteria'!P95</f>
        <v>N/A</v>
      </c>
      <c r="Q1189" s="2161">
        <f>'Part VIII-Threshold Criteria'!Q95</f>
        <v>0</v>
      </c>
    </row>
    <row r="1190" spans="1:17">
      <c r="A1190" s="2156" t="s">
        <v>1748</v>
      </c>
      <c r="B1190" s="2144" t="s">
        <v>3932</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f>'Part VIII-Threshold Criteria'!D98</f>
        <v>0</v>
      </c>
      <c r="E1192" s="2117" t="str">
        <f>'Part VIII-Threshold Criteria'!E98</f>
        <v>Columbia Woods</v>
      </c>
      <c r="F1192" s="2117">
        <f>'Part VIII-Threshold Criteria'!F98</f>
        <v>0</v>
      </c>
      <c r="G1192" s="2117">
        <f>'Part VIII-Threshold Criteria'!G98</f>
        <v>0</v>
      </c>
      <c r="H1192" s="2160" t="s">
        <v>1752</v>
      </c>
      <c r="I1192" s="2161">
        <f>'Part VIII-Threshold Criteria'!I98</f>
        <v>0</v>
      </c>
      <c r="J1192" s="2117" t="str">
        <f>'Part VIII-Threshold Criteria'!J98</f>
        <v>Newnan Crossing</v>
      </c>
      <c r="K1192" s="2117">
        <f>'Part VIII-Threshold Criteria'!K98</f>
        <v>0</v>
      </c>
      <c r="L1192" s="2117">
        <f>'Part VIII-Threshold Criteria'!L98</f>
        <v>0</v>
      </c>
      <c r="M1192" s="2160" t="s">
        <v>1561</v>
      </c>
      <c r="N1192" s="2161" t="str">
        <f>'Part VIII-Threshold Criteria'!N98</f>
        <v>2011-029</v>
      </c>
      <c r="O1192" s="2117" t="str">
        <f>'Part VIII-Threshold Criteria'!O98</f>
        <v>Forest at York</v>
      </c>
      <c r="P1192" s="2117">
        <f>'Part VIII-Threshold Criteria'!P98</f>
        <v>0</v>
      </c>
      <c r="Q1192" s="2117">
        <f>'Part VIII-Threshold Criteria'!Q98</f>
        <v>0</v>
      </c>
    </row>
    <row r="1193" spans="1:17">
      <c r="C1193" s="2160" t="s">
        <v>1751</v>
      </c>
      <c r="D1193" s="2161" t="str">
        <f>'Part VIII-Threshold Criteria'!D99</f>
        <v>2015-011</v>
      </c>
      <c r="E1193" s="2117" t="str">
        <f>'Part VIII-Threshold Criteria'!E99</f>
        <v>Foxworth Forest</v>
      </c>
      <c r="F1193" s="2117">
        <f>'Part VIII-Threshold Criteria'!F99</f>
        <v>0</v>
      </c>
      <c r="G1193" s="2117">
        <f>'Part VIII-Threshold Criteria'!G99</f>
        <v>0</v>
      </c>
      <c r="H1193" s="2160" t="s">
        <v>2381</v>
      </c>
      <c r="I1193" s="2161" t="str">
        <f>'Part VIII-Threshold Criteria'!I99</f>
        <v>2006-029</v>
      </c>
      <c r="J1193" s="2117" t="str">
        <f>'Part VIII-Threshold Criteria'!J99</f>
        <v>Pines by the Creek</v>
      </c>
      <c r="K1193" s="2117">
        <f>'Part VIII-Threshold Criteria'!K99</f>
        <v>0</v>
      </c>
      <c r="L1193" s="2117">
        <f>'Part VIII-Threshold Criteria'!L99</f>
        <v>0</v>
      </c>
      <c r="M1193" s="2160" t="s">
        <v>1562</v>
      </c>
      <c r="N1193" s="2161" t="str">
        <f>'Part VIII-Threshold Criteria'!N99</f>
        <v>2014-021</v>
      </c>
      <c r="O1193" s="2117" t="str">
        <f>'Part VIII-Threshold Criteria'!O99</f>
        <v>Wisteria Place</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2527</v>
      </c>
    </row>
    <row r="1196" spans="1:17" ht="12.75" customHeight="1">
      <c r="A1196" s="2156" t="s">
        <v>1962</v>
      </c>
      <c r="B1196" s="2123" t="s">
        <v>3641</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3393</v>
      </c>
      <c r="B1199" s="2144" t="s">
        <v>3642</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3785</v>
      </c>
      <c r="D1200" s="2065"/>
      <c r="E1200" s="2065"/>
      <c r="F1200" s="2065"/>
      <c r="G1200" s="2065"/>
      <c r="H1200" s="2064"/>
      <c r="I1200" s="2118"/>
      <c r="J1200" s="2118"/>
      <c r="K1200" s="2118"/>
      <c r="L1200" s="2035"/>
      <c r="M1200" s="2035"/>
      <c r="N1200" s="2035"/>
      <c r="O1200" s="2035"/>
      <c r="P1200" s="2035"/>
      <c r="Q1200" s="2035"/>
    </row>
    <row r="1201" spans="1:17" ht="409.5">
      <c r="A1201" s="2123" t="str">
        <f>'Part VIII-Threshold Criteria'!A107</f>
        <v>The market study included with this application shows strong support for the proposed project, unit mix, and amenities. The capture rate for the project is well below DCA maximum. This will provide much-needed affordbale housing within a strong community with substantial unmet demand. At the time of application, DCA's previous project mapping database was locked for credentialled users only. Therefore some project numbers were unavailable.</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Yes</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Crown Appraisal Group</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3494</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3495</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2899</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f>'Part VIII-Threshold Criteria'!P118</f>
        <v>0</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f>'Part VIII-Threshold Criteria'!P119</f>
        <v>0</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3785</v>
      </c>
      <c r="D1218" s="2065"/>
      <c r="E1218" s="2065"/>
      <c r="F1218" s="2065"/>
      <c r="G1218" s="2065"/>
      <c r="H1218" s="2064"/>
      <c r="I1218" s="2118"/>
      <c r="J1218" s="2118"/>
      <c r="K1218" s="2118"/>
      <c r="L1218" s="2035"/>
      <c r="M1218" s="2035"/>
      <c r="N1218" s="2035"/>
      <c r="O1218" s="2035"/>
      <c r="P1218" s="2035"/>
      <c r="Q1218" s="2035"/>
    </row>
    <row r="1219" spans="1:17" ht="393.75">
      <c r="A1219" s="2123" t="str">
        <f>'Part VIII-Threshold Criteria'!A125</f>
        <v>The appraisal included with this application substantiates the purchase price. There is no identity of interest between applicant and seller, therefore question VI.C has been intentionally left blank. The proposed project does not involve the use of HOME funds, therefore question VI.B.4 has been intentionally left blank.</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3665</v>
      </c>
      <c r="D1224" s="2090"/>
      <c r="E1224" s="2090"/>
      <c r="F1224" s="2090"/>
      <c r="G1224" s="2090"/>
      <c r="H1224" s="2090"/>
      <c r="I1224" s="1854"/>
      <c r="J1224" s="1854"/>
      <c r="K1224" s="2160" t="s">
        <v>1999</v>
      </c>
      <c r="L1224" s="2043" t="str">
        <f>'Part VIII-Threshold Criteria'!L130</f>
        <v>TTL, Inc.</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No</v>
      </c>
      <c r="Q1226" s="2161">
        <f>'Part VIII-Threshold Criteria'!Q132</f>
        <v>0</v>
      </c>
    </row>
    <row r="1227" spans="1:17">
      <c r="A1227" s="2158"/>
      <c r="B1227" s="2160" t="s">
        <v>1750</v>
      </c>
      <c r="C1227" s="555" t="s">
        <v>2705</v>
      </c>
      <c r="E1227" s="2090"/>
      <c r="F1227" s="2090"/>
      <c r="G1227" s="2090"/>
      <c r="H1227" s="2090"/>
      <c r="I1227" s="1854"/>
      <c r="J1227" s="1854"/>
      <c r="K1227" s="2160" t="s">
        <v>1750</v>
      </c>
      <c r="L1227" s="2043">
        <f>'Part VIII-Threshold Criteria'!L133</f>
        <v>0</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3496</v>
      </c>
      <c r="E1228" s="1854"/>
      <c r="F1228" s="1854"/>
      <c r="G1228" s="1854"/>
      <c r="H1228" s="555"/>
      <c r="I1228" s="1854"/>
      <c r="J1228" s="1854"/>
      <c r="K1228" s="2090"/>
      <c r="L1228" s="2057"/>
      <c r="M1228" s="2057"/>
      <c r="O1228" s="2160" t="s">
        <v>1751</v>
      </c>
      <c r="P1228" s="2161">
        <f>'Part VIII-Threshold Criteria'!P134</f>
        <v>0</v>
      </c>
      <c r="Q1228" s="2161">
        <f>'Part VIII-Threshold Criteria'!Q134</f>
        <v>0</v>
      </c>
    </row>
    <row r="1229" spans="1:17">
      <c r="A1229" s="2048"/>
      <c r="B1229" s="2160" t="s">
        <v>1752</v>
      </c>
      <c r="C1229" s="555" t="s">
        <v>4170</v>
      </c>
      <c r="E1229" s="1854"/>
      <c r="F1229" s="1854"/>
      <c r="G1229" s="1854"/>
      <c r="H1229" s="555"/>
      <c r="I1229" s="1854"/>
      <c r="J1229" s="1854"/>
      <c r="K1229" s="2090"/>
      <c r="L1229" s="2057"/>
      <c r="M1229" s="2057"/>
      <c r="N1229" s="2057"/>
      <c r="O1229" s="2057"/>
    </row>
    <row r="1230" spans="1:17">
      <c r="A1230" s="2035"/>
      <c r="B1230" s="2160"/>
      <c r="C1230" s="2090">
        <f>'Part VIII-Threshold Criteria'!C136</f>
        <v>0</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Yes</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f>'Part VIII-Threshold Criteria'!P140</f>
        <v>0.3</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t="str">
        <f>'Part VIII-Threshold Criteria'!P141</f>
        <v>No</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t="str">
        <f>'Part VIII-Threshold Criteria'!P142</f>
        <v>Yes</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Yes</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f>'Part VIII-Threshold Criteria'!P144</f>
        <v>0.3</v>
      </c>
      <c r="Q1238" s="2172">
        <f>'Part VIII-Threshold Criteria'!Q144</f>
        <v>0</v>
      </c>
    </row>
    <row r="1239" spans="1:17">
      <c r="A1239" s="2158"/>
      <c r="B1239" s="2160"/>
      <c r="E1239" s="2160" t="s">
        <v>2452</v>
      </c>
      <c r="F1239" s="555" t="s">
        <v>2654</v>
      </c>
      <c r="G1239" s="1854"/>
      <c r="H1239" s="555"/>
      <c r="I1239" s="1854"/>
      <c r="J1239" s="1854"/>
      <c r="O1239" s="2160" t="s">
        <v>2452</v>
      </c>
      <c r="P1239" s="2161" t="str">
        <f>'Part VIII-Threshold Criteria'!P145</f>
        <v>No</v>
      </c>
      <c r="Q1239" s="2161">
        <f>'Part VIII-Threshold Criteria'!Q145</f>
        <v>0</v>
      </c>
    </row>
    <row r="1240" spans="1:17">
      <c r="A1240" s="2158"/>
      <c r="B1240" s="2160"/>
      <c r="E1240" s="2160" t="s">
        <v>2453</v>
      </c>
      <c r="F1240" s="555" t="s">
        <v>2652</v>
      </c>
      <c r="G1240" s="1854"/>
      <c r="H1240" s="555"/>
      <c r="I1240" s="1854"/>
      <c r="J1240" s="1854"/>
      <c r="O1240" s="2160" t="s">
        <v>2453</v>
      </c>
      <c r="P1240" s="2161" t="str">
        <f>'Part VIII-Threshold Criteria'!P146</f>
        <v>Yes</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t="str">
        <f>'Part VIII-Threshold Criteria'!P147</f>
        <v>Yes</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2511</v>
      </c>
      <c r="E1243" s="2090"/>
      <c r="F1243" s="2161" t="str">
        <f>'Part VIII-Threshold Criteria'!F149</f>
        <v>No</v>
      </c>
      <c r="G1243" s="2161">
        <f>'Part VIII-Threshold Criteria'!G149</f>
        <v>0</v>
      </c>
      <c r="H1243" s="2160" t="s">
        <v>1561</v>
      </c>
      <c r="I1243" s="1339" t="s">
        <v>2657</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2821</v>
      </c>
      <c r="E1244" s="2090"/>
      <c r="F1244" s="2161" t="str">
        <f>'Part VIII-Threshold Criteria'!F150</f>
        <v>No</v>
      </c>
      <c r="G1244" s="2161">
        <f>'Part VIII-Threshold Criteria'!G150</f>
        <v>0</v>
      </c>
      <c r="H1244" s="2160" t="s">
        <v>1562</v>
      </c>
      <c r="I1244" s="1339" t="s">
        <v>2658</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2656</v>
      </c>
      <c r="E1245" s="2090"/>
      <c r="F1245" s="2161" t="str">
        <f>'Part VIII-Threshold Criteria'!F151</f>
        <v>No</v>
      </c>
      <c r="G1245" s="2161">
        <f>'Part VIII-Threshold Criteria'!G151</f>
        <v>0</v>
      </c>
      <c r="H1245" s="2160" t="s">
        <v>99</v>
      </c>
      <c r="I1245" s="1339" t="s">
        <v>3881</v>
      </c>
      <c r="L1245" s="2161" t="str">
        <f>'Part VIII-Threshold Criteria'!L151</f>
        <v>No</v>
      </c>
      <c r="M1245" s="2161">
        <f>'Part VIII-Threshold Criteria'!M151</f>
        <v>0</v>
      </c>
      <c r="N1245" s="2160" t="s">
        <v>2823</v>
      </c>
      <c r="O1245" s="555" t="s">
        <v>1565</v>
      </c>
      <c r="P1245" s="2161" t="str">
        <f>'Part VIII-Threshold Criteria'!P151</f>
        <v>No</v>
      </c>
      <c r="Q1245" s="2161">
        <f>'Part VIII-Threshold Criteria'!Q151</f>
        <v>0</v>
      </c>
    </row>
    <row r="1246" spans="1:17">
      <c r="A1246" s="555"/>
      <c r="B1246" s="2160" t="s">
        <v>2381</v>
      </c>
      <c r="C1246" s="555" t="s">
        <v>2824</v>
      </c>
      <c r="E1246" s="2090"/>
      <c r="F1246" s="2161" t="str">
        <f>'Part VIII-Threshold Criteria'!F152</f>
        <v>No</v>
      </c>
      <c r="G1246" s="2161">
        <f>'Part VIII-Threshold Criteria'!G152</f>
        <v>0</v>
      </c>
      <c r="H1246" s="2160" t="s">
        <v>516</v>
      </c>
      <c r="I1246" s="555" t="s">
        <v>2820</v>
      </c>
      <c r="L1246" s="2161" t="str">
        <f>'Part VIII-Threshold Criteria'!L152</f>
        <v>No</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c r="A1248" s="555"/>
      <c r="C1248" s="2090" t="str">
        <f>'Part VIII-Threshold Criteria'!C154</f>
        <v>None</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3595</v>
      </c>
      <c r="D1249" s="2090"/>
      <c r="E1249" s="2090"/>
      <c r="F1249" s="2090"/>
      <c r="G1249" s="2090"/>
      <c r="H1249" s="2090"/>
      <c r="I1249" s="1854"/>
      <c r="J1249" s="1854"/>
      <c r="K1249" s="2090"/>
      <c r="L1249" s="2090"/>
      <c r="M1249" s="2057"/>
    </row>
    <row r="1250" spans="1:17">
      <c r="A1250" s="1854"/>
      <c r="B1250" s="2160" t="s">
        <v>1750</v>
      </c>
      <c r="C1250" s="555" t="s">
        <v>2825</v>
      </c>
      <c r="E1250" s="2090"/>
      <c r="F1250" s="2090"/>
      <c r="G1250" s="2090"/>
      <c r="H1250" s="2090"/>
      <c r="O1250" s="2160" t="s">
        <v>1750</v>
      </c>
      <c r="P1250" s="2161">
        <f>'Part VIII-Threshold Criteria'!P156</f>
        <v>0</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f>'Part VIII-Threshold Criteria'!P157</f>
        <v>0</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f>'Part VIII-Threshold Criteria'!P158</f>
        <v>0</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f>'Part VIII-Threshold Criteria'!P159</f>
        <v>0</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4608</v>
      </c>
      <c r="C1255" s="2123"/>
      <c r="D1255" s="2123"/>
      <c r="E1255" s="2123"/>
      <c r="F1255" s="2123"/>
      <c r="G1255" s="2123"/>
      <c r="H1255" s="2123"/>
      <c r="I1255" s="2123"/>
      <c r="J1255" s="2123"/>
      <c r="K1255" s="2123"/>
      <c r="L1255" s="2123"/>
      <c r="M1255" s="2167" t="s">
        <v>3392</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622</v>
      </c>
      <c r="B1256" s="2064" t="s">
        <v>1</v>
      </c>
      <c r="C1256" s="1854"/>
      <c r="D1256" s="2174"/>
      <c r="E1256" s="2174"/>
      <c r="F1256" s="1854"/>
      <c r="G1256" s="2160" t="s">
        <v>622</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1427</v>
      </c>
      <c r="C1257" s="1854"/>
      <c r="D1257" s="2170"/>
      <c r="E1257" s="2170"/>
      <c r="F1257" s="2170"/>
      <c r="G1257" s="1853"/>
      <c r="H1257" s="1853"/>
      <c r="I1257" s="2064"/>
      <c r="J1257" s="1854"/>
      <c r="K1257" s="1853"/>
      <c r="L1257" s="1853"/>
      <c r="M1257" s="1853"/>
      <c r="N1257" s="1854"/>
      <c r="O1257" s="2160" t="s">
        <v>3393</v>
      </c>
      <c r="P1257" s="2161">
        <f>'Part VIII-Threshold Criteria'!P163</f>
        <v>0</v>
      </c>
      <c r="Q1257" s="2161">
        <f>'Part VIII-Threshold Criteria'!Q163</f>
        <v>0</v>
      </c>
    </row>
    <row r="1258" spans="1:17">
      <c r="B1258" s="2065" t="s">
        <v>3785</v>
      </c>
      <c r="D1258" s="2065"/>
      <c r="E1258" s="2065"/>
      <c r="F1258" s="2065"/>
      <c r="G1258" s="2065"/>
      <c r="H1258" s="2064"/>
      <c r="I1258" s="2118"/>
      <c r="J1258" s="2118"/>
      <c r="K1258" s="2118"/>
      <c r="L1258" s="2035"/>
      <c r="M1258" s="2035"/>
      <c r="N1258" s="2035"/>
      <c r="O1258" s="2035"/>
      <c r="P1258" s="2035"/>
      <c r="Q1258" s="2035"/>
    </row>
    <row r="1259" spans="1:17" ht="409.5">
      <c r="A1259" s="2123" t="str">
        <f>'Part VIII-Threshold Criteria'!A165</f>
        <v>Noise - The environmental professional (TTL) evaluated the subject site for potential impacts from noise sources. The site is not within the specified distances of any roadway with AADT greater than 10,000, any railroad, or any military airfield. The site is within 5 miles of a civilian airport, and TTL utilized airport traffic data to complete the HUD Airport Noise Worksheet. Based on the results of the worksheet exercise, “it is assumed that the noise attributed to the airplanes will not extend beyond the boundaries of the airport.” For this reason, no further noise assessment activities were conducted for the nearby airport operations or other noise sources.
Wetlands and Flood Zone - A portion of the subject site contains 100-year flood zone and/or suspected wetlands. The proposed development was intentionally designed around these areas, and will not impact or encroach upon these areas or any associated buffers. The land which is covered by the wetlands and flood zone is still highly valuable to the project, as the density allowed by these areas contributes to the allowable number of units which can be built on the site under the local zoning restrictions.
HOME/HUD - The proposed project does not involve and HUD or HOMD funding, therefore questions F through J have been intentionally left blank.</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4609</v>
      </c>
      <c r="D1265" s="555"/>
      <c r="E1265" s="555"/>
      <c r="F1265" s="555"/>
      <c r="G1265" s="555"/>
      <c r="I1265" s="555" t="s">
        <v>2725</v>
      </c>
      <c r="K1265" s="2385">
        <f>'Part VIII-Threshold Criteria'!K171</f>
        <v>43819</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Purchase Contract</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Oracle Consulting Services, LLC (with unilateral right to assign)</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Yes</v>
      </c>
      <c r="Q1268" s="2161">
        <f>'Part VIII-Threshold Criteria'!Q174</f>
        <v>0</v>
      </c>
    </row>
    <row r="1269" spans="1:17">
      <c r="B1269" s="2065" t="s">
        <v>3785</v>
      </c>
      <c r="D1269" s="2065"/>
      <c r="E1269" s="2065"/>
      <c r="F1269" s="2065"/>
      <c r="G1269" s="2065"/>
      <c r="H1269" s="2064"/>
      <c r="I1269" s="2118"/>
      <c r="J1269" s="2118"/>
      <c r="K1269" s="2118"/>
      <c r="L1269" s="2035"/>
      <c r="M1269" s="2035"/>
      <c r="N1269" s="2035"/>
      <c r="O1269" s="2035"/>
      <c r="P1269" s="2035"/>
      <c r="Q1269" s="2035"/>
    </row>
    <row r="1270" spans="1:17" ht="393.75">
      <c r="A1270" s="2123" t="str">
        <f>'Part VIII-Threshold Criteria'!A176</f>
        <v>The applicant has site control by virtue of the enclosed purchase contract and ammendments. There is a conflict of interest between the entity with site control (the Developer) and the applicant: The Developer is the managing member of the applicant, and will assign the purchase contract to the applicant before land closing.</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3774</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3666</v>
      </c>
      <c r="C1276" s="2123"/>
      <c r="D1276" s="2123"/>
      <c r="E1276" s="2123"/>
      <c r="F1276" s="2123"/>
      <c r="G1276" s="2123"/>
      <c r="H1276" s="2123"/>
      <c r="I1276" s="2123"/>
      <c r="J1276" s="2123"/>
      <c r="K1276" s="2123"/>
      <c r="L1276" s="2123"/>
      <c r="M1276" s="2123"/>
      <c r="N1276" s="2123"/>
      <c r="O1276" s="2167" t="s">
        <v>2001</v>
      </c>
      <c r="P1276" s="2168" t="str">
        <f>'Part VIII-Threshold Criteria'!P182</f>
        <v>N/Ap</v>
      </c>
      <c r="Q1276" s="2168">
        <f>'Part VIII-Threshold Criteria'!Q182</f>
        <v>0</v>
      </c>
    </row>
    <row r="1277" spans="1:17" ht="12.75" customHeight="1">
      <c r="A1277" s="2156" t="s">
        <v>757</v>
      </c>
      <c r="B1277" s="2123" t="s">
        <v>3775</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t="str">
        <f>'Part VIII-Threshold Criteria'!P184</f>
        <v>N/Ap</v>
      </c>
      <c r="Q1278" s="2168">
        <f>'Part VIII-Threshold Criteria'!Q184</f>
        <v>0</v>
      </c>
    </row>
    <row r="1279" spans="1:17">
      <c r="B1279" s="2065" t="s">
        <v>3785</v>
      </c>
      <c r="D1279" s="2065"/>
      <c r="E1279" s="2065"/>
      <c r="F1279" s="2065"/>
      <c r="G1279" s="2065"/>
      <c r="H1279" s="2064"/>
      <c r="I1279" s="2118"/>
      <c r="J1279" s="2118"/>
      <c r="K1279" s="2118"/>
      <c r="L1279" s="2035"/>
      <c r="M1279" s="2035"/>
      <c r="N1279" s="2035"/>
      <c r="O1279" s="2035"/>
      <c r="P1279" s="2035"/>
      <c r="Q1279" s="2035"/>
    </row>
    <row r="1280" spans="1:17" ht="225">
      <c r="A1280" s="2123" t="str">
        <f>'Part VIII-Threshold Criteria'!A186</f>
        <v>The proposed project will be accessible from Greison Trail, a paved public roadway. This is indicated on the site plan, and is shown on the aerial photographs and site photos.</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2661</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2649</v>
      </c>
      <c r="C1288" s="2123"/>
      <c r="D1288" s="2160" t="s">
        <v>1750</v>
      </c>
      <c r="E1288" s="2064" t="s">
        <v>2662</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4610</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3776</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2665</v>
      </c>
      <c r="F1292" s="2123"/>
      <c r="G1292" s="2123"/>
      <c r="H1292" s="2123"/>
      <c r="I1292" s="2123"/>
      <c r="J1292" s="2123"/>
      <c r="K1292" s="2123"/>
      <c r="L1292" s="2123"/>
      <c r="M1292" s="2123"/>
      <c r="N1292" s="2123"/>
      <c r="O1292" s="2167" t="s">
        <v>1561</v>
      </c>
      <c r="P1292" s="2168" t="str">
        <f>'Part VIII-Threshold Criteria'!P198</f>
        <v>N/Ap</v>
      </c>
      <c r="Q1292" s="2168">
        <f>'Part VIII-Threshold Criteria'!Q198</f>
        <v>0</v>
      </c>
    </row>
    <row r="1293" spans="1:17" ht="12.75" customHeight="1">
      <c r="A1293" s="2156"/>
      <c r="B1293" s="2136"/>
      <c r="C1293" s="2175"/>
      <c r="D1293" s="2167" t="s">
        <v>1562</v>
      </c>
      <c r="E1293" s="2123" t="s">
        <v>3935</v>
      </c>
      <c r="F1293" s="2123"/>
      <c r="G1293" s="2123"/>
      <c r="H1293" s="2123"/>
      <c r="I1293" s="2123"/>
      <c r="J1293" s="2123"/>
      <c r="K1293" s="2123"/>
      <c r="L1293" s="2123"/>
      <c r="M1293" s="2123"/>
      <c r="N1293" s="2123"/>
      <c r="O1293" s="2167" t="s">
        <v>1562</v>
      </c>
      <c r="P1293" s="2168" t="str">
        <f>'Part VIII-Threshold Criteria'!P199</f>
        <v>N/Ap</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3785</v>
      </c>
      <c r="D1296" s="2065"/>
      <c r="E1296" s="2065"/>
      <c r="F1296" s="2065"/>
      <c r="G1296" s="2065"/>
      <c r="H1296" s="2064"/>
      <c r="I1296" s="2118"/>
      <c r="J1296" s="2118"/>
      <c r="K1296" s="2118"/>
      <c r="L1296" s="2035"/>
      <c r="M1296" s="2035"/>
      <c r="N1296" s="2035"/>
      <c r="O1296" s="2035"/>
      <c r="P1296" s="2035"/>
      <c r="Q1296" s="2035"/>
    </row>
    <row r="1297" spans="1:17" ht="409.5">
      <c r="A1297" s="2123" t="str">
        <f>'Part VIII-Threshold Criteria'!A203</f>
        <v>The included zoning letter confirms the current zoning classification (RU-2) and the land use classification (Townhouse Residential) under the current zoning ordinance. The site is currently vacant. The included zoning ordinance excerpts show the requirements of the zoning district and the dimensional requirements (setbacks, density, unit size, etc.). An administrative variance from the minimum unit sizes was granted by the City of Newnan, and evidence of such variance is included in this application.</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None included in project</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No</v>
      </c>
      <c r="Q1302" s="2161">
        <f>'Part VIII-Threshold Criteria'!Q208</f>
        <v>0</v>
      </c>
    </row>
    <row r="1303" spans="1:17">
      <c r="A1303" s="2048"/>
      <c r="B1303" s="2065" t="s">
        <v>3785</v>
      </c>
      <c r="C1303" s="2061"/>
      <c r="D1303" s="2061"/>
      <c r="E1303" s="2061"/>
      <c r="F1303" s="2061"/>
      <c r="H1303" s="2160" t="s">
        <v>1751</v>
      </c>
      <c r="I1303" s="555" t="s">
        <v>1608</v>
      </c>
      <c r="J1303" s="2117" t="str">
        <f>'Part VIII-Threshold Criteria'!J209</f>
        <v>Newnan Utilities</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ht="123.75">
      <c r="A1304" s="2123" t="str">
        <f>'Part VIII-Threshold Criteria'!A210</f>
        <v>The Newnan Utilities department has confirmed the ability to serve this project with electricity service.</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Newnan Utilities</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Newnan Utilities</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3942</v>
      </c>
      <c r="D1314" s="555"/>
      <c r="E1314" s="555"/>
      <c r="F1314" s="555"/>
      <c r="G1314" s="555"/>
      <c r="H1314" s="555"/>
      <c r="I1314" s="555"/>
      <c r="J1314" s="555"/>
      <c r="K1314" s="1854"/>
      <c r="L1314" s="555"/>
      <c r="M1314" s="555"/>
      <c r="O1314" s="2160" t="s">
        <v>757</v>
      </c>
      <c r="P1314" s="2161" t="str">
        <f>'Part VIII-Threshold Criteria'!P220</f>
        <v>Yes</v>
      </c>
      <c r="Q1314" s="2161">
        <f>'Part VIII-Threshold Criteria'!Q220</f>
        <v>0</v>
      </c>
    </row>
    <row r="1315" spans="1:17">
      <c r="A1315" s="2158" t="s">
        <v>2131</v>
      </c>
      <c r="B1315" s="555" t="s">
        <v>3943</v>
      </c>
      <c r="D1315" s="555"/>
      <c r="E1315" s="555"/>
      <c r="F1315" s="555"/>
      <c r="G1315" s="555"/>
      <c r="H1315" s="555"/>
      <c r="I1315" s="555"/>
      <c r="J1315" s="555"/>
      <c r="K1315" s="1854"/>
      <c r="L1315" s="555"/>
      <c r="M1315" s="555"/>
      <c r="O1315" s="2160" t="s">
        <v>2131</v>
      </c>
      <c r="P1315" s="2161">
        <f>'Part VIII-Threshold Criteria'!P221</f>
        <v>0</v>
      </c>
      <c r="Q1315" s="2161">
        <f>'Part VIII-Threshold Criteria'!Q221</f>
        <v>0</v>
      </c>
    </row>
    <row r="1316" spans="1:17">
      <c r="B1316" s="2065" t="s">
        <v>3785</v>
      </c>
      <c r="D1316" s="2065"/>
      <c r="E1316" s="2065"/>
      <c r="F1316" s="2065"/>
      <c r="G1316" s="2065"/>
      <c r="H1316" s="2064"/>
      <c r="I1316" s="2118"/>
      <c r="J1316" s="2118"/>
      <c r="K1316" s="2118"/>
      <c r="L1316" s="2035"/>
      <c r="M1316" s="2035"/>
      <c r="N1316" s="2035"/>
      <c r="O1316" s="2035"/>
      <c r="P1316" s="2035"/>
      <c r="Q1316" s="2035"/>
    </row>
    <row r="1317" spans="1:17" ht="409.5">
      <c r="A1317" s="2123" t="str">
        <f>'Part VIII-Threshold Criteria'!A223</f>
        <v>The Newnan Utilities department has confirmed the ability to serve this project with water and sewer services. There is a sewer line running through the subject site, and water service is available in public right of way along Greison Trail. With respect to question XII.C, there are no easements required for water and sewer service, but commitments from the local water and sewer authority to serve the property are included in the application. The proposed project does not include any single-family detatched component or any annexation or infrastructure improvements, therefore questions XII.A.2 and XII.D are intentionally left blank.</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1999</v>
      </c>
      <c r="B1323" s="555" t="s">
        <v>4611</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ht="13.5">
      <c r="A1325" s="2158"/>
      <c r="B1325" s="2160" t="s">
        <v>1751</v>
      </c>
      <c r="C1325" s="2064" t="s">
        <v>2741</v>
      </c>
      <c r="E1325" s="2064"/>
      <c r="F1325" s="2064"/>
      <c r="G1325" s="2064"/>
      <c r="H1325" s="2064"/>
      <c r="I1325" s="1854"/>
      <c r="J1325" s="2160" t="s">
        <v>1499</v>
      </c>
      <c r="K1325" s="2117" t="str">
        <f>'Part VIII-Threshold Criteria'!K231</f>
        <v>Covered Porch</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4612</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781</v>
      </c>
      <c r="I1329" s="1875" t="s">
        <v>782</v>
      </c>
      <c r="K1329" s="555" t="s">
        <v>2743</v>
      </c>
      <c r="M1329" s="1854"/>
      <c r="N1329" s="1854"/>
      <c r="O1329" s="2179"/>
      <c r="P1329" s="1917" t="s">
        <v>781</v>
      </c>
      <c r="Q1329" s="1875" t="s">
        <v>782</v>
      </c>
    </row>
    <row r="1330" spans="1:17" ht="45">
      <c r="A1330" s="2161"/>
      <c r="B1330" s="2160" t="s">
        <v>1750</v>
      </c>
      <c r="C1330" s="2123" t="str">
        <f>'Part VIII-Threshold Criteria'!C236</f>
        <v>Furnished Exercise /Fitness Center</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 xml:space="preserve">  </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ht="22.5">
      <c r="A1331" s="2161"/>
      <c r="B1331" s="2160" t="s">
        <v>1751</v>
      </c>
      <c r="C1331" s="2123" t="str">
        <f>'Part VIII-Threshold Criteria'!C237</f>
        <v>Equipped playground</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3488</v>
      </c>
      <c r="E1333" s="555"/>
      <c r="F1333" s="555"/>
      <c r="L1333" s="1854"/>
      <c r="M1333" s="1854"/>
      <c r="O1333" s="2160" t="s">
        <v>1750</v>
      </c>
      <c r="P1333" s="2161" t="str">
        <f>'Part VIII-Threshold Criteria'!P239</f>
        <v>Yes</v>
      </c>
      <c r="Q1333" s="2161">
        <f>'Part VIII-Threshold Criteria'!Q239</f>
        <v>0</v>
      </c>
    </row>
    <row r="1334" spans="1:17">
      <c r="B1334" s="2160" t="s">
        <v>1751</v>
      </c>
      <c r="C1334" s="2064" t="s">
        <v>2826</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2827</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2829</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2818</v>
      </c>
      <c r="P1339" s="2161" t="str">
        <f>'Part VIII-Threshold Criteria'!P245</f>
        <v>No</v>
      </c>
      <c r="Q1339" s="2161">
        <f>'Part VIII-Threshold Criteria'!Q245</f>
        <v>0</v>
      </c>
    </row>
    <row r="1340" spans="1:17">
      <c r="A1340" s="2158" t="s">
        <v>2131</v>
      </c>
      <c r="B1340" s="555" t="s">
        <v>3691</v>
      </c>
      <c r="C1340" s="555"/>
      <c r="E1340" s="555"/>
      <c r="F1340" s="555"/>
      <c r="G1340" s="555"/>
      <c r="H1340" s="555"/>
      <c r="I1340" s="555"/>
      <c r="J1340" s="555"/>
      <c r="K1340" s="1854"/>
      <c r="L1340" s="555"/>
      <c r="M1340" s="555"/>
      <c r="O1340" s="2160" t="s">
        <v>2131</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3944</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3785</v>
      </c>
      <c r="D1343" s="2065"/>
      <c r="E1343" s="2065"/>
      <c r="F1343" s="2065"/>
      <c r="G1343" s="2065"/>
      <c r="H1343" s="2064"/>
      <c r="I1343" s="2118"/>
      <c r="J1343" s="2118"/>
      <c r="K1343" s="2118"/>
      <c r="L1343" s="2035"/>
      <c r="M1343" s="2035"/>
      <c r="N1343" s="2035"/>
      <c r="O1343" s="2035"/>
      <c r="P1343" s="2035"/>
      <c r="Q1343" s="2035"/>
    </row>
    <row r="1344" spans="1:17" ht="225">
      <c r="A1344" s="2123" t="str">
        <f>'Part VIII-Threshold Criteria'!A250</f>
        <v>Applicant agrees to provide all required and additional amenities as noted above. The proposed project will have a Family tenancy, therefore questions XIII.D.1 and XIII.D.2 are intentionally left blank.</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&lt;&lt;Select&gt;&gt;</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0</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f>'Part VIII-Threshold Criteria'!K258</f>
        <v>0</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f>'Part VIII-Threshold Criteria'!P259</f>
        <v>0</v>
      </c>
      <c r="Q1353" s="2161">
        <f>'Part VIII-Threshold Criteria'!Q259</f>
        <v>0</v>
      </c>
    </row>
    <row r="1354" spans="1:17">
      <c r="A1354" s="2158" t="s">
        <v>757</v>
      </c>
      <c r="B1354" s="555" t="s">
        <v>3792</v>
      </c>
      <c r="D1354" s="555"/>
      <c r="E1354" s="555"/>
      <c r="F1354" s="555"/>
      <c r="M1354" s="555"/>
      <c r="N1354" s="2180"/>
      <c r="O1354" s="2160" t="s">
        <v>757</v>
      </c>
      <c r="P1354" s="2161">
        <f>'Part VIII-Threshold Criteria'!P260</f>
        <v>0</v>
      </c>
      <c r="Q1354" s="2161">
        <f>'Part VIII-Threshold Criteria'!Q260</f>
        <v>0</v>
      </c>
    </row>
    <row r="1355" spans="1:17">
      <c r="A1355" s="2158"/>
      <c r="B1355" s="555" t="s">
        <v>3791</v>
      </c>
      <c r="D1355" s="555"/>
      <c r="E1355" s="555"/>
      <c r="F1355" s="555"/>
      <c r="K1355" s="2117">
        <f>'Part VIII-Threshold Criteria'!K261</f>
        <v>0</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3945</v>
      </c>
      <c r="D1356" s="555"/>
      <c r="E1356" s="555"/>
      <c r="F1356" s="555"/>
      <c r="G1356" s="555"/>
      <c r="H1356" s="555"/>
      <c r="I1356" s="1854"/>
      <c r="J1356" s="1854"/>
      <c r="K1356" s="1854"/>
      <c r="M1356" s="555"/>
      <c r="N1356" s="2180"/>
      <c r="O1356" s="2160" t="s">
        <v>2131</v>
      </c>
      <c r="P1356" s="2161">
        <f>'Part VIII-Threshold Criteria'!P262</f>
        <v>0</v>
      </c>
      <c r="Q1356" s="2161">
        <f>'Part VIII-Threshold Criteria'!Q262</f>
        <v>0</v>
      </c>
    </row>
    <row r="1357" spans="1:17" ht="12.75" customHeight="1">
      <c r="A1357" s="2158"/>
      <c r="B1357" s="2123" t="s">
        <v>3793</v>
      </c>
      <c r="C1357" s="2123"/>
      <c r="D1357" s="2123"/>
      <c r="E1357" s="2123"/>
      <c r="F1357" s="2123"/>
      <c r="G1357" s="2123"/>
      <c r="H1357" s="1339" t="s">
        <v>4171</v>
      </c>
      <c r="K1357" s="1854"/>
      <c r="M1357" s="555"/>
      <c r="N1357" s="2180"/>
      <c r="O1357" s="2160" t="s">
        <v>1750</v>
      </c>
      <c r="P1357" s="2161">
        <f>'Part VIII-Threshold Criteria'!P263</f>
        <v>0</v>
      </c>
      <c r="Q1357" s="2161">
        <f>'Part VIII-Threshold Criteria'!Q263</f>
        <v>0</v>
      </c>
    </row>
    <row r="1358" spans="1:17">
      <c r="A1358" s="2158"/>
      <c r="B1358" s="2123"/>
      <c r="C1358" s="2123"/>
      <c r="D1358" s="2123"/>
      <c r="E1358" s="2123"/>
      <c r="F1358" s="2123"/>
      <c r="G1358" s="2123"/>
      <c r="H1358" s="1339" t="s">
        <v>4172</v>
      </c>
      <c r="K1358" s="1854"/>
      <c r="M1358" s="555"/>
      <c r="N1358" s="2180"/>
      <c r="O1358" s="2160" t="s">
        <v>1751</v>
      </c>
      <c r="P1358" s="2161">
        <f>'Part VIII-Threshold Criteria'!P264</f>
        <v>0</v>
      </c>
      <c r="Q1358" s="2161">
        <f>'Part VIII-Threshold Criteria'!Q264</f>
        <v>0</v>
      </c>
    </row>
    <row r="1359" spans="1:17">
      <c r="A1359" s="2158"/>
      <c r="B1359" s="555"/>
      <c r="D1359" s="555"/>
      <c r="E1359" s="555"/>
      <c r="F1359" s="555"/>
      <c r="G1359" s="555"/>
      <c r="H1359" s="1339" t="s">
        <v>4173</v>
      </c>
      <c r="K1359" s="1854"/>
      <c r="M1359" s="555"/>
      <c r="N1359" s="2180"/>
      <c r="O1359" s="2160" t="s">
        <v>1752</v>
      </c>
      <c r="P1359" s="2161">
        <f>'Part VIII-Threshold Criteria'!P265</f>
        <v>0</v>
      </c>
      <c r="Q1359" s="2161">
        <f>'Part VIII-Threshold Criteria'!Q265</f>
        <v>0</v>
      </c>
    </row>
    <row r="1360" spans="1:17">
      <c r="A1360" s="2158"/>
      <c r="B1360" s="555"/>
      <c r="D1360" s="555"/>
      <c r="E1360" s="555"/>
      <c r="F1360" s="555"/>
      <c r="G1360" s="555"/>
      <c r="H1360" s="1339" t="s">
        <v>4174</v>
      </c>
      <c r="K1360" s="1854"/>
      <c r="M1360" s="555"/>
      <c r="N1360" s="2180"/>
      <c r="O1360" s="2160" t="s">
        <v>2381</v>
      </c>
      <c r="P1360" s="2161">
        <f>'Part VIII-Threshold Criteria'!P266</f>
        <v>0</v>
      </c>
      <c r="Q1360" s="2161">
        <f>'Part VIII-Threshold Criteria'!Q266</f>
        <v>0</v>
      </c>
    </row>
    <row r="1361" spans="1:17" ht="12.75" customHeight="1">
      <c r="A1361" s="2156" t="s">
        <v>1748</v>
      </c>
      <c r="B1361" s="2123" t="s">
        <v>4613</v>
      </c>
      <c r="C1361" s="2123"/>
      <c r="D1361" s="2123"/>
      <c r="E1361" s="2123"/>
      <c r="F1361" s="2123"/>
      <c r="G1361" s="2123"/>
      <c r="H1361" s="2123"/>
      <c r="I1361" s="2123"/>
      <c r="J1361" s="2123"/>
      <c r="K1361" s="2123"/>
      <c r="L1361" s="2123"/>
      <c r="M1361" s="2123"/>
      <c r="N1361" s="2123"/>
      <c r="O1361" s="2167" t="s">
        <v>1748</v>
      </c>
      <c r="P1361" s="2168">
        <f>'Part VIII-Threshold Criteria'!P267</f>
        <v>0</v>
      </c>
      <c r="Q1361" s="2168">
        <f>'Part VIII-Threshold Criteria'!Q267</f>
        <v>0</v>
      </c>
    </row>
    <row r="1362" spans="1:17">
      <c r="B1362" s="2065" t="s">
        <v>3785</v>
      </c>
      <c r="D1362" s="2065"/>
      <c r="E1362" s="2065"/>
      <c r="F1362" s="2065"/>
      <c r="G1362" s="2065"/>
      <c r="H1362" s="2064"/>
      <c r="I1362" s="2118"/>
      <c r="J1362" s="2118"/>
      <c r="K1362" s="2118"/>
      <c r="L1362" s="2035"/>
      <c r="M1362" s="2035"/>
      <c r="N1362" s="2035"/>
      <c r="O1362" s="2035"/>
      <c r="P1362" s="2035"/>
      <c r="Q1362" s="2035"/>
    </row>
    <row r="1363" spans="1:17" ht="123.75">
      <c r="A1363" s="2123" t="str">
        <f>'Part VIII-Threshold Criteria'!A269</f>
        <v>The proposed project involves only new construction, therefore section XIV has been intentionally left blank.</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3947</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3788</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3789</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4175</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3790</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4176</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3785</v>
      </c>
      <c r="D1375" s="2065"/>
      <c r="E1375" s="2065"/>
      <c r="F1375" s="2065"/>
      <c r="G1375" s="2065"/>
      <c r="H1375" s="2064"/>
      <c r="I1375" s="2118"/>
      <c r="J1375" s="2118"/>
      <c r="K1375" s="2118"/>
      <c r="L1375" s="2035"/>
      <c r="M1375" s="2035"/>
      <c r="N1375" s="2035"/>
      <c r="O1375" s="2035"/>
      <c r="P1375" s="2035"/>
      <c r="Q1375" s="2035"/>
    </row>
    <row r="1376" spans="1:17" ht="101.25">
      <c r="A1376" s="2123" t="str">
        <f>'Part VIII-Threshold Criteria'!A282</f>
        <v>All required maps, photographs, and site plan information has been provided as required.</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4157</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3785</v>
      </c>
      <c r="D1383" s="2065"/>
      <c r="E1383" s="2065"/>
      <c r="F1383" s="2065"/>
      <c r="G1383" s="2065"/>
      <c r="H1383" s="2064"/>
      <c r="I1383" s="2118"/>
      <c r="J1383" s="2118"/>
      <c r="K1383" s="2118"/>
      <c r="L1383" s="2035"/>
      <c r="M1383" s="2035"/>
      <c r="N1383" s="2035"/>
      <c r="O1383" s="2035"/>
      <c r="P1383" s="2035"/>
      <c r="Q1383" s="2035"/>
    </row>
    <row r="1384" spans="1:17" ht="101.25">
      <c r="A1384" s="2123" t="str">
        <f>'Part VIII-Threshold Criteria'!A290</f>
        <v>Applicant agrees to adhere to all building sustainability requirements of the 2018 QAP.</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4158</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4614</v>
      </c>
    </row>
    <row r="1389" spans="1:17" ht="12.75" customHeight="1">
      <c r="A1389" s="2156"/>
      <c r="B1389" s="2167" t="s">
        <v>1750</v>
      </c>
      <c r="C1389" s="2123" t="s">
        <v>3949</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1751</v>
      </c>
      <c r="C1390" s="2123" t="s">
        <v>3950</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3948</v>
      </c>
      <c r="D1391" s="2123"/>
      <c r="E1391" s="2123"/>
      <c r="F1391" s="2123"/>
      <c r="G1391" s="2123"/>
      <c r="H1391" s="2123"/>
      <c r="I1391" s="2123"/>
      <c r="J1391" s="2123"/>
      <c r="K1391" s="2123"/>
      <c r="L1391" s="2123"/>
      <c r="M1391" s="2123"/>
      <c r="N1391" s="2123"/>
      <c r="O1391" s="2167" t="s">
        <v>1752</v>
      </c>
      <c r="P1391" s="2168">
        <f>'Part VIII-Threshold Criteria'!P297</f>
        <v>0</v>
      </c>
      <c r="Q1391" s="2168">
        <f>'Part VIII-Threshold Criteria'!Q297</f>
        <v>0</v>
      </c>
    </row>
    <row r="1392" spans="1:17">
      <c r="A1392" s="2052" t="s">
        <v>2001</v>
      </c>
      <c r="B1392" s="2028" t="s">
        <v>3914</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4615</v>
      </c>
      <c r="D1393" s="2123"/>
      <c r="E1393" s="2123"/>
      <c r="F1393" s="2123"/>
      <c r="G1393" s="2123"/>
      <c r="H1393" s="2123"/>
      <c r="I1393" s="2144"/>
      <c r="J1393" s="2127" t="s">
        <v>3828</v>
      </c>
      <c r="K1393" s="2178"/>
      <c r="L1393" s="2178"/>
      <c r="M1393" s="2184" t="s">
        <v>3795</v>
      </c>
      <c r="N1393" s="2184"/>
      <c r="O1393" s="1854"/>
      <c r="P1393" s="1854"/>
      <c r="Q1393" s="1854"/>
    </row>
    <row r="1394" spans="1:17">
      <c r="A1394" s="1873"/>
      <c r="B1394" s="1870"/>
      <c r="C1394" s="2123"/>
      <c r="D1394" s="2123"/>
      <c r="E1394" s="2123"/>
      <c r="F1394" s="2123"/>
      <c r="G1394" s="2123"/>
      <c r="H1394" s="2123"/>
      <c r="I1394" s="1874"/>
      <c r="J1394" s="2178"/>
      <c r="K1394" s="2178"/>
      <c r="L1394" s="2178"/>
      <c r="M1394" s="555" t="s">
        <v>3796</v>
      </c>
      <c r="N1394" s="2118" t="s">
        <v>3827</v>
      </c>
      <c r="O1394" s="1870"/>
      <c r="P1394" s="1883"/>
      <c r="Q1394" s="1870"/>
    </row>
    <row r="1395" spans="1:17">
      <c r="A1395" s="1873"/>
      <c r="B1395" s="1870"/>
      <c r="C1395" s="2123"/>
      <c r="D1395" s="2123"/>
      <c r="E1395" s="2123"/>
      <c r="F1395" s="2123"/>
      <c r="G1395" s="2123"/>
      <c r="H1395" s="2123"/>
      <c r="I1395" s="555" t="s">
        <v>4178</v>
      </c>
      <c r="J1395" s="1870"/>
      <c r="K1395" s="2386">
        <f>'Part VIII-Threshold Criteria'!K301</f>
        <v>5</v>
      </c>
      <c r="L1395" s="1871" t="str">
        <f>IF(K1395&lt;M1395,"Check!!!","")</f>
        <v/>
      </c>
      <c r="M1395" s="2185">
        <f>'Part VIII-Threshold Criteria'!M301</f>
        <v>5</v>
      </c>
      <c r="N1395" s="2186">
        <f>'DCA Underwriting Assumptions'!$Q$136</f>
        <v>0.05</v>
      </c>
      <c r="O1395" s="2160" t="s">
        <v>3667</v>
      </c>
      <c r="P1395" s="2161" t="str">
        <f>'Part VIII-Threshold Criteria'!P301</f>
        <v>Yes</v>
      </c>
      <c r="Q1395" s="2161">
        <f>'Part VIII-Threshold Criteria'!Q301</f>
        <v>0</v>
      </c>
    </row>
    <row r="1396" spans="1:17">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4616</v>
      </c>
      <c r="D1397" s="2123"/>
      <c r="E1397" s="2123"/>
      <c r="F1397" s="2123"/>
      <c r="G1397" s="2123"/>
      <c r="H1397" s="2123"/>
      <c r="I1397" s="2187" t="s">
        <v>4179</v>
      </c>
      <c r="J1397" s="1870"/>
      <c r="K1397" s="2386">
        <f>'Part VIII-Threshold Criteria'!K303</f>
        <v>2</v>
      </c>
      <c r="L1397" s="1871" t="str">
        <f>IF(K1397&lt;M1397,"Check!!!","")</f>
        <v/>
      </c>
      <c r="M1397" s="2185">
        <f>'Part VIII-Threshold Criteria'!M303</f>
        <v>2</v>
      </c>
      <c r="N1397" s="2186">
        <f>'DCA Underwriting Assumptions'!$Q$137</f>
        <v>0.4</v>
      </c>
      <c r="O1397" s="2160" t="s">
        <v>2133</v>
      </c>
      <c r="P1397" s="2161" t="str">
        <f>'Part VIII-Threshold Criteria'!P303</f>
        <v>Yes</v>
      </c>
      <c r="Q1397" s="2161">
        <f>'Part VIII-Threshold Criteria'!Q303</f>
        <v>0</v>
      </c>
    </row>
    <row r="1398" spans="1:17">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4617</v>
      </c>
      <c r="D1399" s="2123"/>
      <c r="E1399" s="2123"/>
      <c r="F1399" s="2123"/>
      <c r="G1399" s="2123"/>
      <c r="H1399" s="2123"/>
      <c r="I1399" s="555" t="s">
        <v>4180</v>
      </c>
      <c r="J1399" s="1870"/>
      <c r="K1399" s="2386">
        <f>'Part VIII-Threshold Criteria'!K305</f>
        <v>2</v>
      </c>
      <c r="L1399" s="1871" t="str">
        <f>IF(K1399&lt;M1399,"Check!!!","")</f>
        <v/>
      </c>
      <c r="M1399" s="2185">
        <f>'Part VIII-Threshold Criteria'!M305</f>
        <v>2</v>
      </c>
      <c r="N1399" s="2186">
        <f>'DCA Underwriting Assumptions'!$Q$138</f>
        <v>0.02</v>
      </c>
      <c r="O1399" s="2160" t="s">
        <v>1751</v>
      </c>
      <c r="P1399" s="2161" t="str">
        <f>'Part VIII-Threshold Criteria'!P305</f>
        <v>Yes</v>
      </c>
      <c r="Q1399" s="2161">
        <f>'Part VIII-Threshold Criteria'!Q305</f>
        <v>0</v>
      </c>
    </row>
    <row r="1400" spans="1:17">
      <c r="A1400" s="1873"/>
      <c r="B1400" s="1870"/>
      <c r="C1400" s="2123"/>
      <c r="D1400" s="2123"/>
      <c r="E1400" s="2123"/>
      <c r="F1400" s="2123"/>
      <c r="G1400" s="2123"/>
      <c r="H1400" s="2123"/>
      <c r="I1400" s="1870"/>
      <c r="J1400" s="555"/>
      <c r="K1400" s="555"/>
      <c r="L1400" s="2064"/>
      <c r="M1400" s="2118"/>
      <c r="N1400" s="1870"/>
      <c r="O1400" s="555"/>
      <c r="P1400" s="2118"/>
      <c r="Q1400" s="555"/>
    </row>
    <row r="1401" spans="1:17">
      <c r="A1401" s="1873"/>
      <c r="B1401" s="1870"/>
      <c r="C1401" s="2123"/>
      <c r="D1401" s="2123"/>
      <c r="E1401" s="2123"/>
      <c r="F1401" s="2123"/>
      <c r="G1401" s="2123"/>
      <c r="H1401" s="2123"/>
      <c r="I1401" s="1870"/>
      <c r="J1401" s="1870"/>
      <c r="K1401" s="1870"/>
      <c r="L1401" s="1870"/>
      <c r="M1401" s="1870"/>
      <c r="N1401" s="1870"/>
      <c r="O1401" s="2064"/>
      <c r="P1401" s="2160"/>
      <c r="Q1401" s="1870"/>
    </row>
    <row r="1402" spans="1:17">
      <c r="A1402" s="2052" t="s">
        <v>757</v>
      </c>
      <c r="B1402" s="2028" t="s">
        <v>3915</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3669</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3670</v>
      </c>
      <c r="C1404" s="1854"/>
      <c r="D1404" s="2144"/>
      <c r="E1404" s="2144"/>
      <c r="F1404" s="2144"/>
      <c r="G1404" s="2144"/>
      <c r="H1404" s="2144"/>
      <c r="I1404" s="2144" t="s">
        <v>3794</v>
      </c>
      <c r="J1404" s="2144"/>
      <c r="K1404" s="2144"/>
      <c r="L1404" s="2144" t="str">
        <f>'Part VIII-Threshold Criteria'!L310</f>
        <v>PROPOSED - Zeffert &amp; Associates</v>
      </c>
      <c r="M1404" s="2144">
        <f>'Part VIII-Threshold Criteria'!M310</f>
        <v>0</v>
      </c>
      <c r="N1404" s="2144">
        <f>'Part VIII-Threshold Criteria'!N310</f>
        <v>0</v>
      </c>
      <c r="O1404" s="2144"/>
      <c r="P1404" s="2144"/>
      <c r="Q1404" s="2144"/>
    </row>
    <row r="1405" spans="1:17" ht="12.75" customHeight="1">
      <c r="A1405" s="2136"/>
      <c r="B1405" s="2167" t="s">
        <v>1750</v>
      </c>
      <c r="C1405" s="2123" t="s">
        <v>3668</v>
      </c>
      <c r="D1405" s="2123"/>
      <c r="E1405" s="2123"/>
      <c r="F1405" s="2123"/>
      <c r="G1405" s="2123"/>
      <c r="H1405" s="2123"/>
      <c r="I1405" s="2123"/>
      <c r="J1405" s="2123"/>
      <c r="K1405" s="2123"/>
      <c r="L1405" s="2123"/>
      <c r="M1405" s="2123"/>
      <c r="N1405" s="2123"/>
      <c r="O1405" s="2167" t="s">
        <v>3673</v>
      </c>
      <c r="P1405" s="2168" t="str">
        <f>'Part VIII-Threshold Criteria'!P311</f>
        <v>Yes</v>
      </c>
      <c r="Q1405" s="2168">
        <f>'Part VIII-Threshold Criteria'!Q311</f>
        <v>0</v>
      </c>
    </row>
    <row r="1406" spans="1:17" ht="12.75" customHeight="1">
      <c r="A1406" s="2136"/>
      <c r="B1406" s="2167" t="s">
        <v>1751</v>
      </c>
      <c r="C1406" s="2123" t="s">
        <v>3713</v>
      </c>
      <c r="D1406" s="2123"/>
      <c r="E1406" s="2123"/>
      <c r="F1406" s="2123"/>
      <c r="G1406" s="2123"/>
      <c r="H1406" s="2123"/>
      <c r="I1406" s="2123"/>
      <c r="J1406" s="2123"/>
      <c r="K1406" s="2123"/>
      <c r="L1406" s="2123"/>
      <c r="M1406" s="2123"/>
      <c r="N1406" s="2123"/>
      <c r="O1406" s="2167" t="s">
        <v>3674</v>
      </c>
      <c r="P1406" s="2168" t="str">
        <f>'Part VIII-Threshold Criteria'!P312</f>
        <v>Yes</v>
      </c>
      <c r="Q1406" s="2168">
        <f>'Part VIII-Threshold Criteria'!Q312</f>
        <v>0</v>
      </c>
    </row>
    <row r="1407" spans="1:17" ht="12.75" customHeight="1">
      <c r="A1407" s="2136"/>
      <c r="B1407" s="2167" t="s">
        <v>1752</v>
      </c>
      <c r="C1407" s="2123" t="s">
        <v>3671</v>
      </c>
      <c r="D1407" s="2123"/>
      <c r="E1407" s="2123"/>
      <c r="F1407" s="2123"/>
      <c r="G1407" s="2123"/>
      <c r="H1407" s="2123"/>
      <c r="I1407" s="2123"/>
      <c r="J1407" s="2123"/>
      <c r="K1407" s="2123"/>
      <c r="L1407" s="2123"/>
      <c r="M1407" s="2123"/>
      <c r="N1407" s="2123"/>
      <c r="O1407" s="2167" t="s">
        <v>3675</v>
      </c>
      <c r="P1407" s="2168" t="str">
        <f>'Part VIII-Threshold Criteria'!P313</f>
        <v>Yes</v>
      </c>
      <c r="Q1407" s="2168">
        <f>'Part VIII-Threshold Criteria'!Q313</f>
        <v>0</v>
      </c>
    </row>
    <row r="1408" spans="1:17" ht="12.75" customHeight="1">
      <c r="A1408" s="2136"/>
      <c r="B1408" s="2167" t="s">
        <v>2381</v>
      </c>
      <c r="C1408" s="2123" t="s">
        <v>3672</v>
      </c>
      <c r="D1408" s="2123"/>
      <c r="E1408" s="2123"/>
      <c r="F1408" s="2123"/>
      <c r="G1408" s="2123"/>
      <c r="H1408" s="2123"/>
      <c r="I1408" s="2123"/>
      <c r="J1408" s="2123"/>
      <c r="K1408" s="2123"/>
      <c r="L1408" s="2123"/>
      <c r="M1408" s="2123"/>
      <c r="N1408" s="2123"/>
      <c r="O1408" s="2167" t="s">
        <v>3676</v>
      </c>
      <c r="P1408" s="2168" t="str">
        <f>'Part VIII-Threshold Criteria'!P314</f>
        <v>Yes</v>
      </c>
      <c r="Q1408" s="2168">
        <f>'Part VIII-Threshold Criteria'!Q314</f>
        <v>0</v>
      </c>
    </row>
    <row r="1409" spans="1:17">
      <c r="B1409" s="2065" t="s">
        <v>3785</v>
      </c>
      <c r="D1409" s="2065"/>
      <c r="E1409" s="2065"/>
      <c r="F1409" s="2065"/>
      <c r="G1409" s="2065"/>
      <c r="H1409" s="2064"/>
      <c r="I1409" s="2118"/>
      <c r="J1409" s="2118"/>
      <c r="K1409" s="2118"/>
      <c r="L1409" s="2035"/>
      <c r="M1409" s="2035"/>
      <c r="N1409" s="2035"/>
      <c r="O1409" s="2035"/>
      <c r="P1409" s="2035"/>
      <c r="Q1409" s="2035"/>
    </row>
    <row r="1410" spans="1:17" ht="101.25">
      <c r="A1410" s="2123" t="str">
        <f>'Part VIII-Threshold Criteria'!A316</f>
        <v>The applicant will adhere to all DCA accessibility requirements under the 2018 QAP.</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4156</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No</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4618</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f>'Part VIII-Threshold Criteria'!P323</f>
        <v>0</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 xml:space="preserve">Fiber cement siding or other 30 year warranty product installed on all exterior wall surfaces not already required to be brick </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4619</v>
      </c>
      <c r="C1422" s="2188"/>
      <c r="D1422" s="2188"/>
      <c r="E1422" s="2188"/>
      <c r="F1422" s="2188"/>
      <c r="G1422" s="2188"/>
      <c r="H1422" s="2188"/>
      <c r="I1422" s="2188"/>
      <c r="J1422" s="2188"/>
      <c r="K1422" s="2188"/>
      <c r="L1422" s="2188"/>
      <c r="M1422" s="2188"/>
      <c r="N1422" s="2188"/>
      <c r="O1422" s="2176" t="s">
        <v>757</v>
      </c>
      <c r="P1422" s="2035"/>
      <c r="Q1422" s="2035"/>
    </row>
    <row r="1423" spans="1:17">
      <c r="A1423" s="2159"/>
      <c r="B1423" s="2171" t="s">
        <v>1750</v>
      </c>
      <c r="C1423" s="2123">
        <f>'Part VIII-Threshold Criteria'!C329</f>
        <v>0</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f>'Part VIII-Threshold Criteria'!P329</f>
        <v>0</v>
      </c>
      <c r="Q1423" s="2168">
        <f>'Part VIII-Threshold Criteria'!Q329</f>
        <v>0</v>
      </c>
    </row>
    <row r="1424" spans="1:17">
      <c r="A1424" s="2159"/>
      <c r="B1424" s="2171" t="s">
        <v>1751</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3785</v>
      </c>
      <c r="D1426" s="2065"/>
      <c r="E1426" s="2065"/>
      <c r="F1426" s="2065"/>
      <c r="G1426" s="2065"/>
      <c r="H1426" s="2064"/>
      <c r="I1426" s="2118"/>
      <c r="J1426" s="2118"/>
      <c r="K1426" s="2118"/>
      <c r="L1426" s="2035"/>
      <c r="M1426" s="2035"/>
      <c r="N1426" s="2035"/>
      <c r="O1426" s="2035"/>
      <c r="P1426" s="2035"/>
      <c r="Q1426" s="2035"/>
    </row>
    <row r="1427" spans="1:17" ht="213.75">
      <c r="A1427" s="2123" t="str">
        <f>'Part VIII-Threshold Criteria'!A333</f>
        <v>The applicant will adhere to all DCA design and quality standards. The proposed project does not involve rehabilitation, therefore question XVIII.A has been intentionally left blank.</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4159</v>
      </c>
      <c r="B1430" s="2028" t="s">
        <v>4198</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3954</v>
      </c>
      <c r="O1431" s="2167" t="s">
        <v>1999</v>
      </c>
      <c r="P1431" s="2161" t="str">
        <f>'Part VIII-Threshold Criteria'!P337</f>
        <v>Yes</v>
      </c>
      <c r="Q1431" s="2161">
        <f>'Part VIII-Threshold Criteria'!Q337</f>
        <v>0</v>
      </c>
    </row>
    <row r="1432" spans="1:17">
      <c r="A1432" s="2156" t="s">
        <v>2001</v>
      </c>
      <c r="B1432" s="1339" t="s">
        <v>4143</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3877</v>
      </c>
      <c r="O1434" s="2160" t="s">
        <v>2131</v>
      </c>
      <c r="P1434" s="2161" t="str">
        <f>'Part VIII-Threshold Criteria'!P340</f>
        <v>No</v>
      </c>
      <c r="Q1434" s="2161">
        <f>'Part VIII-Threshold Criteria'!Q340</f>
        <v>0</v>
      </c>
    </row>
    <row r="1435" spans="1:17">
      <c r="A1435" s="2156" t="s">
        <v>1748</v>
      </c>
      <c r="B1435" s="1339" t="s">
        <v>2903</v>
      </c>
      <c r="N1435" s="2167" t="s">
        <v>1748</v>
      </c>
      <c r="O1435" s="2074" t="str">
        <f>'Part VIII-Threshold Criteria'!O341</f>
        <v>Probationary Certifying GP/Dev</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3785</v>
      </c>
      <c r="D1437" s="2065"/>
      <c r="E1437" s="2065"/>
      <c r="F1437" s="2065"/>
      <c r="G1437" s="2065"/>
      <c r="H1437" s="2064"/>
      <c r="I1437" s="2118"/>
      <c r="J1437" s="2118"/>
      <c r="K1437" s="2118"/>
      <c r="L1437" s="2035"/>
      <c r="M1437" s="2035"/>
      <c r="N1437" s="2035"/>
      <c r="O1437" s="2035"/>
      <c r="P1437" s="2035"/>
      <c r="Q1437" s="2035"/>
    </row>
    <row r="1438" spans="1:17" ht="247.5">
      <c r="A1438" s="2123" t="str">
        <f>'Part VIII-Threshold Criteria'!A344</f>
        <v>The applicant received approval to submit the proposed project under the 2018 QAP, and was directed by DCA that this QD wuld be valid and the applicant could submit the proposed project in 2019.</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4160</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3685</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3886</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4144</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3785</v>
      </c>
      <c r="D1445" s="2065"/>
      <c r="E1445" s="2065"/>
      <c r="F1445" s="2065"/>
      <c r="G1445" s="2065"/>
      <c r="H1445" s="2064"/>
      <c r="I1445" s="2118"/>
      <c r="J1445" s="2118"/>
      <c r="K1445" s="2118"/>
      <c r="L1445" s="2035"/>
      <c r="M1445" s="2035"/>
      <c r="N1445" s="2035"/>
      <c r="O1445" s="2035"/>
      <c r="P1445" s="2035"/>
      <c r="Q1445" s="2035"/>
    </row>
    <row r="1446" spans="1:17" ht="247.5">
      <c r="A1446" s="2123" t="str">
        <f>'Part VIII-Threshold Criteria'!A352</f>
        <v>The applicant received approval to submit the proposed project under the 2018 QAP, and was directed by DCA that this QD wuld be valid and the applicant could submit the proposed project in 2019.</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4163</v>
      </c>
      <c r="B1450" s="1852" t="s">
        <v>4131</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4132</v>
      </c>
      <c r="D1451" s="1859"/>
      <c r="E1451" s="1859"/>
      <c r="F1451" s="1859"/>
      <c r="G1451" s="1859"/>
      <c r="H1451" s="2160" t="s">
        <v>1999</v>
      </c>
      <c r="I1451" s="2117">
        <f>'Part VIII-Threshold Criteria'!I357</f>
        <v>0</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4133</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4123</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4124</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4125</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4126</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4127</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4620</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4128</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622</v>
      </c>
      <c r="B1460" s="2123" t="s">
        <v>4129</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3785</v>
      </c>
      <c r="D1461" s="2065"/>
      <c r="E1461" s="2065"/>
      <c r="F1461" s="2065"/>
      <c r="G1461" s="2065"/>
      <c r="H1461" s="2064"/>
      <c r="I1461" s="2118"/>
      <c r="J1461" s="2118"/>
      <c r="K1461" s="2118"/>
      <c r="L1461" s="2035"/>
      <c r="M1461" s="2035"/>
      <c r="N1461" s="2035"/>
      <c r="O1461" s="2035"/>
      <c r="P1461" s="2035"/>
      <c r="Q1461" s="2035"/>
    </row>
    <row r="1462" spans="1:17" ht="135">
      <c r="A1462" s="2123" t="str">
        <f>'Part VIII-Threshold Criteria'!A368</f>
        <v>The proposed project is not applying for the non-profit setaside, therefore section XXI has been intentionally left blank.</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4164</v>
      </c>
      <c r="B1466" s="1852" t="s">
        <v>3955</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3957</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4181</v>
      </c>
      <c r="D1468" s="555"/>
      <c r="E1468" s="555"/>
      <c r="F1468" s="555"/>
      <c r="G1468" s="2117">
        <f>'Part VIII-Threshold Criteria'!G374</f>
        <v>0</v>
      </c>
      <c r="H1468" s="2117">
        <f>'Part VIII-Threshold Criteria'!H374</f>
        <v>0</v>
      </c>
      <c r="I1468" s="2117">
        <f>'Part VIII-Threshold Criteria'!I374</f>
        <v>0</v>
      </c>
      <c r="J1468" s="2118" t="s">
        <v>3964</v>
      </c>
      <c r="K1468" s="2117">
        <f>'Part VIII-Threshold Criteria'!K374</f>
        <v>0</v>
      </c>
      <c r="L1468" s="2117">
        <f>'Part VIII-Threshold Criteria'!L374</f>
        <v>0</v>
      </c>
      <c r="M1468" s="2117">
        <f>'Part VIII-Threshold Criteria'!M374</f>
        <v>0</v>
      </c>
      <c r="N1468" s="555" t="s">
        <v>3956</v>
      </c>
      <c r="O1468" s="555"/>
      <c r="P1468" s="2117">
        <f>'Part VIII-Threshold Criteria'!P374</f>
        <v>0</v>
      </c>
      <c r="Q1468" s="2117">
        <f>'Part VIII-Threshold Criteria'!Q374</f>
        <v>0</v>
      </c>
    </row>
    <row r="1469" spans="1:17">
      <c r="A1469" s="1854"/>
      <c r="B1469" s="555" t="s">
        <v>1751</v>
      </c>
      <c r="C1469" s="555" t="s">
        <v>3958</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3959</v>
      </c>
      <c r="D1470" s="1853"/>
      <c r="E1470" s="2090"/>
      <c r="F1470" s="2189" t="str">
        <f>'Part VIII-Threshold Criteria'!F376</f>
        <v>Urban</v>
      </c>
      <c r="G1470" s="2189">
        <f>'Part VIII-Threshold Criteria'!G376</f>
        <v>0</v>
      </c>
      <c r="H1470" s="2057" t="s">
        <v>3960</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3961</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3971</v>
      </c>
      <c r="O1471" s="2160"/>
      <c r="P1471" s="2161">
        <f>'Part VIII-Threshold Criteria'!P377</f>
        <v>0</v>
      </c>
      <c r="Q1471" s="2161">
        <f>'Part VIII-Threshold Criteria'!Q377</f>
        <v>0</v>
      </c>
    </row>
    <row r="1472" spans="1:17">
      <c r="A1472" s="2158"/>
      <c r="B1472" s="555" t="s">
        <v>1561</v>
      </c>
      <c r="C1472" s="555" t="s">
        <v>3962</v>
      </c>
      <c r="D1472" s="1854"/>
      <c r="E1472" s="555"/>
      <c r="F1472" s="2190">
        <f>'Part VIII-Threshold Criteria'!F378</f>
        <v>764793</v>
      </c>
      <c r="G1472" s="2190">
        <f>'Part VIII-Threshold Criteria'!G378</f>
        <v>0</v>
      </c>
      <c r="H1472" s="555" t="s">
        <v>3963</v>
      </c>
      <c r="I1472" s="555"/>
      <c r="J1472" s="2117" t="str">
        <f>IF(F1472&gt;'DCA Underwriting Assumptions'!$Q$129, "Request exceeds DCA per project maximum for set aside!!!","")</f>
        <v>Request exceeds DCA per project maximum for set aside!!!</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3965</v>
      </c>
      <c r="D1473" s="1854"/>
      <c r="E1473" s="555"/>
      <c r="F1473" s="555"/>
      <c r="G1473" s="555"/>
      <c r="H1473" s="555" t="s">
        <v>3619</v>
      </c>
      <c r="I1473" s="555"/>
      <c r="J1473" s="2190">
        <f>'Part VIII-Threshold Criteria'!J379</f>
        <v>0</v>
      </c>
      <c r="K1473" s="2190">
        <f>'Part VIII-Threshold Criteria'!K379</f>
        <v>0</v>
      </c>
      <c r="L1473" s="555" t="s">
        <v>3966</v>
      </c>
      <c r="M1473" s="2190">
        <f>'Part VIII-Threshold Criteria'!M379</f>
        <v>0</v>
      </c>
      <c r="N1473" s="2190">
        <f>'Part VIII-Threshold Criteria'!N379</f>
        <v>0</v>
      </c>
      <c r="O1473" s="1854"/>
      <c r="P1473" s="1854"/>
      <c r="Q1473" s="1854"/>
    </row>
    <row r="1474" spans="1:17">
      <c r="A1474" s="1854"/>
      <c r="B1474" s="555" t="s">
        <v>99</v>
      </c>
      <c r="C1474" s="555" t="s">
        <v>3967</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3968</v>
      </c>
      <c r="C1476" s="1854"/>
      <c r="D1476" s="2090"/>
      <c r="E1476" s="2090"/>
      <c r="F1476" s="2090"/>
      <c r="G1476" s="2090"/>
      <c r="H1476" s="2090"/>
      <c r="I1476" s="1854"/>
      <c r="J1476" s="555" t="s">
        <v>3973</v>
      </c>
      <c r="K1476" s="555"/>
      <c r="L1476" s="555"/>
      <c r="M1476" s="555"/>
      <c r="N1476" s="2090" t="s">
        <v>3970</v>
      </c>
      <c r="O1476" s="2090"/>
      <c r="P1476" s="2090"/>
      <c r="Q1476" s="2090"/>
    </row>
    <row r="1477" spans="1:17">
      <c r="A1477" s="1854"/>
      <c r="B1477" s="555" t="s">
        <v>1750</v>
      </c>
      <c r="C1477" s="2064" t="s">
        <v>3969</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3972</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3974</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3785</v>
      </c>
      <c r="D1480" s="2065"/>
      <c r="E1480" s="2065"/>
      <c r="F1480" s="2065"/>
      <c r="G1480" s="2065"/>
      <c r="H1480" s="2064"/>
      <c r="I1480" s="2118"/>
      <c r="J1480" s="2118"/>
      <c r="K1480" s="2118"/>
      <c r="L1480" s="2035"/>
      <c r="M1480" s="2035"/>
      <c r="N1480" s="2035"/>
      <c r="O1480" s="2035"/>
      <c r="P1480" s="2035"/>
      <c r="Q1480" s="2035"/>
    </row>
    <row r="1481" spans="1:17" ht="146.25">
      <c r="A1481" s="2123" t="str">
        <f>'Part VIII-Threshold Criteria'!A387</f>
        <v>The proposed project is not applying for the rural HOME preservation setaside, therefore section XXII has been intentionally left blank.</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4165</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f>'Part VIII-Threshold Criteria'!E393</f>
        <v>0</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3497</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2131</v>
      </c>
      <c r="B1490" s="1339" t="s">
        <v>3728</v>
      </c>
      <c r="G1490" s="2057"/>
      <c r="H1490" s="2057"/>
      <c r="I1490" s="2057"/>
      <c r="J1490" s="2064" t="s">
        <v>3729</v>
      </c>
      <c r="L1490" s="2057"/>
      <c r="M1490" s="2193">
        <f>'Part III-Sources of Funds'!E1105</f>
        <v>0</v>
      </c>
      <c r="N1490" s="2193"/>
      <c r="O1490" s="2160" t="s">
        <v>2131</v>
      </c>
      <c r="P1490" s="2161">
        <f>'Part VIII-Threshold Criteria'!P396</f>
        <v>0</v>
      </c>
      <c r="Q1490" s="2161">
        <f>'Part VIII-Threshold Criteria'!Q396</f>
        <v>0</v>
      </c>
    </row>
    <row r="1491" spans="1:17">
      <c r="B1491" s="2065" t="s">
        <v>3785</v>
      </c>
      <c r="D1491" s="2065"/>
      <c r="E1491" s="2065"/>
      <c r="F1491" s="2065"/>
      <c r="G1491" s="2065"/>
      <c r="H1491" s="2064"/>
      <c r="I1491" s="2118"/>
      <c r="J1491" s="2118"/>
      <c r="K1491" s="2118"/>
      <c r="L1491" s="2035"/>
      <c r="M1491" s="2035"/>
      <c r="N1491" s="2035"/>
      <c r="O1491" s="2035"/>
      <c r="P1491" s="2035"/>
      <c r="Q1491" s="2035"/>
    </row>
    <row r="1492" spans="1:17" ht="135">
      <c r="A1492" s="2123" t="str">
        <f>'Part VIII-Threshold Criteria'!A398</f>
        <v>The proposed project is not applying for the CHDO setaside, therefore section XXIII has been intentionally left blank.</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4166</v>
      </c>
      <c r="B1496" s="1852" t="s">
        <v>2685</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f>'Part VIII-Threshold Criteria'!P403</f>
        <v>0</v>
      </c>
      <c r="Q1497" s="2161">
        <f>'Part VIII-Threshold Criteria'!Q403</f>
        <v>0</v>
      </c>
    </row>
    <row r="1498" spans="1:17">
      <c r="A1498" s="2158" t="s">
        <v>2001</v>
      </c>
      <c r="B1498" s="555" t="s">
        <v>3609</v>
      </c>
      <c r="D1498" s="2123"/>
      <c r="E1498" s="2123"/>
      <c r="O1498" s="2160" t="s">
        <v>2001</v>
      </c>
      <c r="P1498" s="2161">
        <f>'Part VIII-Threshold Criteria'!P404</f>
        <v>0</v>
      </c>
      <c r="Q1498" s="2161">
        <f>'Part VIII-Threshold Criteria'!Q404</f>
        <v>0</v>
      </c>
    </row>
    <row r="1499" spans="1:17">
      <c r="A1499" s="2158" t="s">
        <v>757</v>
      </c>
      <c r="B1499" s="555" t="s">
        <v>4130</v>
      </c>
      <c r="D1499" s="2123"/>
      <c r="E1499" s="2123"/>
      <c r="O1499" s="2160" t="s">
        <v>757</v>
      </c>
      <c r="P1499" s="2161">
        <f>'Part VIII-Threshold Criteria'!P405</f>
        <v>0</v>
      </c>
      <c r="Q1499" s="2161">
        <f>'Part VIII-Threshold Criteria'!Q405</f>
        <v>0</v>
      </c>
    </row>
    <row r="1500" spans="1:17">
      <c r="A1500" s="2158" t="s">
        <v>2131</v>
      </c>
      <c r="B1500" s="555" t="s">
        <v>3610</v>
      </c>
      <c r="E1500" s="2144"/>
      <c r="O1500" s="2160" t="s">
        <v>2131</v>
      </c>
      <c r="P1500" s="2161">
        <f>'Part VIII-Threshold Criteria'!P406</f>
        <v>0</v>
      </c>
      <c r="Q1500" s="2161">
        <f>'Part VIII-Threshold Criteria'!Q406</f>
        <v>0</v>
      </c>
    </row>
    <row r="1501" spans="1:17">
      <c r="A1501" s="2158" t="s">
        <v>1748</v>
      </c>
      <c r="B1501" s="555" t="s">
        <v>2095</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f>'Part VIII-Threshold Criteria'!P407</f>
        <v>0</v>
      </c>
      <c r="Q1501" s="2161">
        <f>'Part VIII-Threshold Criteria'!Q407</f>
        <v>0</v>
      </c>
    </row>
    <row r="1502" spans="1:17">
      <c r="B1502" s="2065" t="s">
        <v>3785</v>
      </c>
      <c r="D1502" s="2065"/>
      <c r="E1502" s="2065"/>
      <c r="F1502" s="2065"/>
      <c r="G1502" s="2065"/>
      <c r="H1502" s="2064"/>
      <c r="I1502" s="2118"/>
      <c r="J1502" s="2118"/>
      <c r="K1502" s="2118"/>
      <c r="L1502" s="2035"/>
      <c r="M1502" s="2035"/>
      <c r="N1502" s="2035"/>
      <c r="O1502" s="2035"/>
      <c r="P1502" s="2035"/>
      <c r="Q1502" s="2035"/>
    </row>
    <row r="1503" spans="1:17" ht="213.75">
      <c r="A1503" s="2123" t="str">
        <f>'Part VIII-Threshold Criteria'!A409</f>
        <v>The proposed project does not involve any elements noted above which would require legal opinions. Therefore section XXIV has been intentionally left blank.</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4167</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No</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1458</v>
      </c>
      <c r="P1509" s="2161" t="str">
        <f>'Part VIII-Threshold Criteria'!P415</f>
        <v>No</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3498</v>
      </c>
      <c r="E1511" s="555"/>
      <c r="F1511" s="555"/>
      <c r="G1511" s="555"/>
      <c r="H1511" s="555"/>
      <c r="I1511" s="555"/>
      <c r="J1511" s="555"/>
      <c r="K1511" s="555"/>
      <c r="L1511" s="555"/>
      <c r="M1511" s="555"/>
      <c r="N1511" s="1854"/>
      <c r="O1511" s="2160" t="s">
        <v>1751</v>
      </c>
      <c r="P1511" s="2161">
        <f>'Part VIII-Threshold Criteria'!P417</f>
        <v>0</v>
      </c>
      <c r="Q1511" s="2161">
        <f>'Part VIII-Threshold Criteria'!Q417</f>
        <v>0</v>
      </c>
    </row>
    <row r="1512" spans="1:17">
      <c r="A1512" s="2158"/>
      <c r="B1512" s="555" t="s">
        <v>3596</v>
      </c>
      <c r="C1512" s="555" t="s">
        <v>3597</v>
      </c>
      <c r="E1512" s="555"/>
      <c r="F1512" s="555"/>
      <c r="G1512" s="555"/>
      <c r="H1512" s="555"/>
      <c r="I1512" s="555"/>
      <c r="J1512" s="555"/>
      <c r="K1512" s="555"/>
      <c r="L1512" s="555"/>
      <c r="M1512" s="555"/>
      <c r="N1512" s="1854"/>
      <c r="O1512" s="2160" t="s">
        <v>1752</v>
      </c>
      <c r="P1512" s="2161">
        <f>'Part VIII-Threshold Criteria'!P418</f>
        <v>0</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f>'Part VIII-Threshold Criteria'!P419</f>
        <v>0</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0</v>
      </c>
      <c r="O1515" s="1856">
        <f>'Part VIII-Threshold Criteria'!O421</f>
        <v>0</v>
      </c>
    </row>
    <row r="1516" spans="1:17">
      <c r="A1516" s="2158"/>
      <c r="B1516" s="555" t="s">
        <v>2219</v>
      </c>
      <c r="C1516" s="555"/>
      <c r="E1516" s="1854"/>
      <c r="F1516" s="2064"/>
      <c r="G1516" s="2035">
        <f>'Part VIII-Threshold Criteria'!G422</f>
        <v>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0</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f>'Part VIII-Threshold Criteria'!G425</f>
        <v>0</v>
      </c>
      <c r="H1519" s="2161">
        <f>'Part VIII-Threshold Criteria'!H425</f>
        <v>0</v>
      </c>
      <c r="J1519" s="1339" t="s">
        <v>1193</v>
      </c>
      <c r="K1519" s="2064"/>
      <c r="N1519" s="2161">
        <f>'Part VIII-Threshold Criteria'!N425</f>
        <v>0</v>
      </c>
      <c r="O1519" s="2161">
        <f>'Part VIII-Threshold Criteria'!O425</f>
        <v>0</v>
      </c>
    </row>
    <row r="1520" spans="1:17">
      <c r="A1520" s="1854"/>
      <c r="B1520" s="1339" t="s">
        <v>1192</v>
      </c>
      <c r="C1520" s="2064"/>
      <c r="E1520" s="2064"/>
      <c r="F1520" s="2064"/>
      <c r="G1520" s="2161">
        <f>'Part VIII-Threshold Criteria'!G426</f>
        <v>0</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3785</v>
      </c>
      <c r="D1521" s="2065"/>
      <c r="E1521" s="2065"/>
      <c r="F1521" s="2065"/>
      <c r="G1521" s="2065"/>
      <c r="H1521" s="2064"/>
      <c r="I1521" s="2118"/>
      <c r="J1521" s="2118"/>
      <c r="K1521" s="2118"/>
      <c r="P1521" s="2035"/>
      <c r="Q1521" s="2035"/>
    </row>
    <row r="1522" spans="1:17" ht="213.75">
      <c r="A1522" s="2123" t="str">
        <f>'Part VIII-Threshold Criteria'!A428</f>
        <v>The proposed project site is currently vacant and the project will not relocate or displace any current tenants/occupants. Therefore most of section XXV has been intentionally left blank.</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4168</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c r="B1527" s="2117" t="s">
        <v>3975</v>
      </c>
      <c r="C1527" s="1852"/>
      <c r="D1527" s="2117"/>
      <c r="E1527" s="2122"/>
      <c r="F1527" s="2122"/>
      <c r="G1527" s="2122"/>
      <c r="H1527" s="2122"/>
    </row>
    <row r="1528" spans="1:17" ht="12.75" customHeight="1">
      <c r="A1528" s="2156" t="s">
        <v>1999</v>
      </c>
      <c r="B1528" s="2123" t="s">
        <v>3978</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3976</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3977</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3979</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3980</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3981</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3982</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3983</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3984</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3500</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3785</v>
      </c>
      <c r="D1538" s="2065"/>
      <c r="E1538" s="2065"/>
      <c r="F1538" s="2065"/>
      <c r="G1538" s="2065"/>
      <c r="H1538" s="2064"/>
      <c r="I1538" s="2118"/>
      <c r="J1538" s="2118"/>
      <c r="K1538" s="2118"/>
      <c r="L1538" s="2035"/>
      <c r="M1538" s="2035"/>
      <c r="N1538" s="2035"/>
      <c r="O1538" s="2035"/>
      <c r="P1538" s="2035"/>
      <c r="Q1538" s="2035"/>
    </row>
    <row r="1539" spans="1:17" ht="123.75">
      <c r="A1539" s="2123" t="str">
        <f>'Part VIII-Threshold Criteria'!A445</f>
        <v>The applicant agrees to adhere to all DCA requirements for Affirmatively Furthering Fair Housing.</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4169</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3785</v>
      </c>
      <c r="D1544" s="2065"/>
      <c r="E1544" s="2065"/>
      <c r="F1544" s="2065"/>
      <c r="G1544" s="2065"/>
      <c r="H1544" s="2064"/>
      <c r="I1544" s="2118"/>
      <c r="J1544" s="2118"/>
      <c r="K1544" s="2118"/>
      <c r="L1544" s="2035"/>
      <c r="M1544" s="2035"/>
      <c r="N1544" s="2035"/>
      <c r="O1544" s="2035"/>
      <c r="P1544" s="2035"/>
      <c r="Q1544" s="2035"/>
    </row>
    <row r="1545" spans="1:17" ht="409.5">
      <c r="A1545" s="2123" t="str">
        <f>'Part VIII-Threshold Criteria'!A451</f>
        <v>The proposed project represents an excellent utilization of DCA resources. All underwriting is within DCA quidelines, and the project does not require any of DCA's limited resources (9% credits, HOME funds, etc.). This project will bring affordable rental units to an underserved area for 15-years during the compliance period, then will assist low-income tenants with beginning homeownership as they are able after this period.</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McIntosh Woods,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4621</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4.25">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4.25">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75">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2802</v>
      </c>
      <c r="C1562" s="1852"/>
      <c r="D1562" s="1852"/>
      <c r="E1562" s="1852"/>
      <c r="F1562" s="2118"/>
      <c r="G1562" s="1854"/>
      <c r="H1562" s="2089" t="s">
        <v>4622</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3677</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5">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734</v>
      </c>
      <c r="C1566" s="1854"/>
      <c r="D1566" s="1857"/>
      <c r="E1566" s="1857"/>
      <c r="F1566" s="2118"/>
      <c r="G1566" s="1854"/>
      <c r="H1566" s="1875" t="s">
        <v>4623</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0.25">
      <c r="A1567" s="2089"/>
      <c r="B1567" s="1854"/>
      <c r="C1567" s="1857" t="s">
        <v>4200</v>
      </c>
      <c r="D1567" s="555"/>
      <c r="E1567" s="555"/>
      <c r="F1567" s="555"/>
      <c r="G1567" s="2089"/>
      <c r="H1567" s="1875" t="s">
        <v>4623</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3878</v>
      </c>
      <c r="B1568" s="2053"/>
      <c r="C1568" s="2053"/>
      <c r="D1568" s="2053"/>
      <c r="E1568" s="2053"/>
      <c r="F1568" s="2118" t="s">
        <v>4203</v>
      </c>
      <c r="G1568" s="1854"/>
      <c r="H1568" s="1854"/>
      <c r="I1568" s="1854"/>
      <c r="J1568" s="2118" t="s">
        <v>4203</v>
      </c>
      <c r="K1568" s="2118"/>
      <c r="L1568" s="1854"/>
      <c r="M1568" s="1854"/>
      <c r="N1568" s="1854"/>
      <c r="O1568" s="555" t="s">
        <v>4203</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3611</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0.25">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0.25">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25">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0.25">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3612</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25">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25">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3613</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25">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25">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3614</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25">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25">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3615</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4624</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25">
      <c r="A1583" s="1875" t="s">
        <v>4204</v>
      </c>
      <c r="B1583" s="555" t="s">
        <v>4205</v>
      </c>
      <c r="C1583" s="555"/>
      <c r="D1583" s="555"/>
      <c r="E1583" s="1964" t="s">
        <v>4234</v>
      </c>
      <c r="F1583" s="555" t="s">
        <v>4233</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25">
      <c r="A1584" s="2213" t="s">
        <v>750</v>
      </c>
      <c r="B1584" s="1341" t="s">
        <v>4206</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4207</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4208</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4209</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4210</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3824</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4211</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4524</v>
      </c>
      <c r="B1591" s="1341" t="s">
        <v>4525</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4157</v>
      </c>
      <c r="B1592" s="1341" t="s">
        <v>4212</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4158</v>
      </c>
      <c r="B1593" s="1341" t="s">
        <v>4213</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4156</v>
      </c>
      <c r="B1594" s="1341" t="s">
        <v>4214</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4159</v>
      </c>
      <c r="B1595" s="1341" t="s">
        <v>4215</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5">
      <c r="A1597" s="2200" t="s">
        <v>748</v>
      </c>
      <c r="B1597" s="2201" t="s">
        <v>3616</v>
      </c>
      <c r="C1597" s="2216"/>
      <c r="D1597" s="2216"/>
      <c r="E1597" s="555"/>
      <c r="F1597" s="2216"/>
      <c r="G1597" s="2117"/>
      <c r="H1597" s="555"/>
      <c r="I1597" s="2217" t="s">
        <v>3514</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3617</v>
      </c>
      <c r="I1599" s="2008"/>
      <c r="J1599" s="2220">
        <f>'Part VI-Revenues &amp; Expenses'!$O$60</f>
        <v>96</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3618</v>
      </c>
      <c r="C1600" s="2008"/>
      <c r="D1600" s="2008"/>
      <c r="E1600" s="2008"/>
      <c r="F1600" s="2008"/>
      <c r="G1600" s="2189"/>
      <c r="H1600" s="2223" t="s">
        <v>3619</v>
      </c>
      <c r="I1600" s="2223" t="s">
        <v>3620</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3746</v>
      </c>
      <c r="H1601" s="2090"/>
      <c r="I1601" s="2090"/>
      <c r="J1601" s="2090"/>
      <c r="K1601" s="1982" t="s">
        <v>3619</v>
      </c>
      <c r="L1601" s="1982" t="s">
        <v>3620</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5">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5">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4625</v>
      </c>
      <c r="C1605" s="2229"/>
      <c r="D1605" s="2229"/>
      <c r="E1605" s="2178"/>
      <c r="F1605" s="2229"/>
      <c r="G1605" s="2229"/>
      <c r="H1605" s="2090" t="s">
        <v>3681</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5">
      <c r="A1606" s="2226"/>
      <c r="B1606" s="2227" t="s">
        <v>2002</v>
      </c>
      <c r="C1606" s="2228">
        <v>0.3</v>
      </c>
      <c r="D1606" s="2144" t="s">
        <v>3680</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5">
      <c r="A1607" s="2161"/>
      <c r="B1607" s="2227" t="s">
        <v>2004</v>
      </c>
      <c r="C1607" s="2187" t="s">
        <v>3999</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5">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75">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4152</v>
      </c>
      <c r="C1611" s="2199"/>
      <c r="D1611" s="2235"/>
      <c r="E1611" s="2199"/>
      <c r="F1611" s="2199"/>
      <c r="G1611" s="2199"/>
      <c r="H1611" s="2199"/>
      <c r="I1611" s="2008" t="s">
        <v>3801</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5">
      <c r="A1613" s="2048"/>
      <c r="B1613" s="1339" t="s">
        <v>3890</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4626</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6.5">
      <c r="A1615" s="2048" t="s">
        <v>2001</v>
      </c>
      <c r="B1615" s="2043" t="s">
        <v>3879</v>
      </c>
      <c r="C1615" s="2199"/>
      <c r="D1615" s="2235"/>
      <c r="E1615" s="2199"/>
      <c r="F1615" s="2240"/>
      <c r="G1615" s="1875" t="s">
        <v>4031</v>
      </c>
      <c r="H1615" s="2199"/>
      <c r="I1615" s="2053"/>
      <c r="J1615" s="2053"/>
      <c r="K1615" s="2053"/>
      <c r="L1615" s="2053"/>
      <c r="M1615" s="2118" t="s">
        <v>1250</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5">
      <c r="A1616" s="1854"/>
      <c r="B1616" s="2217" t="s">
        <v>3786</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75">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5">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75">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4627</v>
      </c>
      <c r="S1621" s="2242"/>
      <c r="T1621" s="2242"/>
      <c r="U1621" s="2242"/>
      <c r="V1621" s="2199"/>
      <c r="W1621" s="2199"/>
      <c r="X1621" s="2199"/>
      <c r="Y1621" s="2199"/>
      <c r="Z1621" s="2199"/>
    </row>
    <row r="1622" spans="1:26" ht="15">
      <c r="A1622" s="2200"/>
      <c r="B1622" s="1857" t="s">
        <v>4002</v>
      </c>
      <c r="C1622" s="2199"/>
      <c r="D1622" s="2235"/>
      <c r="E1622" s="2199"/>
      <c r="F1622" s="2199"/>
      <c r="G1622" s="2199"/>
      <c r="H1622" s="2043" t="s">
        <v>2812</v>
      </c>
      <c r="I1622" s="2071"/>
      <c r="J1622" s="2043" t="str">
        <f>'Part I-Project Information'!$H$100</f>
        <v>N/A - 4% Bond</v>
      </c>
      <c r="K1622" s="1857"/>
      <c r="L1622" s="2199"/>
      <c r="M1622" s="2036"/>
      <c r="N1622" s="2160"/>
      <c r="O1622" s="2243" t="s">
        <v>3622</v>
      </c>
      <c r="P1622" s="2243" t="s">
        <v>3623</v>
      </c>
      <c r="Q1622" s="2036"/>
      <c r="R1622" s="2242"/>
      <c r="S1622" s="2242"/>
      <c r="T1622" s="2242"/>
      <c r="U1622" s="2242"/>
      <c r="V1622" s="2199"/>
      <c r="W1622" s="2199"/>
      <c r="X1622" s="2199"/>
      <c r="Y1622" s="2199"/>
      <c r="Z1622" s="2199"/>
    </row>
    <row r="1623" spans="1:26" ht="15">
      <c r="A1623" s="2200"/>
      <c r="B1623" s="2244" t="s">
        <v>2002</v>
      </c>
      <c r="C1623" s="1339" t="s">
        <v>3621</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5">
      <c r="A1624" s="2200"/>
      <c r="B1624" s="2244" t="s">
        <v>2004</v>
      </c>
      <c r="C1624" s="1339" t="s">
        <v>4000</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5">
      <c r="A1625" s="2200"/>
      <c r="B1625" s="2244" t="s">
        <v>2551</v>
      </c>
      <c r="C1625" s="1339" t="s">
        <v>4001</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5">
      <c r="A1627" s="2200"/>
      <c r="B1627" s="1857" t="s">
        <v>4009</v>
      </c>
      <c r="C1627" s="2199"/>
      <c r="D1627" s="2235"/>
      <c r="E1627" s="2199"/>
      <c r="F1627" s="1857" t="s">
        <v>3747</v>
      </c>
      <c r="G1627" s="1857"/>
      <c r="H1627" s="1857"/>
      <c r="I1627" s="1857"/>
      <c r="J1627" s="1857" t="s">
        <v>3748</v>
      </c>
      <c r="K1627" s="1857"/>
      <c r="L1627" s="1857"/>
      <c r="M1627" s="1857"/>
      <c r="N1627" s="2160"/>
      <c r="O1627" s="2009" t="s">
        <v>4628</v>
      </c>
      <c r="P1627" s="2245"/>
      <c r="Q1627" s="2036"/>
      <c r="R1627" s="2242"/>
      <c r="S1627" s="2242"/>
      <c r="T1627" s="2242"/>
      <c r="U1627" s="2242"/>
      <c r="V1627" s="2199"/>
      <c r="W1627" s="2199"/>
      <c r="X1627" s="2199"/>
      <c r="Y1627" s="2199"/>
      <c r="Z1627" s="2199"/>
    </row>
    <row r="1628" spans="1:26" ht="15">
      <c r="A1628" s="2200"/>
      <c r="B1628" s="2199"/>
      <c r="C1628" s="1857" t="s">
        <v>4008</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5">
      <c r="A1629" s="2199"/>
      <c r="B1629" s="2110"/>
      <c r="C1629" s="2199"/>
      <c r="D1629" s="555" t="s">
        <v>4010</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4199</v>
      </c>
      <c r="B1630" s="2110"/>
      <c r="C1630" s="1857" t="s">
        <v>4150</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5">
      <c r="A1631" s="2110"/>
      <c r="B1631" s="2110"/>
      <c r="C1631" s="2199"/>
      <c r="D1631" s="555" t="s">
        <v>4148</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5">
      <c r="A1633" s="2248" t="s">
        <v>2803</v>
      </c>
      <c r="B1633" s="2201"/>
      <c r="C1633" s="2199"/>
      <c r="D1633" s="2235"/>
      <c r="E1633" s="2199"/>
      <c r="F1633" s="2249" t="s">
        <v>4629</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3779</v>
      </c>
      <c r="C1634" s="2199"/>
      <c r="D1634" s="2235"/>
      <c r="E1634" s="2199"/>
      <c r="F1634" s="2217" t="s">
        <v>4630</v>
      </c>
      <c r="G1634" s="2199"/>
      <c r="H1634" s="2199"/>
      <c r="I1634" s="2250" t="s">
        <v>4631</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4632</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1365</v>
      </c>
      <c r="B1636" s="2252" t="s">
        <v>2004</v>
      </c>
      <c r="C1636" s="2144" t="s">
        <v>4633</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3780</v>
      </c>
      <c r="D1637" s="2144"/>
      <c r="E1637" s="2144"/>
      <c r="F1637" s="2144"/>
      <c r="G1637" s="2160" t="s">
        <v>4147</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5">
      <c r="A1638" s="2159" t="s">
        <v>2001</v>
      </c>
      <c r="B1638" s="2254" t="s">
        <v>3781</v>
      </c>
      <c r="C1638" s="1670"/>
      <c r="D1638" s="1670"/>
      <c r="E1638" s="1670"/>
      <c r="F1638" s="2255" t="s">
        <v>4634</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4635</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1365</v>
      </c>
      <c r="B1640" s="2252" t="s">
        <v>2004</v>
      </c>
      <c r="C1640" s="2090" t="s">
        <v>4636</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1365</v>
      </c>
      <c r="B1641" s="2252" t="s">
        <v>2551</v>
      </c>
      <c r="C1641" s="2123" t="s">
        <v>4637</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5">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5">
      <c r="A1643" s="2048"/>
      <c r="B1643" s="2252" t="s">
        <v>1236</v>
      </c>
      <c r="C1643" s="2043" t="s">
        <v>4638</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5">
      <c r="A1644" s="555" t="s">
        <v>4639</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5">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75">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5">
      <c r="N1647" s="1860"/>
      <c r="O1647" s="1862"/>
      <c r="P1647" s="1862"/>
      <c r="R1647" s="2199"/>
    </row>
    <row r="1648" spans="1:26" ht="15">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4640</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ht="13.5">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5">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5">
      <c r="A1652" s="2199"/>
      <c r="B1652" s="2043" t="s">
        <v>4012</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ht="13.5">
      <c r="A1653" s="2262"/>
      <c r="B1653" s="2262"/>
      <c r="C1653" s="2074" t="s">
        <v>4017</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ht="13.5">
      <c r="A1654" s="2262"/>
      <c r="B1654" s="2262"/>
      <c r="C1654" s="2074" t="s">
        <v>4018</v>
      </c>
      <c r="D1654" s="2262"/>
      <c r="E1654" s="2262"/>
      <c r="F1654" s="2262"/>
      <c r="G1654" s="2262"/>
      <c r="H1654" s="2262"/>
      <c r="I1654" s="2198">
        <f>'Part IX A-Scoring Criteria'!I100</f>
        <v>0</v>
      </c>
      <c r="J1654" s="2198">
        <f>'Part IX A-Scoring Criteria'!J100</f>
        <v>0</v>
      </c>
      <c r="K1654" s="2068"/>
      <c r="L1654" s="2262"/>
      <c r="M1654" s="2262"/>
      <c r="N1654" s="2262"/>
      <c r="O1654" s="2262" t="s">
        <v>4026</v>
      </c>
      <c r="P1654" s="2262"/>
      <c r="Q1654" s="2262"/>
      <c r="R1654" s="2262"/>
      <c r="S1654" s="2262"/>
      <c r="T1654" s="2262"/>
      <c r="U1654" s="2262"/>
      <c r="V1654" s="2262"/>
      <c r="W1654" s="2262"/>
      <c r="X1654" s="2262"/>
      <c r="Y1654" s="2262"/>
      <c r="Z1654" s="2262"/>
    </row>
    <row r="1655" spans="1:26" ht="1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1999</v>
      </c>
      <c r="B1656" s="2043" t="s">
        <v>4641</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5" customHeight="1">
      <c r="A1658" s="2048" t="s">
        <v>757</v>
      </c>
      <c r="B1658" s="2043" t="s">
        <v>4642</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2724</v>
      </c>
    </row>
    <row r="1659" spans="1:26" ht="13.5" customHeight="1">
      <c r="A1659" s="2048" t="s">
        <v>2131</v>
      </c>
      <c r="B1659" s="2043" t="s">
        <v>3810</v>
      </c>
      <c r="D1659" s="1854"/>
      <c r="E1659" s="1854"/>
      <c r="F1659" s="555" t="s">
        <v>4028</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5">
      <c r="A1660" s="1854"/>
      <c r="B1660" s="2217" t="s">
        <v>3786</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75">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5">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75">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5">
      <c r="A1665" s="2200" t="s">
        <v>535</v>
      </c>
      <c r="B1665" s="2201" t="s">
        <v>4029</v>
      </c>
      <c r="C1665" s="2199"/>
      <c r="D1665" s="555"/>
      <c r="E1665" s="555"/>
      <c r="F1665" s="2036"/>
      <c r="G1665" s="2036"/>
      <c r="H1665" s="2036"/>
      <c r="I1665" s="2249" t="s">
        <v>4629</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5">
      <c r="A1667" s="2048" t="s">
        <v>1999</v>
      </c>
      <c r="B1667" s="2043" t="s">
        <v>4030</v>
      </c>
      <c r="C1667" s="2216"/>
      <c r="D1667" s="2235"/>
      <c r="E1667" s="1339" t="s">
        <v>4154</v>
      </c>
      <c r="F1667" s="2199"/>
      <c r="G1667" s="2152"/>
      <c r="H1667" s="2199"/>
      <c r="I1667" s="2160" t="s">
        <v>4147</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8.75">
      <c r="A1669" s="2048" t="s">
        <v>2001</v>
      </c>
      <c r="B1669" s="2043" t="s">
        <v>4032</v>
      </c>
      <c r="C1669" s="2216"/>
      <c r="D1669" s="2264"/>
      <c r="E1669" s="1912" t="s">
        <v>4263</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8.75">
      <c r="A1670" s="2158"/>
      <c r="B1670" s="2267" t="s">
        <v>4184</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2.5">
      <c r="A1671" s="2158"/>
      <c r="B1671" s="555"/>
      <c r="C1671" s="2268" t="s">
        <v>4185</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8.75">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8.75">
      <c r="A1673" s="2048"/>
      <c r="B1673" s="2269" t="s">
        <v>2002</v>
      </c>
      <c r="C1673" s="2043" t="s">
        <v>4033</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8.75">
      <c r="A1674" s="2048"/>
      <c r="B1674" s="2269"/>
      <c r="C1674" s="555" t="s">
        <v>4034</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8.75">
      <c r="A1675" s="2048"/>
      <c r="B1675" s="2269"/>
      <c r="C1675" s="555" t="s">
        <v>4643</v>
      </c>
      <c r="D1675" s="1875" t="s">
        <v>4155</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8.75">
      <c r="A1676" s="2048"/>
      <c r="B1676" s="555"/>
      <c r="C1676" s="555" t="s">
        <v>4037</v>
      </c>
      <c r="D1676" s="2216"/>
      <c r="E1676" s="555"/>
      <c r="F1676" s="555"/>
      <c r="G1676" s="555"/>
      <c r="H1676" s="2216"/>
      <c r="I1676" s="2216"/>
      <c r="J1676" s="2216"/>
      <c r="K1676" s="2216"/>
      <c r="L1676" s="2216"/>
      <c r="M1676" s="1853"/>
      <c r="N1676" s="2167" t="s">
        <v>3815</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8.75">
      <c r="A1677" s="2158"/>
      <c r="B1677" s="2270"/>
      <c r="C1677" s="555" t="s">
        <v>4038</v>
      </c>
      <c r="D1677" s="555"/>
      <c r="E1677" s="555"/>
      <c r="F1677" s="555"/>
      <c r="G1677" s="555"/>
      <c r="H1677" s="555"/>
      <c r="I1677" s="555"/>
      <c r="J1677" s="555"/>
      <c r="K1677" s="555"/>
      <c r="L1677" s="555"/>
      <c r="M1677" s="2118"/>
      <c r="N1677" s="2160" t="s">
        <v>3816</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4182</v>
      </c>
      <c r="D1678" s="1339"/>
      <c r="E1678" s="555"/>
      <c r="F1678" s="555"/>
      <c r="G1678" s="555"/>
      <c r="H1678" s="1339"/>
      <c r="I1678" s="1339"/>
      <c r="J1678" s="1339"/>
      <c r="K1678" s="1339"/>
      <c r="L1678" s="2178" t="s">
        <v>3852</v>
      </c>
      <c r="M1678" s="2178"/>
      <c r="N1678" s="2178"/>
      <c r="O1678" s="2178" t="s">
        <v>3851</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5">
      <c r="A1683" s="2216"/>
      <c r="B1683" s="2269"/>
      <c r="C1683" s="555" t="s">
        <v>4644</v>
      </c>
      <c r="D1683" s="555" t="s">
        <v>4039</v>
      </c>
      <c r="E1683" s="555"/>
      <c r="F1683" s="555"/>
      <c r="G1683" s="555"/>
      <c r="H1683" s="2216"/>
      <c r="I1683" s="2216"/>
      <c r="J1683" s="2216"/>
      <c r="K1683" s="2216"/>
      <c r="L1683" s="2216"/>
      <c r="M1683" s="2216"/>
      <c r="N1683" s="2167" t="s">
        <v>3815</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5">
      <c r="A1684" s="2048"/>
      <c r="B1684" s="555"/>
      <c r="C1684" s="2216"/>
      <c r="D1684" s="555" t="s">
        <v>4040</v>
      </c>
      <c r="E1684" s="555"/>
      <c r="F1684" s="555"/>
      <c r="G1684" s="555"/>
      <c r="H1684" s="2216"/>
      <c r="I1684" s="2216"/>
      <c r="J1684" s="2216"/>
      <c r="K1684" s="2216"/>
      <c r="L1684" s="2216"/>
      <c r="M1684" s="1853"/>
      <c r="N1684" s="2160" t="s">
        <v>3816</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4187</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4216</v>
      </c>
      <c r="D1686" s="2158"/>
      <c r="E1686" s="2158"/>
      <c r="F1686" s="2158"/>
      <c r="G1686" s="2161">
        <f>'Part IX A-Scoring Criteria'!G132</f>
        <v>0</v>
      </c>
      <c r="H1686" s="2161">
        <f>'Part IX A-Scoring Criteria'!H132</f>
        <v>0</v>
      </c>
      <c r="I1686" s="2064" t="s">
        <v>4219</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4217</v>
      </c>
      <c r="D1687" s="2158"/>
      <c r="E1687" s="2158"/>
      <c r="F1687" s="2158"/>
      <c r="G1687" s="2161">
        <f>'Part IX A-Scoring Criteria'!G133</f>
        <v>0</v>
      </c>
      <c r="H1687" s="2161">
        <f>'Part IX A-Scoring Criteria'!H133</f>
        <v>0</v>
      </c>
      <c r="I1687" s="555" t="s">
        <v>4220</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4218</v>
      </c>
      <c r="D1688" s="2158"/>
      <c r="E1688" s="2158"/>
      <c r="F1688" s="2158"/>
      <c r="G1688" s="2161">
        <f>'Part IX A-Scoring Criteria'!G134</f>
        <v>0</v>
      </c>
      <c r="H1688" s="2161">
        <f>'Part IX A-Scoring Criteria'!H134</f>
        <v>0</v>
      </c>
      <c r="I1688" s="2064" t="s">
        <v>4221</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8.75">
      <c r="A1691" s="2159"/>
      <c r="B1691" s="2273" t="s">
        <v>2004</v>
      </c>
      <c r="C1691" s="2254" t="s">
        <v>3853</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8.75">
      <c r="A1692" s="2158"/>
      <c r="B1692" s="555"/>
      <c r="C1692" s="555" t="s">
        <v>4041</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8.75">
      <c r="A1693" s="2158"/>
      <c r="B1693" s="2269"/>
      <c r="C1693" s="555" t="s">
        <v>4645</v>
      </c>
      <c r="D1693" s="2183"/>
      <c r="E1693" s="2183"/>
      <c r="F1693" s="2183"/>
      <c r="G1693" s="2064" t="s">
        <v>4043</v>
      </c>
      <c r="H1693" s="555"/>
      <c r="I1693" s="2183"/>
      <c r="J1693" s="2183"/>
      <c r="K1693" s="2183"/>
      <c r="L1693" s="2183"/>
      <c r="M1693" s="2160" t="s">
        <v>2451</v>
      </c>
      <c r="N1693" s="2160" t="s">
        <v>3815</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8.75">
      <c r="A1694" s="2158"/>
      <c r="B1694" s="2270"/>
      <c r="C1694" s="555"/>
      <c r="D1694" s="2183"/>
      <c r="E1694" s="2183"/>
      <c r="F1694" s="2183"/>
      <c r="G1694" s="2064" t="s">
        <v>4044</v>
      </c>
      <c r="H1694" s="555"/>
      <c r="I1694" s="2183"/>
      <c r="J1694" s="2183"/>
      <c r="K1694" s="2183"/>
      <c r="L1694" s="2183"/>
      <c r="M1694" s="2118"/>
      <c r="N1694" s="2167" t="s">
        <v>3816</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8.75">
      <c r="A1695" s="2160"/>
      <c r="B1695" s="2270"/>
      <c r="C1695" s="555"/>
      <c r="D1695" s="2183"/>
      <c r="E1695" s="2183"/>
      <c r="F1695" s="2183"/>
      <c r="G1695" s="2064" t="s">
        <v>4045</v>
      </c>
      <c r="H1695" s="555"/>
      <c r="I1695" s="2183"/>
      <c r="J1695" s="2183"/>
      <c r="K1695" s="2183"/>
      <c r="L1695" s="2183"/>
      <c r="M1695" s="2118"/>
      <c r="N1695" s="2160" t="s">
        <v>3817</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8.75">
      <c r="A1696" s="2158"/>
      <c r="B1696" s="2270"/>
      <c r="C1696" s="555"/>
      <c r="D1696" s="2183"/>
      <c r="E1696" s="2183"/>
      <c r="F1696" s="2183"/>
      <c r="G1696" s="2064" t="s">
        <v>4046</v>
      </c>
      <c r="H1696" s="555"/>
      <c r="I1696" s="2183"/>
      <c r="J1696" s="2183"/>
      <c r="K1696" s="2183"/>
      <c r="L1696" s="2183"/>
      <c r="M1696" s="2118"/>
      <c r="N1696" s="2160" t="s">
        <v>3819</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4047</v>
      </c>
      <c r="H1697" s="555"/>
      <c r="I1697" s="2183"/>
      <c r="J1697" s="2183"/>
      <c r="K1697" s="2183"/>
      <c r="L1697" s="2183"/>
      <c r="M1697" s="2118"/>
      <c r="N1697" s="2167" t="s">
        <v>3820</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4646</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3868</v>
      </c>
      <c r="D1699" s="1339"/>
      <c r="E1699" s="555"/>
      <c r="F1699" s="555"/>
      <c r="G1699" s="1339" t="s">
        <v>4188</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4224</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75">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5">
      <c r="A1707" s="2200" t="s">
        <v>780</v>
      </c>
      <c r="B1707" s="2201" t="s">
        <v>4011</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5">
      <c r="A1709" s="2048" t="s">
        <v>1999</v>
      </c>
      <c r="B1709" s="1852" t="s">
        <v>4051</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5">
      <c r="A1710" s="2199"/>
      <c r="B1710" s="2064" t="s">
        <v>3862</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4647</v>
      </c>
      <c r="C1712" s="2123"/>
      <c r="D1712" s="2123"/>
      <c r="E1712" s="555" t="s">
        <v>3859</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5">
      <c r="A1713" s="2048"/>
      <c r="B1713" s="2123"/>
      <c r="C1713" s="2123"/>
      <c r="D1713" s="2123"/>
      <c r="E1713" s="2064" t="s">
        <v>3861</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5">
      <c r="A1714" s="1854"/>
      <c r="B1714" s="2199"/>
      <c r="C1714" s="2122"/>
      <c r="D1714" s="2122"/>
      <c r="E1714" s="555" t="s">
        <v>2924</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3857</v>
      </c>
      <c r="I1715" s="2090" t="s">
        <v>3903</v>
      </c>
      <c r="J1715" s="2090"/>
      <c r="K1715" s="2090"/>
      <c r="L1715" s="2090"/>
      <c r="M1715" s="1929" t="s">
        <v>3856</v>
      </c>
      <c r="N1715" s="1929"/>
      <c r="O1715" s="1929" t="s">
        <v>3860</v>
      </c>
      <c r="P1715" s="1929"/>
      <c r="Q1715" s="2090"/>
      <c r="R1715" s="2199"/>
      <c r="S1715" s="2199"/>
      <c r="T1715" s="2199"/>
      <c r="U1715" s="2199"/>
      <c r="V1715" s="2199"/>
      <c r="W1715" s="2199"/>
      <c r="X1715" s="2199"/>
      <c r="Y1715" s="2199"/>
      <c r="Z1715" s="2199"/>
    </row>
    <row r="1716" spans="1:26" ht="23.25">
      <c r="A1716" s="2048"/>
      <c r="B1716" s="2275" t="s">
        <v>3854</v>
      </c>
      <c r="C1716" s="2057"/>
      <c r="D1716" s="1875" t="s">
        <v>4648</v>
      </c>
      <c r="E1716" s="1875"/>
      <c r="F1716" s="1875"/>
      <c r="G1716" s="2143" t="s">
        <v>3420</v>
      </c>
      <c r="H1716" s="2127"/>
      <c r="I1716" s="2166">
        <v>2014</v>
      </c>
      <c r="J1716" s="2166">
        <v>2015</v>
      </c>
      <c r="K1716" s="2166">
        <v>2016</v>
      </c>
      <c r="L1716" s="2166">
        <v>2017</v>
      </c>
      <c r="M1716" s="1929"/>
      <c r="N1716" s="1929"/>
      <c r="O1716" s="1929"/>
      <c r="P1716" s="1929"/>
      <c r="Q1716" s="2276" t="s">
        <v>3855</v>
      </c>
      <c r="R1716" s="2276"/>
      <c r="S1716" s="2199"/>
      <c r="T1716" s="2199"/>
      <c r="U1716" s="2199"/>
      <c r="V1716" s="2199"/>
      <c r="W1716" s="2199"/>
      <c r="X1716" s="2199"/>
      <c r="Y1716" s="2199"/>
      <c r="Z1716" s="2199"/>
    </row>
    <row r="1717" spans="1:26" ht="15">
      <c r="A1717" s="2160" t="s">
        <v>2451</v>
      </c>
      <c r="B1717" s="2096" t="s">
        <v>4050</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5">
      <c r="A1718" s="2167" t="s">
        <v>2452</v>
      </c>
      <c r="B1718" s="2096" t="s">
        <v>4225</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5">
      <c r="A1719" s="2160" t="s">
        <v>2453</v>
      </c>
      <c r="B1719" s="2096" t="s">
        <v>4048</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5">
      <c r="A1721" s="2160" t="s">
        <v>2454</v>
      </c>
      <c r="B1721" s="2278" t="s">
        <v>4050</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5">
      <c r="A1722" s="2167" t="s">
        <v>2455</v>
      </c>
      <c r="B1722" s="2278" t="s">
        <v>4049</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5">
      <c r="A1723" s="2160" t="s">
        <v>2471</v>
      </c>
      <c r="B1723" s="2278" t="s">
        <v>4048</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5">
      <c r="A1725" s="2048" t="s">
        <v>2001</v>
      </c>
      <c r="B1725" s="1852" t="s">
        <v>4052</v>
      </c>
      <c r="C1725" s="2216"/>
      <c r="D1725" s="2264"/>
      <c r="E1725" s="2264"/>
      <c r="F1725" s="2249" t="s">
        <v>3413</v>
      </c>
      <c r="G1725" s="2216"/>
      <c r="H1725" s="2064" t="s">
        <v>3904</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4228</v>
      </c>
      <c r="F1726" s="2281" t="s">
        <v>3689</v>
      </c>
      <c r="G1726" s="2031" t="s">
        <v>3421</v>
      </c>
      <c r="H1726" s="2031"/>
      <c r="I1726" s="2031"/>
      <c r="J1726" s="2031"/>
      <c r="K1726" s="2031"/>
      <c r="L1726" s="2031"/>
      <c r="M1726" s="2031"/>
      <c r="N1726" s="2031"/>
      <c r="O1726" s="1339"/>
      <c r="P1726" s="2188"/>
      <c r="Q1726" s="1339"/>
      <c r="R1726" s="1339" t="s">
        <v>2851</v>
      </c>
      <c r="S1726" s="1339"/>
      <c r="T1726" s="2178" t="str">
        <f>'Part I-Project Information'!$F$38</f>
        <v>Newnan</v>
      </c>
      <c r="U1726" s="2178"/>
      <c r="V1726" s="2178"/>
      <c r="W1726" s="2178"/>
      <c r="X1726" s="2178"/>
      <c r="Y1726" s="1339"/>
      <c r="Z1726" s="1339"/>
    </row>
    <row r="1727" spans="1:26" ht="12.75" customHeight="1">
      <c r="A1727" s="2158"/>
      <c r="B1727" s="2281" t="s">
        <v>4055</v>
      </c>
      <c r="C1727" s="2281"/>
      <c r="D1727" s="2281"/>
      <c r="E1727" s="2281"/>
      <c r="F1727" s="2281"/>
      <c r="G1727" s="2123" t="s">
        <v>4054</v>
      </c>
      <c r="H1727" s="2123"/>
      <c r="I1727" s="2123"/>
      <c r="J1727" s="2123"/>
      <c r="K1727" s="2123"/>
      <c r="L1727" s="2123"/>
      <c r="M1727" s="2123"/>
      <c r="N1727" s="2123"/>
      <c r="O1727" s="2281" t="s">
        <v>3690</v>
      </c>
      <c r="P1727" s="2281"/>
      <c r="Q1727" s="1339"/>
      <c r="R1727" s="2178" t="s">
        <v>2852</v>
      </c>
      <c r="S1727" s="1339"/>
      <c r="T1727" s="2178" t="str">
        <f>'Part I-Project Information'!$J$39</f>
        <v>Coweta</v>
      </c>
      <c r="U1727" s="2178"/>
      <c r="V1727" s="2178"/>
      <c r="W1727" s="2178"/>
      <c r="X1727" s="2178"/>
      <c r="Y1727" s="1339"/>
      <c r="Z1727" s="1339"/>
    </row>
    <row r="1728" spans="1:26">
      <c r="A1728" s="2158"/>
      <c r="B1728" s="555" t="s">
        <v>3863</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Atlanta-Sandy Springs-Marietta</v>
      </c>
      <c r="U1728" s="2178"/>
      <c r="V1728" s="2178"/>
      <c r="W1728" s="2178"/>
      <c r="X1728" s="2178"/>
      <c r="Y1728" s="1339"/>
      <c r="Z1728" s="1339"/>
    </row>
    <row r="1729" spans="1:26" ht="12.75" customHeight="1">
      <c r="A1729" s="2158"/>
      <c r="B1729" s="2090" t="s">
        <v>4053</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3897</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3898</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3655</v>
      </c>
      <c r="S1731" s="1339"/>
      <c r="T1731" s="2178" t="str">
        <f>'Part I-Project Information'!$K$40</f>
        <v>Urban</v>
      </c>
      <c r="U1731" s="2178"/>
      <c r="V1731" s="2178"/>
      <c r="W1731" s="2178"/>
      <c r="X1731" s="2178"/>
      <c r="Y1731" s="1339"/>
      <c r="Z1731" s="1339"/>
    </row>
    <row r="1732" spans="1:26" ht="13.5">
      <c r="A1732" s="2278"/>
      <c r="B1732" s="2187" t="s">
        <v>3654</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4227</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4056</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3922</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5">
      <c r="A1738" s="1854"/>
      <c r="B1738" s="2217" t="s">
        <v>3786</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75">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5">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75">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5">
      <c r="A1743" s="2200" t="s">
        <v>294</v>
      </c>
      <c r="B1743" s="2201" t="s">
        <v>4062</v>
      </c>
      <c r="C1743" s="2216"/>
      <c r="D1743" s="2217"/>
      <c r="E1743" s="2217"/>
      <c r="F1743" s="2216"/>
      <c r="G1743" s="2216"/>
      <c r="H1743" s="2065" t="s">
        <v>4063</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8.75">
      <c r="A1744" s="2158"/>
      <c r="B1744" s="2187"/>
      <c r="D1744" s="2166"/>
      <c r="E1744" s="2187"/>
      <c r="G1744" s="2290"/>
      <c r="H1744" s="2187"/>
      <c r="I1744" s="2064"/>
      <c r="K1744" s="2064"/>
      <c r="R1744" s="2266"/>
      <c r="S1744" s="2266"/>
    </row>
    <row r="1745" spans="1:26" ht="15">
      <c r="A1745" s="2036"/>
      <c r="B1745" s="2043" t="s">
        <v>4649</v>
      </c>
      <c r="C1745" s="2043"/>
      <c r="D1745" s="2043"/>
      <c r="E1745" s="1875" t="s">
        <v>4238</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5">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4190</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4650</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4067</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4235</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4057</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4058</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4059</v>
      </c>
      <c r="E1756" s="2144"/>
      <c r="F1756" s="2292">
        <f>'Part IX A-Scoring Criteria'!F202</f>
        <v>0</v>
      </c>
      <c r="G1756" s="2292">
        <f>'Part IX A-Scoring Criteria'!G202</f>
        <v>0</v>
      </c>
      <c r="H1756" s="2136"/>
      <c r="I1756" s="2144" t="s">
        <v>4060</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4651</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4191</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4061</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4652</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4653</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3812</v>
      </c>
      <c r="E1764" s="2187" t="str">
        <f>'Part I-Project Information'!$N$39</f>
        <v>Yes</v>
      </c>
      <c r="G1764" s="2187" t="s">
        <v>3601</v>
      </c>
      <c r="I1764" s="2294" t="str">
        <f>'Part I-Project Information'!$O$38</f>
        <v>130771703.05</v>
      </c>
      <c r="J1764" s="2294"/>
      <c r="K1764" s="2064" t="s">
        <v>3397</v>
      </c>
      <c r="M1764" s="2064" t="str">
        <f>'Part IV-A-Uses of Funds'!$H$152</f>
        <v>DDA/QCT</v>
      </c>
    </row>
    <row r="1765" spans="1:26">
      <c r="A1765" s="2158"/>
      <c r="B1765" s="2187"/>
      <c r="D1765" s="2166"/>
      <c r="E1765" s="2187"/>
      <c r="G1765" s="2064"/>
      <c r="K1765" s="2064"/>
      <c r="L1765" s="2064"/>
    </row>
    <row r="1766" spans="1:26">
      <c r="A1766" s="2048" t="s">
        <v>2001</v>
      </c>
      <c r="B1766" s="2043" t="s">
        <v>4064</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8.75">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8.75">
      <c r="A1768" s="2164"/>
      <c r="B1768" s="555" t="s">
        <v>3894</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8.75">
      <c r="A1769" s="2164"/>
      <c r="B1769" s="2187" t="s">
        <v>3895</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3653</v>
      </c>
      <c r="N1769" s="2199"/>
      <c r="O1769" s="2199"/>
      <c r="P1769" s="2199"/>
      <c r="Q1769" s="2199"/>
      <c r="R1769" s="2199"/>
      <c r="S1769" s="2199"/>
      <c r="T1769" s="2199"/>
      <c r="U1769" s="2199"/>
      <c r="V1769" s="2266"/>
      <c r="W1769" s="2266"/>
      <c r="X1769" s="2199"/>
      <c r="Y1769" s="2199"/>
      <c r="Z1769" s="2199"/>
    </row>
    <row r="1770" spans="1:26" ht="18.75">
      <c r="A1770" s="2102"/>
      <c r="B1770" s="2187" t="s">
        <v>4252</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8.75">
      <c r="A1771" s="2102"/>
      <c r="B1771" s="2144" t="s">
        <v>3823</v>
      </c>
      <c r="G1771" s="2144"/>
      <c r="J1771" s="2393">
        <f>'Part IX A-Scoring Criteria'!J217</f>
        <v>0</v>
      </c>
      <c r="K1771" s="2295" t="s">
        <v>3822</v>
      </c>
      <c r="L1771" s="2136"/>
      <c r="N1771" s="1860"/>
      <c r="O1771" s="1862"/>
      <c r="P1771" s="1862"/>
      <c r="V1771" s="2266"/>
      <c r="W1771" s="2266"/>
    </row>
    <row r="1772" spans="1:26" ht="18.75" customHeight="1">
      <c r="A1772" s="2296" t="s">
        <v>4232</v>
      </c>
      <c r="B1772" s="2123" t="s">
        <v>4229</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4230</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4231</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8.75">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8.75">
      <c r="A1776" s="1854"/>
      <c r="B1776" s="2199"/>
      <c r="C1776" s="555" t="s">
        <v>4654</v>
      </c>
      <c r="D1776" s="2122"/>
      <c r="E1776" s="2199"/>
      <c r="F1776" s="2199"/>
      <c r="G1776" s="2297">
        <f>'Part IV-A-Uses of Funds'!$G$132</f>
        <v>20706223.689910028</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5">
      <c r="A1777" s="1854"/>
      <c r="B1777" s="2217" t="s">
        <v>3786</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75">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5">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75">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5">
      <c r="A1782" s="2200" t="s">
        <v>428</v>
      </c>
      <c r="B1782" s="2201" t="s">
        <v>4065</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5">
      <c r="A1783" s="2048"/>
      <c r="B1783" s="2152" t="s">
        <v>4068</v>
      </c>
      <c r="C1783" s="2199"/>
      <c r="D1783" s="1339" t="s">
        <v>4069</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8.75">
      <c r="A1784" s="2048"/>
      <c r="B1784" s="2199"/>
      <c r="C1784" s="2199"/>
      <c r="D1784" s="1339" t="s">
        <v>4070</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8.75">
      <c r="A1785" s="2048"/>
      <c r="B1785" s="2199"/>
      <c r="C1785" s="2199"/>
      <c r="D1785" s="1339" t="s">
        <v>4071</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8.75">
      <c r="A1786" s="2048"/>
      <c r="B1786" s="2199"/>
      <c r="C1786" s="2199"/>
      <c r="D1786" s="1339" t="s">
        <v>4072</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8.75">
      <c r="A1787" s="2048"/>
      <c r="B1787" s="2199"/>
      <c r="C1787" s="2199"/>
      <c r="D1787" s="1339" t="s">
        <v>4073</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4655</v>
      </c>
      <c r="D1789" s="1854"/>
      <c r="G1789" s="2187" t="s">
        <v>3818</v>
      </c>
      <c r="Q1789" s="1912"/>
    </row>
    <row r="1790" spans="1:26">
      <c r="A1790" s="2158"/>
      <c r="B1790" s="555" t="s">
        <v>3899</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8.75">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4074</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4656</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4076</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4078</v>
      </c>
      <c r="P1795" s="2008"/>
      <c r="Q1795" s="2144"/>
      <c r="S1795" s="1854"/>
      <c r="T1795" s="1854"/>
      <c r="U1795" s="1854"/>
      <c r="V1795" s="2266"/>
      <c r="W1795" s="2266"/>
      <c r="X1795" s="1854"/>
      <c r="Y1795" s="1854"/>
      <c r="Z1795" s="1854"/>
    </row>
    <row r="1796" spans="1:26" ht="18.75">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4077</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4078</v>
      </c>
      <c r="P1797" s="2008"/>
      <c r="Q1797" s="2144"/>
      <c r="S1797" s="1854"/>
      <c r="T1797" s="1854"/>
      <c r="U1797" s="1854"/>
      <c r="V1797" s="2266"/>
      <c r="W1797" s="2266"/>
      <c r="X1797" s="1854"/>
      <c r="Y1797" s="1854"/>
      <c r="Z1797" s="1854"/>
    </row>
    <row r="1798" spans="1:26" ht="18.75">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4079</v>
      </c>
      <c r="D1799" s="2144"/>
      <c r="E1799" s="2144"/>
      <c r="F1799" s="2144"/>
      <c r="G1799" s="2187" t="s">
        <v>3818</v>
      </c>
      <c r="H1799" s="2144"/>
      <c r="I1799" s="2144"/>
      <c r="J1799" s="2144"/>
      <c r="K1799" s="2144"/>
      <c r="L1799" s="2144"/>
      <c r="M1799" s="2144"/>
      <c r="N1799" s="2144"/>
      <c r="O1799" s="2118" t="s">
        <v>2527</v>
      </c>
      <c r="P1799" s="2118" t="s">
        <v>2527</v>
      </c>
      <c r="Q1799" s="2144"/>
    </row>
    <row r="1800" spans="1:26" ht="18.75" customHeight="1">
      <c r="A1800" s="2158"/>
      <c r="B1800" s="2299"/>
      <c r="C1800" s="2123" t="s">
        <v>4657</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8.75">
      <c r="A1801" s="2158"/>
      <c r="B1801" s="2160" t="s">
        <v>2451</v>
      </c>
      <c r="C1801" s="2175" t="s">
        <v>4194</v>
      </c>
      <c r="D1801" s="2122"/>
      <c r="E1801" s="2122"/>
      <c r="F1801" s="2122"/>
      <c r="G1801" s="2122"/>
      <c r="H1801" s="2122"/>
      <c r="I1801" s="2122"/>
      <c r="J1801" s="2122"/>
      <c r="K1801" s="2122"/>
      <c r="L1801" s="2122"/>
      <c r="M1801" s="2122"/>
      <c r="N1801" s="2122"/>
      <c r="O1801" s="2122"/>
      <c r="P1801" s="2122"/>
      <c r="Q1801" s="2170"/>
      <c r="V1801" s="2266"/>
      <c r="W1801" s="2266"/>
    </row>
    <row r="1802" spans="1:26" ht="18.75">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8.75">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8.75">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4192</v>
      </c>
      <c r="D1805" s="2122"/>
      <c r="E1805" s="2122"/>
      <c r="F1805" s="2122"/>
      <c r="G1805" s="2122"/>
      <c r="H1805" s="2122"/>
      <c r="I1805" s="2122"/>
      <c r="J1805" s="2122"/>
      <c r="K1805" s="2122"/>
      <c r="L1805" s="2123" t="s">
        <v>4196</v>
      </c>
      <c r="M1805" s="2123"/>
      <c r="N1805" s="2144" t="s">
        <v>4197</v>
      </c>
      <c r="O1805" s="2144"/>
      <c r="P1805" s="2144"/>
      <c r="Q1805" s="2170"/>
      <c r="V1805" s="2266"/>
      <c r="W1805" s="2266"/>
    </row>
    <row r="1806" spans="1:26" ht="18.75">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8.75">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8.75">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4080</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4084</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3821</v>
      </c>
      <c r="D1811" s="1854"/>
      <c r="Q1811" s="1853"/>
    </row>
    <row r="1812" spans="1:26" ht="18.75" customHeight="1">
      <c r="A1812" s="2158"/>
      <c r="B1812" s="2300"/>
      <c r="C1812" s="2123" t="s">
        <v>4086</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4087</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4088</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8.75">
      <c r="B1815" s="2160"/>
      <c r="C1815" s="1339"/>
      <c r="G1815" s="2187"/>
      <c r="L1815" s="2301"/>
      <c r="M1815" s="2301"/>
      <c r="Q1815" s="2170"/>
      <c r="V1815" s="2266"/>
      <c r="W1815" s="2266"/>
    </row>
    <row r="1816" spans="1:26">
      <c r="A1816" s="2048" t="s">
        <v>2001</v>
      </c>
      <c r="B1816" s="2043" t="s">
        <v>4658</v>
      </c>
      <c r="D1816" s="1854"/>
      <c r="G1816" s="2187" t="s">
        <v>3818</v>
      </c>
      <c r="O1816" s="2118" t="s">
        <v>2527</v>
      </c>
      <c r="P1816" s="2118" t="s">
        <v>2527</v>
      </c>
      <c r="Q1816" s="1912"/>
    </row>
    <row r="1817" spans="1:26" ht="18.75" customHeight="1">
      <c r="A1817" s="2158"/>
      <c r="B1817" s="2273" t="s">
        <v>2002</v>
      </c>
      <c r="C1817" s="2123" t="s">
        <v>4082</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8.75">
      <c r="A1818" s="2158"/>
      <c r="B1818" s="2273" t="s">
        <v>2004</v>
      </c>
      <c r="C1818" s="2064" t="s">
        <v>4083</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5">
      <c r="A1819" s="1854"/>
      <c r="B1819" s="2217" t="s">
        <v>3786</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75">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5">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75">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5">
      <c r="A1824" s="2200" t="s">
        <v>364</v>
      </c>
      <c r="B1824" s="2201" t="s">
        <v>2804</v>
      </c>
      <c r="C1824" s="2216"/>
      <c r="D1824" s="2217"/>
      <c r="E1824" s="2217"/>
      <c r="F1824" s="2216"/>
      <c r="G1824" s="2216"/>
      <c r="H1824" s="1875" t="s">
        <v>4240</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5">
      <c r="A1826" s="2304" t="s">
        <v>3629</v>
      </c>
      <c r="B1826" s="2043" t="s">
        <v>3627</v>
      </c>
      <c r="C1826" s="2216"/>
      <c r="D1826" s="2217"/>
      <c r="E1826" s="2217"/>
      <c r="F1826" s="2216"/>
      <c r="G1826" s="2216"/>
      <c r="H1826" s="1875"/>
      <c r="I1826" s="2216"/>
      <c r="J1826" s="2216"/>
      <c r="K1826" s="2216"/>
      <c r="L1826" s="2216"/>
      <c r="M1826" s="1853">
        <v>3</v>
      </c>
      <c r="N1826" s="2261" t="s">
        <v>4092</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1236</v>
      </c>
      <c r="C1831" s="2123" t="s">
        <v>4659</v>
      </c>
      <c r="D1831" s="2123"/>
      <c r="E1831" s="2123"/>
      <c r="F1831" s="2123"/>
      <c r="G1831" s="2123"/>
      <c r="H1831" s="2123"/>
      <c r="I1831" s="2123"/>
      <c r="J1831" s="2307" t="s">
        <v>4091</v>
      </c>
      <c r="K1831" s="2307" t="s">
        <v>4089</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4153</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757</v>
      </c>
      <c r="B1834" s="2269" t="s">
        <v>3628</v>
      </c>
      <c r="C1834" s="1339"/>
      <c r="G1834" s="1339"/>
      <c r="M1834" s="1853">
        <v>2</v>
      </c>
      <c r="N1834" s="2051" t="s">
        <v>757</v>
      </c>
      <c r="O1834" s="2039">
        <f>'Part IX A-Scoring Criteria'!O280</f>
        <v>0</v>
      </c>
      <c r="P1834" s="2039">
        <f>'Part IX A-Scoring Criteria'!P280</f>
        <v>0</v>
      </c>
    </row>
    <row r="1835" spans="1:26">
      <c r="A1835" s="2071"/>
      <c r="B1835" s="2178" t="s">
        <v>3632</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3630</v>
      </c>
      <c r="C1836" s="1339"/>
      <c r="G1836" s="2187" t="s">
        <v>3631</v>
      </c>
      <c r="H1836" s="2311">
        <f>'Part VI-Revenues &amp; Expenses'!$O$59</f>
        <v>0</v>
      </c>
      <c r="I1836" s="2166" t="s">
        <v>3634</v>
      </c>
      <c r="J1836" s="2311">
        <f>'Part VI-Revenues &amp; Expenses'!$O$62</f>
        <v>96</v>
      </c>
      <c r="K1836" s="2166" t="s">
        <v>3635</v>
      </c>
      <c r="L1836" s="2312">
        <f>IF(J1836=0,0,H1836/J1836)</f>
        <v>0</v>
      </c>
      <c r="M1836" s="1853">
        <v>2</v>
      </c>
      <c r="N1836" s="1855" t="s">
        <v>2131</v>
      </c>
      <c r="O1836" s="2036">
        <f>'Part IX A-Scoring Criteria'!O282</f>
        <v>0</v>
      </c>
      <c r="P1836" s="2036">
        <f>'Part IX A-Scoring Criteria'!P282</f>
        <v>0</v>
      </c>
    </row>
    <row r="1837" spans="1:26" ht="15">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75">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5">
      <c r="A1840" s="2200" t="s">
        <v>365</v>
      </c>
      <c r="B1840" s="2201" t="s">
        <v>4093</v>
      </c>
      <c r="C1840" s="2216"/>
      <c r="D1840" s="2217"/>
      <c r="E1840" s="2217"/>
      <c r="F1840" s="2216"/>
      <c r="G1840" s="2216"/>
      <c r="H1840" s="1875"/>
      <c r="I1840" s="2313" t="s">
        <v>3834</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3825</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3826</v>
      </c>
      <c r="D1842" s="2175"/>
      <c r="L1842" s="2175"/>
      <c r="M1842" s="2315"/>
      <c r="N1842" s="2160" t="s">
        <v>2001</v>
      </c>
      <c r="O1842" s="2161">
        <f>'Part IX A-Scoring Criteria'!O288</f>
        <v>0</v>
      </c>
      <c r="P1842" s="2161">
        <f>'Part IX A-Scoring Criteria'!P288</f>
        <v>0</v>
      </c>
      <c r="U1842" s="2166">
        <f>IF(L1842="Yes",1,0)</f>
        <v>0</v>
      </c>
    </row>
    <row r="1843" spans="1:26" ht="15">
      <c r="A1843" s="1854"/>
      <c r="B1843" s="2217" t="s">
        <v>3786</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75">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5">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75">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5">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4660</v>
      </c>
      <c r="D1849" s="1854"/>
      <c r="E1849" s="1854"/>
      <c r="F1849" s="1854"/>
      <c r="H1849" s="2117" t="s">
        <v>3712</v>
      </c>
      <c r="I1849" s="1339"/>
      <c r="J1849" s="2117" t="str">
        <f>'Part I-Project Information'!$O$34</f>
        <v>No</v>
      </c>
      <c r="K1849" s="2117"/>
      <c r="L1849" s="2265">
        <f>'Part I-Project Information'!$O$35</f>
        <v>0</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4253</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4661</v>
      </c>
      <c r="R1850" s="2123"/>
      <c r="S1850" s="2123"/>
      <c r="T1850" s="2123"/>
      <c r="U1850" s="2123"/>
      <c r="V1850" s="2123"/>
      <c r="W1850" s="2123"/>
      <c r="X1850" s="2123"/>
      <c r="Y1850" s="2123"/>
      <c r="Z1850" s="2123"/>
    </row>
    <row r="1851" spans="1:26">
      <c r="A1851" s="555"/>
      <c r="B1851" s="2269"/>
      <c r="C1851" s="555" t="s">
        <v>3840</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3896</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973</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4662</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3636</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4663</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c r="A1859" s="2161" t="s">
        <v>1365</v>
      </c>
      <c r="B1859" s="2273" t="s">
        <v>2004</v>
      </c>
      <c r="C1859" s="2173" t="s">
        <v>4664</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757</v>
      </c>
      <c r="B1860" s="2043" t="s">
        <v>4665</v>
      </c>
      <c r="C1860" s="1854"/>
      <c r="D1860" s="1854"/>
      <c r="E1860" s="1854"/>
      <c r="F1860" s="1854"/>
      <c r="G1860" s="1854"/>
      <c r="H1860" s="2249" t="s">
        <v>4099</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3639</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2002</v>
      </c>
      <c r="C1862" s="1339" t="s">
        <v>3638</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c r="A1863" s="2161" t="s">
        <v>1365</v>
      </c>
      <c r="B1863" s="2273" t="s">
        <v>2004</v>
      </c>
      <c r="C1863" s="2117" t="s">
        <v>4666</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c r="A1864" s="2161" t="s">
        <v>1365</v>
      </c>
      <c r="B1864" s="2273" t="s">
        <v>2551</v>
      </c>
      <c r="C1864" s="2173" t="s">
        <v>4667</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5">
      <c r="A1865" s="1854"/>
      <c r="B1865" s="2217" t="s">
        <v>3786</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75">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5">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75">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8.75">
      <c r="N1869" s="1860"/>
      <c r="O1869" s="1862"/>
      <c r="P1869" s="1862"/>
      <c r="T1869" s="2266"/>
      <c r="U1869" s="2266"/>
    </row>
    <row r="1870" spans="1:26" ht="18.75">
      <c r="A1870" s="2317" t="s">
        <v>1739</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8.75">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8.75">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8.75">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8.75">
      <c r="A1874" s="2048"/>
      <c r="B1874" s="2064" t="s">
        <v>4100</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5">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75">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5">
      <c r="A1878" s="2317" t="s">
        <v>2800</v>
      </c>
      <c r="B1878" s="2201" t="s">
        <v>4101</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5">
      <c r="A1879" s="2048" t="s">
        <v>2001</v>
      </c>
      <c r="B1879" s="2043" t="s">
        <v>4102</v>
      </c>
      <c r="C1879" s="2083"/>
      <c r="D1879" s="2178"/>
      <c r="E1879" s="555"/>
      <c r="F1879" s="2199"/>
      <c r="G1879" s="2072">
        <f>'Part IX A-Scoring Criteria'!G325</f>
        <v>0</v>
      </c>
      <c r="H1879" s="2199"/>
      <c r="I1879" s="2199"/>
      <c r="J1879" s="2064" t="s">
        <v>2703</v>
      </c>
      <c r="K1879" s="2199"/>
      <c r="L1879" s="555"/>
      <c r="M1879" s="2199"/>
      <c r="N1879" s="2199"/>
      <c r="O1879" s="1856">
        <f>'Part I-Project Information'!$H$96</f>
        <v>0</v>
      </c>
      <c r="P1879" s="2036">
        <f>'Part IX A-Scoring Criteria'!P325</f>
        <v>0</v>
      </c>
      <c r="Q1879" s="2036"/>
      <c r="R1879" s="2199"/>
      <c r="S1879" s="2199"/>
      <c r="T1879" s="2199"/>
      <c r="U1879" s="2199"/>
      <c r="V1879" s="2199"/>
      <c r="W1879" s="2199"/>
      <c r="X1879" s="2199"/>
      <c r="Y1879" s="2199"/>
      <c r="Z1879" s="2199"/>
    </row>
    <row r="1880" spans="1:26" ht="15">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5">
      <c r="A1881" s="2048"/>
      <c r="B1881" s="2270" t="s">
        <v>2004</v>
      </c>
      <c r="C1881" s="555" t="s">
        <v>4121</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5">
      <c r="A1882" s="2048"/>
      <c r="B1882" s="2270" t="s">
        <v>2551</v>
      </c>
      <c r="C1882" s="555" t="s">
        <v>4120</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5">
      <c r="A1883" s="2048"/>
      <c r="B1883" s="2270" t="s">
        <v>1236</v>
      </c>
      <c r="C1883" s="555" t="s">
        <v>4122</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5">
      <c r="A1884" s="2048" t="s">
        <v>1999</v>
      </c>
      <c r="B1884" s="2043" t="s">
        <v>4103</v>
      </c>
      <c r="C1884" s="2083"/>
      <c r="D1884" s="2178"/>
      <c r="E1884" s="555"/>
      <c r="F1884" s="2199"/>
      <c r="G1884" s="2072">
        <f>'Part IX A-Scoring Criteria'!G330</f>
        <v>0</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5">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5">
      <c r="A1886" s="2048"/>
      <c r="B1886" s="2270" t="s">
        <v>2004</v>
      </c>
      <c r="C1886" s="555" t="s">
        <v>4134</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5">
      <c r="A1887" s="2048"/>
      <c r="B1887" s="2270" t="s">
        <v>2551</v>
      </c>
      <c r="C1887" s="555" t="s">
        <v>4122</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5">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75">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5">
      <c r="A1891" s="2200" t="s">
        <v>2267</v>
      </c>
      <c r="B1891" s="2201" t="s">
        <v>4104</v>
      </c>
      <c r="C1891" s="2259"/>
      <c r="D1891" s="2259"/>
      <c r="E1891" s="2259"/>
      <c r="F1891" s="2259"/>
      <c r="G1891" s="2259"/>
      <c r="H1891" s="555" t="s">
        <v>3602</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4668</v>
      </c>
      <c r="B1892" s="2123"/>
      <c r="C1892" s="2123"/>
      <c r="D1892" s="2123"/>
      <c r="E1892" s="2123"/>
      <c r="F1892" s="2123"/>
      <c r="G1892" s="2123"/>
      <c r="H1892" s="2123"/>
      <c r="I1892" s="2144" t="s">
        <v>4202</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5">
      <c r="A1895" s="1854"/>
      <c r="B1895" s="2217" t="s">
        <v>3786</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75">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5">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75">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5">
      <c r="A1900" s="2200" t="s">
        <v>4157</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75">
      <c r="A1901" s="2048" t="s">
        <v>1999</v>
      </c>
      <c r="B1901" s="2152" t="s">
        <v>3643</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5">
      <c r="A1902" s="2199"/>
      <c r="B1902" s="2064" t="s">
        <v>4108</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4105</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4106</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4107</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3644</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ht="13.5">
      <c r="A1908" s="2048" t="s">
        <v>2001</v>
      </c>
      <c r="B1908" s="2043" t="s">
        <v>2815</v>
      </c>
      <c r="D1908" s="1854"/>
      <c r="H1908" s="2318" t="s">
        <v>3510</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3646</v>
      </c>
      <c r="C1910" s="555" t="str">
        <f>'Part I-Project Information'!$F$38</f>
        <v>Newnan</v>
      </c>
      <c r="D1910" s="1854"/>
      <c r="E1910" s="555" t="s">
        <v>3509</v>
      </c>
      <c r="F1910" s="555" t="str">
        <f>'Part I-Project Information'!$J$39</f>
        <v>Coweta</v>
      </c>
      <c r="G1910" s="1854"/>
      <c r="H1910" s="2064" t="s">
        <v>455</v>
      </c>
      <c r="I1910" s="2064" t="str">
        <f>'Part I-Project Information'!$N$39</f>
        <v>Yes</v>
      </c>
      <c r="J1910" s="1854"/>
      <c r="K1910" s="2064" t="s">
        <v>3645</v>
      </c>
      <c r="L1910" s="2294" t="str">
        <f>'Part I-Project Information'!$O$38</f>
        <v>130771703.05</v>
      </c>
      <c r="M1910" s="2294"/>
      <c r="N1910" s="2294"/>
      <c r="O1910" s="2294"/>
      <c r="P1910" s="2294"/>
      <c r="Q1910" s="1854"/>
      <c r="R1910" s="1854"/>
      <c r="S1910" s="1854"/>
      <c r="T1910" s="1854"/>
      <c r="U1910" s="1854"/>
      <c r="V1910" s="1854"/>
      <c r="W1910" s="1854"/>
      <c r="X1910" s="1854"/>
      <c r="Y1910" s="1854"/>
      <c r="Z1910" s="1854"/>
    </row>
    <row r="1911" spans="1:26" ht="15">
      <c r="A1911" s="1854"/>
      <c r="B1911" s="2217" t="s">
        <v>3786</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75">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5">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75">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5">
      <c r="A1916" s="2200" t="s">
        <v>4158</v>
      </c>
      <c r="B1916" s="2201" t="s">
        <v>4111</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5">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5">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3843</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3842</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4112</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4113</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4114</v>
      </c>
      <c r="D1924" s="2123"/>
      <c r="E1924" s="2123"/>
      <c r="F1924" s="2123"/>
      <c r="G1924" s="2123"/>
      <c r="H1924" s="2123"/>
      <c r="I1924" s="2123"/>
      <c r="J1924" s="2262" t="s">
        <v>2006</v>
      </c>
      <c r="K1924" s="2262"/>
      <c r="M1924" s="2262" t="s">
        <v>2006</v>
      </c>
      <c r="N1924" s="2262"/>
      <c r="O1924" s="2262"/>
      <c r="P1924" s="2262"/>
    </row>
    <row r="1925" spans="1:26" ht="15">
      <c r="A1925" s="2164"/>
      <c r="B1925" s="2160" t="s">
        <v>2451</v>
      </c>
      <c r="C1925" s="555" t="s">
        <v>1494</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3650</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5">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1493</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3648</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4669</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3649</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3651</v>
      </c>
      <c r="C1934" s="555" t="s">
        <v>4195</v>
      </c>
      <c r="I1934" s="2160" t="s">
        <v>3651</v>
      </c>
      <c r="J1934" s="2085">
        <f>'Part IX A-Scoring Criteria'!J380</f>
        <v>0</v>
      </c>
      <c r="K1934" s="2085">
        <f>'Part IX A-Scoring Criteria'!K380</f>
        <v>0</v>
      </c>
      <c r="L1934" s="2160" t="s">
        <v>3651</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4670</v>
      </c>
      <c r="H1935" s="2152" t="s">
        <v>2645</v>
      </c>
      <c r="J1935" s="2085">
        <f>SUM(J1925:K1934)</f>
        <v>0</v>
      </c>
      <c r="K1935" s="2085"/>
      <c r="M1935" s="2085">
        <f>SUM($M1925:$M1934)</f>
        <v>0</v>
      </c>
      <c r="N1935" s="2085"/>
      <c r="O1935" s="2085"/>
      <c r="P1935" s="2085"/>
      <c r="R1935" s="2165"/>
    </row>
    <row r="1936" spans="1:26" ht="1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c r="B1937" s="2320" t="s">
        <v>2004</v>
      </c>
      <c r="C1937" s="2071" t="s">
        <v>2644</v>
      </c>
      <c r="E1937" s="2064" t="s">
        <v>2646</v>
      </c>
      <c r="H1937" s="2147">
        <f>'Part IX A-Scoring Criteria'!H383</f>
        <v>0</v>
      </c>
      <c r="I1937" s="1856"/>
      <c r="J1937" s="2085">
        <f>'Part IV-A-Uses of Funds'!$G$132</f>
        <v>20706223.689910028</v>
      </c>
      <c r="K1937" s="2085"/>
      <c r="M1937" s="1851"/>
      <c r="N1937" s="1851"/>
      <c r="P1937" s="1851"/>
    </row>
    <row r="1938" spans="1:26" ht="12.75" customHeight="1">
      <c r="A1938" s="2110" t="s">
        <v>4671</v>
      </c>
      <c r="B1938" s="2110"/>
      <c r="C1938" s="2110"/>
      <c r="D1938" s="2110"/>
      <c r="E1938" s="2187" t="s">
        <v>2647</v>
      </c>
      <c r="H1938" s="2399">
        <f>'Part IX A-Scoring Criteria'!H384</f>
        <v>0</v>
      </c>
      <c r="I1938" s="1856"/>
      <c r="J1938" s="2323">
        <f>IF($J1937=0,0,$J1935/$J1937)</f>
        <v>0</v>
      </c>
      <c r="K1938" s="2323"/>
      <c r="M1938" s="2323">
        <f>IF($J1937=0,0,$M1935/$J1937)</f>
        <v>0</v>
      </c>
      <c r="N1938" s="2323"/>
      <c r="O1938" s="2323"/>
      <c r="P1938" s="2323"/>
    </row>
    <row r="1939" spans="1:26" ht="15">
      <c r="A1939" s="2110"/>
      <c r="B1939" s="2110"/>
      <c r="C1939" s="2110"/>
      <c r="D1939" s="2110"/>
      <c r="E1939" s="2178" t="s">
        <v>4308</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8.75">
      <c r="A1941" s="2048" t="s">
        <v>2001</v>
      </c>
      <c r="B1941" s="2221" t="s">
        <v>3652</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4115</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8.75">
      <c r="A1943" s="2048"/>
      <c r="B1943" s="2160" t="s">
        <v>2452</v>
      </c>
      <c r="C1943" s="555" t="s">
        <v>3835</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4116</v>
      </c>
      <c r="N1944" s="2160" t="s">
        <v>2453</v>
      </c>
      <c r="O1944" s="2161">
        <f>'Part IX A-Scoring Criteria'!O390</f>
        <v>0</v>
      </c>
      <c r="P1944" s="2161">
        <f>'Part IX A-Scoring Criteria'!P390</f>
        <v>0</v>
      </c>
    </row>
    <row r="1945" spans="1:26">
      <c r="B1945" s="2217" t="s">
        <v>3786</v>
      </c>
      <c r="N1945" s="1860"/>
      <c r="O1945" s="1862"/>
      <c r="P1945" s="1862"/>
    </row>
    <row r="1946" spans="1:26" ht="15.75">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5">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75">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5">
      <c r="A1950" s="2317" t="s">
        <v>4156</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5">
      <c r="A1951" s="2048" t="s">
        <v>1999</v>
      </c>
      <c r="B1951" s="2043" t="s">
        <v>3678</v>
      </c>
      <c r="C1951" s="2199"/>
      <c r="D1951" s="1854"/>
      <c r="E1951" s="1854"/>
      <c r="F1951" s="1854"/>
      <c r="G1951" s="2199"/>
      <c r="H1951" s="2199"/>
      <c r="I1951" s="2199"/>
      <c r="J1951" s="2064" t="s">
        <v>3846</v>
      </c>
      <c r="K1951" s="2199"/>
      <c r="L1951" s="2097">
        <f>'Part VI-Revenues &amp; Expenses'!$O$62*0.1</f>
        <v>9.6000000000000014</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3845</v>
      </c>
      <c r="D1952" s="2123"/>
      <c r="E1952" s="2123"/>
      <c r="F1952" s="2123"/>
      <c r="G1952" s="2123"/>
      <c r="H1952" s="2123"/>
      <c r="I1952" s="2123"/>
      <c r="J1952" s="2064" t="s">
        <v>3848</v>
      </c>
      <c r="K1952" s="2199"/>
      <c r="L1952" s="2097">
        <f>'Part VI-Revenues &amp; Expenses'!$O$58</f>
        <v>96</v>
      </c>
      <c r="M1952" s="2053" t="str">
        <f>IF(L1954&lt;L1953,"Check 1BR LI count!","")</f>
        <v>Check 1BR LI count!</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5">
      <c r="A1953" s="2159"/>
      <c r="B1953" s="2252"/>
      <c r="C1953" s="2123"/>
      <c r="D1953" s="2123"/>
      <c r="E1953" s="2123"/>
      <c r="F1953" s="2123"/>
      <c r="G1953" s="2123"/>
      <c r="H1953" s="2123"/>
      <c r="I1953" s="2123"/>
      <c r="J1953" s="2064" t="s">
        <v>3849</v>
      </c>
      <c r="K1953" s="2251"/>
      <c r="L1953" s="2097">
        <f>L1952*0.1</f>
        <v>9.6000000000000014</v>
      </c>
      <c r="M1953" s="2053"/>
      <c r="N1953" s="2224"/>
      <c r="O1953" s="2224"/>
      <c r="P1953" s="2224"/>
      <c r="Q1953" s="2256"/>
      <c r="R1953" s="2257"/>
      <c r="S1953" s="2251"/>
      <c r="T1953" s="2251"/>
      <c r="U1953" s="2251"/>
      <c r="V1953" s="2251"/>
      <c r="W1953" s="2251"/>
      <c r="X1953" s="2251"/>
      <c r="Y1953" s="2251"/>
      <c r="Z1953" s="2251"/>
    </row>
    <row r="1954" spans="1:26" ht="15">
      <c r="A1954" s="2159"/>
      <c r="B1954" s="2252"/>
      <c r="C1954" s="2123"/>
      <c r="D1954" s="2123"/>
      <c r="E1954" s="2123"/>
      <c r="F1954" s="2123"/>
      <c r="G1954" s="2123"/>
      <c r="H1954" s="2123"/>
      <c r="I1954" s="2123"/>
      <c r="J1954" s="2064" t="s">
        <v>3850</v>
      </c>
      <c r="K1954" s="2251"/>
      <c r="L1954" s="2097">
        <f>'Part VI-Revenues &amp; Expenses'!$K$58</f>
        <v>0</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3847</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3844</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5">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3867</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5">
      <c r="A1961" s="2159"/>
      <c r="B1961" s="2252"/>
      <c r="C1961" s="2175" t="s">
        <v>3683</v>
      </c>
      <c r="D1961" s="2122"/>
      <c r="E1961" s="2122"/>
      <c r="F1961" s="2122"/>
      <c r="G1961" s="2113">
        <f>'Part IX A-Scoring Criteria'!G407</f>
        <v>0</v>
      </c>
      <c r="H1961" s="2113">
        <f>'Part IX A-Scoring Criteria'!H407</f>
        <v>0</v>
      </c>
      <c r="I1961" s="2113">
        <f>'Part IX A-Scoring Criteria'!I407</f>
        <v>0</v>
      </c>
      <c r="J1961" s="2324" t="s">
        <v>3684</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3682</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5">
      <c r="A1963" s="1854"/>
      <c r="B1963" s="2217" t="s">
        <v>3786</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75">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5">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75">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5">
      <c r="A1968" s="2200" t="s">
        <v>4159</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5">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5">
      <c r="A1972" s="2326" t="s">
        <v>1999</v>
      </c>
      <c r="B1972" s="2117" t="s">
        <v>4672</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4255</v>
      </c>
      <c r="C1973" s="2090"/>
      <c r="D1973" s="2090"/>
      <c r="E1973" s="2090"/>
      <c r="F1973" s="2090"/>
      <c r="G1973" s="2090"/>
      <c r="H1973" s="2090"/>
      <c r="I1973" s="2090"/>
      <c r="J1973" s="2090"/>
      <c r="K1973" s="2090"/>
      <c r="L1973" s="2090"/>
      <c r="M1973" s="2123" t="s">
        <v>4673</v>
      </c>
      <c r="N1973" s="2123"/>
      <c r="O1973" s="2251"/>
      <c r="P1973" s="2251"/>
      <c r="Q1973" s="1875"/>
      <c r="R1973" s="2251"/>
      <c r="S1973" s="2251"/>
      <c r="T1973" s="2251"/>
      <c r="U1973" s="2251"/>
      <c r="V1973" s="2251"/>
      <c r="W1973" s="2251"/>
      <c r="X1973" s="2251"/>
      <c r="Y1973" s="2251"/>
      <c r="Z1973" s="2251"/>
    </row>
    <row r="1974" spans="1:26" ht="1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5">
      <c r="A1975" s="2251"/>
      <c r="B1975" s="2090"/>
      <c r="C1975" s="2090"/>
      <c r="D1975" s="2090"/>
      <c r="E1975" s="2090"/>
      <c r="F1975" s="2090"/>
      <c r="G1975" s="2090"/>
      <c r="H1975" s="2090"/>
      <c r="I1975" s="2090"/>
      <c r="J1975" s="2090"/>
      <c r="K1975" s="2090"/>
      <c r="L1975" s="2090"/>
      <c r="M1975" s="2064" t="s">
        <v>2848</v>
      </c>
      <c r="N1975" s="2253"/>
      <c r="O1975" s="2327">
        <f>'Part VI-Revenues &amp; Expenses'!$O$62</f>
        <v>96</v>
      </c>
      <c r="P1975" s="2327"/>
      <c r="Q1975" s="1875"/>
      <c r="R1975" s="2251"/>
      <c r="S1975" s="2251"/>
      <c r="T1975" s="2251"/>
      <c r="U1975" s="2251"/>
      <c r="V1975" s="2251"/>
      <c r="W1975" s="2251"/>
      <c r="X1975" s="2251"/>
      <c r="Y1975" s="2251"/>
      <c r="Z1975" s="2251"/>
    </row>
    <row r="1976" spans="1:26" ht="15">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5">
      <c r="A1979" s="2329" t="s">
        <v>4674</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4256</v>
      </c>
      <c r="C1980" s="2123"/>
      <c r="D1980" s="2123"/>
      <c r="E1980" s="2123"/>
      <c r="F1980" s="2123"/>
      <c r="G1980" s="2123"/>
      <c r="H1980" s="2123"/>
      <c r="I1980" s="2123"/>
      <c r="J1980" s="2123"/>
      <c r="K1980" s="2123"/>
      <c r="L1980" s="2123"/>
      <c r="M1980" s="2175" t="s">
        <v>2848</v>
      </c>
      <c r="N1980" s="2253"/>
      <c r="O1980" s="2327">
        <f>'Part VI-Revenues &amp; Expenses'!$O$62</f>
        <v>96</v>
      </c>
      <c r="P1980" s="2327"/>
      <c r="Q1980" s="1875"/>
      <c r="R1980" s="2251"/>
      <c r="S1980" s="2251"/>
      <c r="T1980" s="2251"/>
      <c r="U1980" s="2251"/>
      <c r="V1980" s="2251"/>
      <c r="W1980" s="2251"/>
      <c r="X1980" s="2251"/>
      <c r="Y1980" s="2251"/>
      <c r="Z1980" s="2251"/>
    </row>
    <row r="1981" spans="1:26" ht="15">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5">
      <c r="A1982" s="1854"/>
      <c r="B1982" s="2217" t="s">
        <v>3786</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75">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5">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75">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5">
      <c r="A1987" s="2317" t="s">
        <v>4160</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5">
      <c r="A1989" s="2317"/>
      <c r="B1989" s="2117" t="s">
        <v>3686</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5">
      <c r="A1990" s="2317"/>
      <c r="B1990" s="2117" t="s">
        <v>3687</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5">
      <c r="A1991" s="2317"/>
      <c r="B1991" s="2117" t="s">
        <v>3688</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5">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75">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4678</v>
      </c>
      <c r="R1995" s="2198">
        <f>'Part IX A-Scoring Criteria'!O441</f>
        <v>20</v>
      </c>
      <c r="S1995" s="1854"/>
      <c r="T1995" s="1854"/>
      <c r="U1995" s="1854"/>
      <c r="V1995" s="1854"/>
      <c r="W1995" s="1854"/>
      <c r="X1995" s="1854"/>
      <c r="Y1995" s="1854"/>
      <c r="Z1995" s="1854"/>
    </row>
    <row r="1996" spans="1:26" ht="15.75">
      <c r="A1996" s="2199"/>
      <c r="B1996" s="2330"/>
      <c r="C1996" s="2199"/>
      <c r="F1996" s="2197"/>
      <c r="G1996" s="2197"/>
      <c r="H1996" s="2043" t="s">
        <v>4250</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75">
      <c r="A1997" s="2199"/>
      <c r="B1997" s="2330"/>
      <c r="C1997" s="2199"/>
      <c r="F1997" s="2197"/>
      <c r="G1997" s="2197"/>
      <c r="H1997" s="2043" t="s">
        <v>4251</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5">
      <c r="A1998" s="1854"/>
      <c r="B1998" s="2199"/>
      <c r="C1998" s="2199"/>
      <c r="D1998" s="555"/>
      <c r="E1998" s="555"/>
      <c r="F1998" s="2036"/>
      <c r="G1998" s="2199"/>
      <c r="H1998" s="2043" t="s">
        <v>4259</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75">
      <c r="A1999" s="2199"/>
      <c r="B1999" s="2330"/>
      <c r="C1999" s="2199"/>
      <c r="F1999" s="2064"/>
      <c r="G1999" s="2064"/>
      <c r="H1999" s="2197"/>
      <c r="I1999" s="2197"/>
      <c r="J1999" s="2334"/>
      <c r="K1999" s="2334"/>
      <c r="L1999" s="2199"/>
      <c r="N1999" s="2036"/>
      <c r="O1999" s="2036"/>
      <c r="P1999" s="2198"/>
    </row>
    <row r="2000" spans="1:26" ht="15" customHeight="1">
      <c r="A2000" s="2335" t="s">
        <v>3718</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75">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75">
      <c r="A2009" s="1955" t="s">
        <v>4264</v>
      </c>
    </row>
    <row r="2010" spans="1:26" ht="16.5">
      <c r="A2010" s="2336" t="str">
        <f>'Part I-Project Information'!$F$34</f>
        <v>McIntosh Woods</v>
      </c>
    </row>
    <row r="2011" spans="1:26" ht="16.5">
      <c r="A2011" s="2336" t="str">
        <f>CONCATENATE('Part I-Project Information'!$F$38,", ", 'Part I-Project Information'!$J$39," County")</f>
        <v>Newnan, Coweta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5"/>
    </row>
    <row r="2015" spans="1:26">
      <c r="A2015" s="1905"/>
    </row>
    <row r="2016" spans="1:26">
      <c r="A2016" s="1905"/>
    </row>
    <row r="2017" spans="1:1">
      <c r="A2017" s="1905"/>
    </row>
    <row r="2018" spans="1:1">
      <c r="A2018" s="1905"/>
    </row>
    <row r="2019" spans="1:1">
      <c r="A2019" s="1905"/>
    </row>
    <row r="2020" spans="1:1">
      <c r="A2020" s="1905"/>
    </row>
    <row r="2021" spans="1:1">
      <c r="A2021" s="1905"/>
    </row>
    <row r="2022" spans="1:1">
      <c r="A2022" s="1905"/>
    </row>
    <row r="2023" spans="1:1">
      <c r="A2023" s="1905"/>
    </row>
    <row r="2024" spans="1:1">
      <c r="A2024" s="1905"/>
    </row>
    <row r="2025" spans="1:1">
      <c r="A2025" s="1905"/>
    </row>
    <row r="2026" spans="1:1">
      <c r="A2026" s="1905"/>
    </row>
    <row r="2027" spans="1:1">
      <c r="A2027" s="1905"/>
    </row>
    <row r="2028" spans="1:1">
      <c r="A2028" s="1905"/>
    </row>
    <row r="2029" spans="1:1">
      <c r="A2029" s="1905"/>
    </row>
    <row r="2030" spans="1:1">
      <c r="A2030" s="1905"/>
    </row>
    <row r="2031" spans="1:1">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L139" sqref="L139"/>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07" t="str">
        <f>CONCATENATE("PART TWO - DEVELOPMENT TEAM INFORMATION","  -  ",'Part I-Project Information'!$O$6," ",'Part I-Project Information'!$F$34,", ",'Part I-Project Information'!F38,", ",'Part I-Project Information'!J39," County")</f>
        <v>PART TWO - DEVELOPMENT TEAM INFORMATION  -  2018-0 McIntosh Woods, Newnan, Coweta County</v>
      </c>
      <c r="B1" s="2708"/>
      <c r="C1" s="2708"/>
      <c r="D1" s="2708"/>
      <c r="E1" s="2708"/>
      <c r="F1" s="2708"/>
      <c r="G1" s="2708"/>
      <c r="H1" s="2708"/>
      <c r="I1" s="2708"/>
      <c r="J1" s="2708"/>
      <c r="K1" s="2708"/>
      <c r="L1" s="2708"/>
      <c r="M1" s="2708"/>
      <c r="N1" s="2708"/>
      <c r="O1" s="2708"/>
      <c r="P1" s="2708"/>
      <c r="Q1" s="2708"/>
      <c r="R1" s="2708"/>
      <c r="S1" s="2709"/>
    </row>
    <row r="2" spans="1:27" ht="12" customHeight="1">
      <c r="A2" s="1188" t="s">
        <v>4526</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1872</v>
      </c>
      <c r="C3" s="352"/>
      <c r="E3" s="352"/>
      <c r="F3" s="352"/>
      <c r="G3" s="352"/>
      <c r="H3" s="1801" t="s">
        <v>4323</v>
      </c>
    </row>
    <row r="4" spans="1:27" s="346" customFormat="1" ht="8.4499999999999993" customHeight="1">
      <c r="A4" s="348"/>
      <c r="B4" s="348"/>
      <c r="C4" s="348"/>
      <c r="D4" s="352"/>
      <c r="E4" s="352"/>
      <c r="F4" s="352"/>
      <c r="G4" s="352"/>
      <c r="H4" s="352"/>
      <c r="I4" s="352"/>
      <c r="J4" s="352"/>
    </row>
    <row r="5" spans="1:27" s="346" customFormat="1" ht="11.25" customHeight="1">
      <c r="B5" s="348" t="s">
        <v>1999</v>
      </c>
      <c r="C5" s="352" t="s">
        <v>1868</v>
      </c>
      <c r="H5" s="2703" t="s">
        <v>4708</v>
      </c>
      <c r="I5" s="2704"/>
      <c r="J5" s="2704"/>
      <c r="K5" s="2704"/>
      <c r="L5" s="2704"/>
      <c r="M5" s="2704"/>
      <c r="N5" s="2644"/>
      <c r="O5" s="395" t="s">
        <v>2005</v>
      </c>
      <c r="P5" s="395"/>
      <c r="Q5" s="2551" t="s">
        <v>4688</v>
      </c>
      <c r="R5" s="2556"/>
      <c r="S5" s="2552"/>
      <c r="Y5" s="1400"/>
      <c r="Z5" s="1401"/>
      <c r="AA5" s="1394"/>
    </row>
    <row r="6" spans="1:27" s="346" customFormat="1" ht="11.25" customHeight="1">
      <c r="D6" s="396"/>
      <c r="E6" s="351" t="s">
        <v>1031</v>
      </c>
      <c r="F6" s="360"/>
      <c r="H6" s="2703" t="s">
        <v>4690</v>
      </c>
      <c r="I6" s="2704"/>
      <c r="J6" s="2704"/>
      <c r="K6" s="2704"/>
      <c r="L6" s="2704"/>
      <c r="M6" s="2704"/>
      <c r="N6" s="2644"/>
      <c r="O6" s="395" t="s">
        <v>1760</v>
      </c>
      <c r="P6" s="397"/>
      <c r="Q6" s="2551" t="s">
        <v>4710</v>
      </c>
      <c r="R6" s="2556"/>
      <c r="S6" s="2552"/>
      <c r="V6" s="1400"/>
      <c r="W6" s="1400"/>
      <c r="X6" s="1400"/>
      <c r="Y6" s="1400"/>
      <c r="Z6" s="1401"/>
      <c r="AA6" s="1394"/>
    </row>
    <row r="7" spans="1:27" s="346" customFormat="1" ht="11.25" customHeight="1">
      <c r="D7" s="396"/>
      <c r="E7" s="351" t="s">
        <v>624</v>
      </c>
      <c r="H7" s="2551" t="s">
        <v>1521</v>
      </c>
      <c r="I7" s="2710"/>
      <c r="J7" s="2695"/>
      <c r="K7" s="503" t="s">
        <v>770</v>
      </c>
      <c r="L7" s="2551" t="s">
        <v>4709</v>
      </c>
      <c r="M7" s="2710"/>
      <c r="N7" s="2695"/>
      <c r="O7" s="395" t="s">
        <v>1734</v>
      </c>
      <c r="P7" s="397"/>
      <c r="Q7" s="2698">
        <v>3174086628</v>
      </c>
      <c r="R7" s="2699"/>
      <c r="S7" s="2700"/>
    </row>
    <row r="8" spans="1:27" s="346" customFormat="1" ht="11.25" customHeight="1">
      <c r="D8" s="396"/>
      <c r="E8" s="351" t="s">
        <v>1812</v>
      </c>
      <c r="H8" s="1826" t="s">
        <v>863</v>
      </c>
      <c r="I8" s="1066" t="s">
        <v>2245</v>
      </c>
      <c r="J8" s="2694">
        <v>402510378</v>
      </c>
      <c r="K8" s="2695"/>
      <c r="L8" s="346" t="s">
        <v>3717</v>
      </c>
      <c r="M8" s="2696"/>
      <c r="N8" s="2697"/>
      <c r="O8" s="395" t="s">
        <v>1995</v>
      </c>
      <c r="P8" s="397"/>
      <c r="Q8" s="2698">
        <v>3174086628</v>
      </c>
      <c r="R8" s="2699"/>
      <c r="S8" s="2700"/>
    </row>
    <row r="9" spans="1:27" s="346" customFormat="1" ht="11.25" customHeight="1">
      <c r="D9" s="396"/>
      <c r="E9" s="351" t="s">
        <v>4324</v>
      </c>
      <c r="H9" s="2698">
        <v>3174086628</v>
      </c>
      <c r="I9" s="2700"/>
      <c r="J9" s="1150"/>
      <c r="K9" s="398" t="s">
        <v>2000</v>
      </c>
      <c r="L9" s="2548" t="s">
        <v>4691</v>
      </c>
      <c r="M9" s="2549"/>
      <c r="N9" s="2549"/>
      <c r="O9" s="2549"/>
      <c r="P9" s="2549"/>
      <c r="Q9" s="2549"/>
      <c r="R9" s="2549"/>
      <c r="S9" s="2550"/>
    </row>
    <row r="10" spans="1:27" s="346" customFormat="1" ht="11.25" customHeight="1">
      <c r="D10" s="396"/>
      <c r="E10" s="1801" t="s">
        <v>4323</v>
      </c>
      <c r="H10" s="399"/>
      <c r="I10" s="397"/>
      <c r="J10" s="397"/>
      <c r="K10" s="453"/>
      <c r="L10" s="397"/>
      <c r="M10" s="397"/>
      <c r="N10" s="504" t="s">
        <v>3590</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551" t="s">
        <v>4711</v>
      </c>
      <c r="I14" s="2556"/>
      <c r="J14" s="2556"/>
      <c r="K14" s="2556"/>
      <c r="L14" s="2556"/>
      <c r="M14" s="2556"/>
      <c r="N14" s="2552"/>
      <c r="O14" s="395" t="s">
        <v>2005</v>
      </c>
      <c r="P14" s="395"/>
      <c r="Q14" s="2551" t="s">
        <v>4688</v>
      </c>
      <c r="R14" s="2556"/>
      <c r="S14" s="2552"/>
    </row>
    <row r="15" spans="1:27" s="346" customFormat="1" ht="11.25" customHeight="1">
      <c r="D15" s="396"/>
      <c r="E15" s="351" t="s">
        <v>1031</v>
      </c>
      <c r="F15" s="360"/>
      <c r="H15" s="2551" t="s">
        <v>4690</v>
      </c>
      <c r="I15" s="2556"/>
      <c r="J15" s="2556"/>
      <c r="K15" s="2556"/>
      <c r="L15" s="2556"/>
      <c r="M15" s="2556"/>
      <c r="N15" s="2552"/>
      <c r="O15" s="395" t="s">
        <v>1760</v>
      </c>
      <c r="P15" s="397"/>
      <c r="Q15" s="2551" t="s">
        <v>4710</v>
      </c>
      <c r="R15" s="2556"/>
      <c r="S15" s="2552"/>
    </row>
    <row r="16" spans="1:27" s="346" customFormat="1" ht="11.25" customHeight="1">
      <c r="D16" s="396"/>
      <c r="E16" s="351" t="s">
        <v>624</v>
      </c>
      <c r="H16" s="2703" t="s">
        <v>1521</v>
      </c>
      <c r="I16" s="2704"/>
      <c r="J16" s="2644"/>
      <c r="K16" s="613" t="s">
        <v>2722</v>
      </c>
      <c r="L16" s="2703" t="s">
        <v>2842</v>
      </c>
      <c r="M16" s="2704"/>
      <c r="N16" s="2644"/>
      <c r="O16" s="395" t="s">
        <v>1734</v>
      </c>
      <c r="P16" s="397"/>
      <c r="Q16" s="2698">
        <v>3174086628</v>
      </c>
      <c r="R16" s="2699"/>
      <c r="S16" s="2700"/>
    </row>
    <row r="17" spans="3:19" s="346" customFormat="1" ht="11.25" customHeight="1">
      <c r="D17" s="348"/>
      <c r="E17" s="351" t="s">
        <v>1812</v>
      </c>
      <c r="H17" s="1827" t="s">
        <v>863</v>
      </c>
      <c r="K17" s="1066" t="s">
        <v>2245</v>
      </c>
      <c r="L17" s="2705">
        <v>402520378</v>
      </c>
      <c r="M17" s="2706"/>
      <c r="N17" s="397"/>
      <c r="O17" s="395" t="s">
        <v>1995</v>
      </c>
      <c r="P17" s="397"/>
      <c r="Q17" s="2698">
        <v>3174086628</v>
      </c>
      <c r="R17" s="2699"/>
      <c r="S17" s="2700"/>
    </row>
    <row r="18" spans="3:19" s="346" customFormat="1" ht="11.25" customHeight="1">
      <c r="D18" s="396"/>
      <c r="E18" s="351" t="s">
        <v>4324</v>
      </c>
      <c r="H18" s="2701">
        <v>3174086628</v>
      </c>
      <c r="I18" s="2702"/>
      <c r="J18" s="378"/>
      <c r="K18" s="398" t="s">
        <v>2000</v>
      </c>
      <c r="L18" s="2548" t="s">
        <v>4691</v>
      </c>
      <c r="M18" s="2549"/>
      <c r="N18" s="2549"/>
      <c r="O18" s="2549"/>
      <c r="P18" s="2549"/>
      <c r="Q18" s="2549"/>
      <c r="R18" s="2549"/>
      <c r="S18" s="2550"/>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703"/>
      <c r="I20" s="2704"/>
      <c r="J20" s="2704"/>
      <c r="K20" s="2704"/>
      <c r="L20" s="2704"/>
      <c r="M20" s="2704"/>
      <c r="N20" s="2644"/>
      <c r="O20" s="395" t="s">
        <v>2005</v>
      </c>
      <c r="P20" s="395"/>
      <c r="Q20" s="2703"/>
      <c r="R20" s="2704"/>
      <c r="S20" s="2644"/>
    </row>
    <row r="21" spans="3:19" s="346" customFormat="1" ht="11.25" customHeight="1">
      <c r="D21" s="396"/>
      <c r="E21" s="351" t="s">
        <v>1031</v>
      </c>
      <c r="F21" s="360"/>
      <c r="H21" s="2703"/>
      <c r="I21" s="2704"/>
      <c r="J21" s="2704"/>
      <c r="K21" s="2704"/>
      <c r="L21" s="2704"/>
      <c r="M21" s="2704"/>
      <c r="N21" s="2644"/>
      <c r="O21" s="395" t="s">
        <v>1760</v>
      </c>
      <c r="P21" s="397"/>
      <c r="Q21" s="2703"/>
      <c r="R21" s="2704"/>
      <c r="S21" s="2644"/>
    </row>
    <row r="22" spans="3:19" s="346" customFormat="1" ht="11.25" customHeight="1">
      <c r="D22" s="396"/>
      <c r="E22" s="351" t="s">
        <v>624</v>
      </c>
      <c r="H22" s="2703"/>
      <c r="I22" s="2704"/>
      <c r="J22" s="2644"/>
      <c r="K22" s="613" t="s">
        <v>2722</v>
      </c>
      <c r="L22" s="2703"/>
      <c r="M22" s="2704"/>
      <c r="N22" s="2644"/>
      <c r="O22" s="395" t="s">
        <v>1734</v>
      </c>
      <c r="P22" s="397"/>
      <c r="Q22" s="2701"/>
      <c r="R22" s="2711"/>
      <c r="S22" s="2702"/>
    </row>
    <row r="23" spans="3:19" s="346" customFormat="1" ht="11.25" customHeight="1">
      <c r="E23" s="351" t="s">
        <v>1812</v>
      </c>
      <c r="H23" s="1827"/>
      <c r="K23" s="1066" t="s">
        <v>2245</v>
      </c>
      <c r="L23" s="2705"/>
      <c r="M23" s="2706"/>
      <c r="N23" s="397"/>
      <c r="O23" s="395" t="s">
        <v>1995</v>
      </c>
      <c r="P23" s="397"/>
      <c r="Q23" s="2701"/>
      <c r="R23" s="2711"/>
      <c r="S23" s="2702"/>
    </row>
    <row r="24" spans="3:19" s="346" customFormat="1" ht="11.25" customHeight="1">
      <c r="D24" s="396"/>
      <c r="E24" s="351" t="s">
        <v>4324</v>
      </c>
      <c r="H24" s="2701"/>
      <c r="I24" s="2702"/>
      <c r="J24" s="378"/>
      <c r="K24" s="398" t="s">
        <v>2000</v>
      </c>
      <c r="L24" s="2548"/>
      <c r="M24" s="2549"/>
      <c r="N24" s="2549"/>
      <c r="O24" s="2549"/>
      <c r="P24" s="2549"/>
      <c r="Q24" s="2549"/>
      <c r="R24" s="2549"/>
      <c r="S24" s="2550"/>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703"/>
      <c r="I26" s="2704"/>
      <c r="J26" s="2704"/>
      <c r="K26" s="2704"/>
      <c r="L26" s="2704"/>
      <c r="M26" s="2704"/>
      <c r="N26" s="2644"/>
      <c r="O26" s="395" t="s">
        <v>2005</v>
      </c>
      <c r="P26" s="395"/>
      <c r="Q26" s="2703"/>
      <c r="R26" s="2704"/>
      <c r="S26" s="2644"/>
    </row>
    <row r="27" spans="3:19" s="346" customFormat="1" ht="11.25" customHeight="1">
      <c r="D27" s="396"/>
      <c r="E27" s="351" t="s">
        <v>1031</v>
      </c>
      <c r="F27" s="360"/>
      <c r="H27" s="2703"/>
      <c r="I27" s="2704"/>
      <c r="J27" s="2704"/>
      <c r="K27" s="2704"/>
      <c r="L27" s="2704"/>
      <c r="M27" s="2704"/>
      <c r="N27" s="2644"/>
      <c r="O27" s="395" t="s">
        <v>1760</v>
      </c>
      <c r="P27" s="397"/>
      <c r="Q27" s="2703"/>
      <c r="R27" s="2704"/>
      <c r="S27" s="2644"/>
    </row>
    <row r="28" spans="3:19" s="346" customFormat="1" ht="11.25" customHeight="1">
      <c r="D28" s="396"/>
      <c r="E28" s="351" t="s">
        <v>624</v>
      </c>
      <c r="H28" s="2703"/>
      <c r="I28" s="2704"/>
      <c r="J28" s="2644"/>
      <c r="K28" s="613" t="s">
        <v>2722</v>
      </c>
      <c r="L28" s="2703"/>
      <c r="M28" s="2704"/>
      <c r="N28" s="2644"/>
      <c r="O28" s="395" t="s">
        <v>1734</v>
      </c>
      <c r="P28" s="397"/>
      <c r="Q28" s="2701"/>
      <c r="R28" s="2711"/>
      <c r="S28" s="2702"/>
    </row>
    <row r="29" spans="3:19" s="346" customFormat="1" ht="11.25" customHeight="1">
      <c r="E29" s="351" t="s">
        <v>1812</v>
      </c>
      <c r="H29" s="1827"/>
      <c r="K29" s="1066" t="s">
        <v>2245</v>
      </c>
      <c r="L29" s="2705"/>
      <c r="M29" s="2706"/>
      <c r="N29" s="397"/>
      <c r="O29" s="395" t="s">
        <v>1995</v>
      </c>
      <c r="P29" s="397"/>
      <c r="Q29" s="2701"/>
      <c r="R29" s="2711"/>
      <c r="S29" s="2702"/>
    </row>
    <row r="30" spans="3:19" s="346" customFormat="1" ht="11.25" customHeight="1">
      <c r="D30" s="396"/>
      <c r="E30" s="351" t="s">
        <v>4324</v>
      </c>
      <c r="H30" s="2701"/>
      <c r="I30" s="2702"/>
      <c r="J30" s="378"/>
      <c r="K30" s="398" t="s">
        <v>2000</v>
      </c>
      <c r="L30" s="2548"/>
      <c r="M30" s="2549"/>
      <c r="N30" s="2549"/>
      <c r="O30" s="2549"/>
      <c r="P30" s="2549"/>
      <c r="Q30" s="2549"/>
      <c r="R30" s="2549"/>
      <c r="S30" s="2550"/>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4323</v>
      </c>
      <c r="L32" s="403"/>
      <c r="M32" s="403"/>
      <c r="N32" s="397"/>
      <c r="O32" s="397"/>
      <c r="P32" s="397"/>
      <c r="Q32" s="397"/>
      <c r="R32" s="397"/>
      <c r="S32" s="397"/>
    </row>
    <row r="33" spans="3:19" s="346" customFormat="1" ht="11.25" customHeight="1">
      <c r="D33" s="348" t="s">
        <v>2132</v>
      </c>
      <c r="E33" s="346" t="s">
        <v>758</v>
      </c>
      <c r="H33" s="2551" t="s">
        <v>4712</v>
      </c>
      <c r="I33" s="2556"/>
      <c r="J33" s="2556"/>
      <c r="K33" s="2556"/>
      <c r="L33" s="2556"/>
      <c r="M33" s="2556"/>
      <c r="N33" s="2552"/>
      <c r="O33" s="395" t="s">
        <v>2005</v>
      </c>
      <c r="P33" s="395"/>
      <c r="Q33" s="2551" t="s">
        <v>4714</v>
      </c>
      <c r="R33" s="2556"/>
      <c r="S33" s="2552"/>
    </row>
    <row r="34" spans="3:19" s="346" customFormat="1" ht="11.25" customHeight="1">
      <c r="D34" s="396"/>
      <c r="E34" s="351" t="s">
        <v>1031</v>
      </c>
      <c r="F34" s="360"/>
      <c r="H34" s="2551" t="s">
        <v>4713</v>
      </c>
      <c r="I34" s="2556"/>
      <c r="J34" s="2556"/>
      <c r="K34" s="2556"/>
      <c r="L34" s="2556"/>
      <c r="M34" s="2556"/>
      <c r="N34" s="2552"/>
      <c r="O34" s="395" t="s">
        <v>1760</v>
      </c>
      <c r="P34" s="397"/>
      <c r="Q34" s="2551" t="s">
        <v>4715</v>
      </c>
      <c r="R34" s="2556"/>
      <c r="S34" s="2552"/>
    </row>
    <row r="35" spans="3:19" s="346" customFormat="1" ht="11.25" customHeight="1">
      <c r="D35" s="396"/>
      <c r="E35" s="351" t="s">
        <v>624</v>
      </c>
      <c r="H35" s="2703" t="s">
        <v>4716</v>
      </c>
      <c r="I35" s="2704"/>
      <c r="J35" s="2644"/>
      <c r="K35" s="613" t="s">
        <v>2722</v>
      </c>
      <c r="L35" s="2703" t="s">
        <v>4717</v>
      </c>
      <c r="M35" s="2704"/>
      <c r="N35" s="2644"/>
      <c r="O35" s="395" t="s">
        <v>1734</v>
      </c>
      <c r="P35" s="397"/>
      <c r="Q35" s="2698">
        <v>9803862131</v>
      </c>
      <c r="R35" s="2699"/>
      <c r="S35" s="2700"/>
    </row>
    <row r="36" spans="3:19" s="346" customFormat="1" ht="11.25" customHeight="1">
      <c r="E36" s="351" t="s">
        <v>1812</v>
      </c>
      <c r="H36" s="1827" t="s">
        <v>1361</v>
      </c>
      <c r="K36" s="1066" t="s">
        <v>2245</v>
      </c>
      <c r="L36" s="2705">
        <v>282024000</v>
      </c>
      <c r="M36" s="2706"/>
      <c r="N36" s="397"/>
      <c r="O36" s="395" t="s">
        <v>1995</v>
      </c>
      <c r="P36" s="397"/>
      <c r="Q36" s="2698">
        <v>7048064495</v>
      </c>
      <c r="R36" s="2699"/>
      <c r="S36" s="2700"/>
    </row>
    <row r="37" spans="3:19" s="346" customFormat="1" ht="11.25" customHeight="1">
      <c r="D37" s="396"/>
      <c r="E37" s="351" t="s">
        <v>4324</v>
      </c>
      <c r="H37" s="2701">
        <v>9803862131</v>
      </c>
      <c r="I37" s="2702"/>
      <c r="J37" s="378"/>
      <c r="K37" s="398" t="s">
        <v>2000</v>
      </c>
      <c r="L37" s="2548" t="s">
        <v>4718</v>
      </c>
      <c r="M37" s="2549"/>
      <c r="N37" s="2549"/>
      <c r="O37" s="2549"/>
      <c r="P37" s="2549"/>
      <c r="Q37" s="2549"/>
      <c r="R37" s="2549"/>
      <c r="S37" s="2550"/>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703" t="s">
        <v>4719</v>
      </c>
      <c r="I39" s="2704"/>
      <c r="J39" s="2704"/>
      <c r="K39" s="2704"/>
      <c r="L39" s="2704"/>
      <c r="M39" s="2704"/>
      <c r="N39" s="2644"/>
      <c r="O39" s="395" t="s">
        <v>2005</v>
      </c>
      <c r="P39" s="395"/>
      <c r="Q39" s="2703"/>
      <c r="R39" s="2704"/>
      <c r="S39" s="2644"/>
    </row>
    <row r="40" spans="3:19" s="346" customFormat="1" ht="11.25" customHeight="1">
      <c r="D40" s="396"/>
      <c r="E40" s="351" t="s">
        <v>1031</v>
      </c>
      <c r="F40" s="360"/>
      <c r="H40" s="2703"/>
      <c r="I40" s="2704"/>
      <c r="J40" s="2704"/>
      <c r="K40" s="2704"/>
      <c r="L40" s="2704"/>
      <c r="M40" s="2704"/>
      <c r="N40" s="2644"/>
      <c r="O40" s="395" t="s">
        <v>1760</v>
      </c>
      <c r="P40" s="397"/>
      <c r="Q40" s="2703"/>
      <c r="R40" s="2704"/>
      <c r="S40" s="2644"/>
    </row>
    <row r="41" spans="3:19" s="346" customFormat="1" ht="11.25" customHeight="1">
      <c r="D41" s="396"/>
      <c r="E41" s="351" t="s">
        <v>624</v>
      </c>
      <c r="H41" s="2703"/>
      <c r="I41" s="2704"/>
      <c r="J41" s="2644"/>
      <c r="K41" s="613" t="s">
        <v>2722</v>
      </c>
      <c r="L41" s="2703"/>
      <c r="M41" s="2704"/>
      <c r="N41" s="2644"/>
      <c r="O41" s="395" t="s">
        <v>1734</v>
      </c>
      <c r="P41" s="397"/>
      <c r="Q41" s="2701"/>
      <c r="R41" s="2711"/>
      <c r="S41" s="2702"/>
    </row>
    <row r="42" spans="3:19" s="346" customFormat="1" ht="11.25" customHeight="1">
      <c r="D42" s="348"/>
      <c r="E42" s="351" t="s">
        <v>1812</v>
      </c>
      <c r="H42" s="1827"/>
      <c r="K42" s="1066" t="s">
        <v>2245</v>
      </c>
      <c r="L42" s="2705"/>
      <c r="M42" s="2706"/>
      <c r="N42" s="397"/>
      <c r="O42" s="395" t="s">
        <v>1995</v>
      </c>
      <c r="P42" s="397"/>
      <c r="Q42" s="2701"/>
      <c r="R42" s="2711"/>
      <c r="S42" s="2702"/>
    </row>
    <row r="43" spans="3:19" s="346" customFormat="1" ht="11.25" customHeight="1">
      <c r="D43" s="396"/>
      <c r="E43" s="351" t="s">
        <v>4324</v>
      </c>
      <c r="H43" s="2701"/>
      <c r="I43" s="2702"/>
      <c r="J43" s="378"/>
      <c r="K43" s="398" t="s">
        <v>2000</v>
      </c>
      <c r="L43" s="2548"/>
      <c r="M43" s="2549"/>
      <c r="N43" s="2549"/>
      <c r="O43" s="2549"/>
      <c r="P43" s="2549"/>
      <c r="Q43" s="2549"/>
      <c r="R43" s="2549"/>
      <c r="S43" s="2550"/>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1" t="s">
        <v>4323</v>
      </c>
      <c r="L45" s="403"/>
      <c r="M45" s="403"/>
      <c r="N45" s="397"/>
      <c r="O45" s="397"/>
      <c r="P45" s="397"/>
      <c r="Q45" s="397"/>
      <c r="R45" s="397"/>
      <c r="S45" s="397"/>
    </row>
    <row r="46" spans="3:19" s="346" customFormat="1" ht="11.25" customHeight="1">
      <c r="E46" s="346" t="s">
        <v>93</v>
      </c>
      <c r="H46" s="2703"/>
      <c r="I46" s="2704"/>
      <c r="J46" s="2704"/>
      <c r="K46" s="2704"/>
      <c r="L46" s="2704"/>
      <c r="M46" s="2704"/>
      <c r="N46" s="2644"/>
      <c r="O46" s="395" t="s">
        <v>2005</v>
      </c>
      <c r="P46" s="395"/>
      <c r="Q46" s="2703"/>
      <c r="R46" s="2704"/>
      <c r="S46" s="2644"/>
    </row>
    <row r="47" spans="3:19" s="346" customFormat="1" ht="11.25" customHeight="1">
      <c r="D47" s="396"/>
      <c r="E47" s="351" t="s">
        <v>1031</v>
      </c>
      <c r="F47" s="360"/>
      <c r="H47" s="2703"/>
      <c r="I47" s="2704"/>
      <c r="J47" s="2704"/>
      <c r="K47" s="2704"/>
      <c r="L47" s="2704"/>
      <c r="M47" s="2704"/>
      <c r="N47" s="2644"/>
      <c r="O47" s="395" t="s">
        <v>1760</v>
      </c>
      <c r="P47" s="397"/>
      <c r="Q47" s="2703"/>
      <c r="R47" s="2704"/>
      <c r="S47" s="2644"/>
    </row>
    <row r="48" spans="3:19" s="346" customFormat="1" ht="11.25" customHeight="1">
      <c r="D48" s="396"/>
      <c r="E48" s="351" t="s">
        <v>624</v>
      </c>
      <c r="H48" s="2703"/>
      <c r="I48" s="2704"/>
      <c r="J48" s="2644"/>
      <c r="K48" s="613" t="s">
        <v>2722</v>
      </c>
      <c r="L48" s="2703"/>
      <c r="M48" s="2704"/>
      <c r="N48" s="2644"/>
      <c r="O48" s="395" t="s">
        <v>1734</v>
      </c>
      <c r="P48" s="397"/>
      <c r="Q48" s="2701"/>
      <c r="R48" s="2711"/>
      <c r="S48" s="2702"/>
    </row>
    <row r="49" spans="1:19" s="346" customFormat="1" ht="11.25" customHeight="1">
      <c r="E49" s="351" t="s">
        <v>1812</v>
      </c>
      <c r="H49" s="1827"/>
      <c r="K49" s="1066" t="s">
        <v>2245</v>
      </c>
      <c r="L49" s="2705"/>
      <c r="M49" s="2706"/>
      <c r="N49" s="397"/>
      <c r="O49" s="395" t="s">
        <v>1995</v>
      </c>
      <c r="P49" s="397"/>
      <c r="Q49" s="2701"/>
      <c r="R49" s="2711"/>
      <c r="S49" s="2702"/>
    </row>
    <row r="50" spans="1:19" s="346" customFormat="1" ht="11.25" customHeight="1">
      <c r="D50" s="396"/>
      <c r="E50" s="351" t="s">
        <v>4324</v>
      </c>
      <c r="H50" s="2701"/>
      <c r="I50" s="2702"/>
      <c r="J50" s="378"/>
      <c r="K50" s="398" t="s">
        <v>2000</v>
      </c>
      <c r="L50" s="2548"/>
      <c r="M50" s="2549"/>
      <c r="N50" s="2549"/>
      <c r="O50" s="2549"/>
      <c r="P50" s="2549"/>
      <c r="Q50" s="2549"/>
      <c r="R50" s="2549"/>
      <c r="S50" s="2550"/>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9"/>
      <c r="H52" s="398"/>
      <c r="I52" s="398"/>
      <c r="J52" s="403"/>
      <c r="K52" s="1801" t="s">
        <v>4323</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551" t="s">
        <v>4720</v>
      </c>
      <c r="I54" s="2556"/>
      <c r="J54" s="2556"/>
      <c r="K54" s="2556"/>
      <c r="L54" s="2556"/>
      <c r="M54" s="2556"/>
      <c r="N54" s="2552"/>
      <c r="O54" s="395" t="s">
        <v>2005</v>
      </c>
      <c r="P54" s="395"/>
      <c r="Q54" s="2551" t="s">
        <v>4688</v>
      </c>
      <c r="R54" s="2556"/>
      <c r="S54" s="2552"/>
    </row>
    <row r="55" spans="1:19" s="346" customFormat="1" ht="11.25" customHeight="1">
      <c r="D55" s="396"/>
      <c r="E55" s="351" t="s">
        <v>1031</v>
      </c>
      <c r="F55" s="360"/>
      <c r="H55" s="2551" t="s">
        <v>4690</v>
      </c>
      <c r="I55" s="2556"/>
      <c r="J55" s="2556"/>
      <c r="K55" s="2556"/>
      <c r="L55" s="2556"/>
      <c r="M55" s="2556"/>
      <c r="N55" s="2552"/>
      <c r="O55" s="395" t="s">
        <v>1760</v>
      </c>
      <c r="P55" s="397"/>
      <c r="Q55" s="2551" t="s">
        <v>4710</v>
      </c>
      <c r="R55" s="2556"/>
      <c r="S55" s="2552"/>
    </row>
    <row r="56" spans="1:19" s="346" customFormat="1" ht="11.25" customHeight="1">
      <c r="D56" s="396"/>
      <c r="E56" s="351" t="s">
        <v>624</v>
      </c>
      <c r="H56" s="2703" t="s">
        <v>1521</v>
      </c>
      <c r="I56" s="2704"/>
      <c r="J56" s="2644"/>
      <c r="K56" s="613" t="s">
        <v>2722</v>
      </c>
      <c r="L56" s="2703" t="s">
        <v>2842</v>
      </c>
      <c r="M56" s="2704"/>
      <c r="N56" s="2644"/>
      <c r="O56" s="395" t="s">
        <v>1734</v>
      </c>
      <c r="P56" s="397"/>
      <c r="Q56" s="2698">
        <v>3174086628</v>
      </c>
      <c r="R56" s="2699"/>
      <c r="S56" s="2700"/>
    </row>
    <row r="57" spans="1:19" s="346" customFormat="1" ht="11.25" customHeight="1">
      <c r="E57" s="351" t="s">
        <v>1812</v>
      </c>
      <c r="H57" s="1827" t="s">
        <v>863</v>
      </c>
      <c r="K57" s="1066" t="s">
        <v>2245</v>
      </c>
      <c r="L57" s="2705">
        <v>402520378</v>
      </c>
      <c r="M57" s="2706"/>
      <c r="N57" s="397"/>
      <c r="O57" s="395" t="s">
        <v>1995</v>
      </c>
      <c r="P57" s="397"/>
      <c r="Q57" s="2698">
        <v>3174086628</v>
      </c>
      <c r="R57" s="2699"/>
      <c r="S57" s="2700"/>
    </row>
    <row r="58" spans="1:19" s="346" customFormat="1" ht="11.25" customHeight="1">
      <c r="D58" s="396"/>
      <c r="E58" s="351" t="s">
        <v>4324</v>
      </c>
      <c r="H58" s="2701">
        <v>3174086628</v>
      </c>
      <c r="I58" s="2702"/>
      <c r="J58" s="378"/>
      <c r="K58" s="398" t="s">
        <v>2000</v>
      </c>
      <c r="L58" s="2548" t="s">
        <v>4691</v>
      </c>
      <c r="M58" s="2549"/>
      <c r="N58" s="2549"/>
      <c r="O58" s="2549"/>
      <c r="P58" s="2549"/>
      <c r="Q58" s="2549"/>
      <c r="R58" s="2549"/>
      <c r="S58" s="2550"/>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703"/>
      <c r="I60" s="2704"/>
      <c r="J60" s="2704"/>
      <c r="K60" s="2704"/>
      <c r="L60" s="2704"/>
      <c r="M60" s="2704"/>
      <c r="N60" s="2644"/>
      <c r="O60" s="395" t="s">
        <v>2005</v>
      </c>
      <c r="P60" s="395"/>
      <c r="Q60" s="2703"/>
      <c r="R60" s="2704"/>
      <c r="S60" s="2644"/>
    </row>
    <row r="61" spans="1:19" s="346" customFormat="1" ht="11.25" customHeight="1">
      <c r="D61" s="396"/>
      <c r="E61" s="351" t="s">
        <v>1031</v>
      </c>
      <c r="F61" s="360"/>
      <c r="H61" s="2703"/>
      <c r="I61" s="2704"/>
      <c r="J61" s="2704"/>
      <c r="K61" s="2704"/>
      <c r="L61" s="2704"/>
      <c r="M61" s="2704"/>
      <c r="N61" s="2644"/>
      <c r="O61" s="395" t="s">
        <v>1760</v>
      </c>
      <c r="P61" s="397"/>
      <c r="Q61" s="2703"/>
      <c r="R61" s="2704"/>
      <c r="S61" s="2644"/>
    </row>
    <row r="62" spans="1:19" s="346" customFormat="1" ht="11.25" customHeight="1">
      <c r="D62" s="396"/>
      <c r="E62" s="351" t="s">
        <v>624</v>
      </c>
      <c r="H62" s="2703"/>
      <c r="I62" s="2704"/>
      <c r="J62" s="2644"/>
      <c r="K62" s="613" t="s">
        <v>2722</v>
      </c>
      <c r="L62" s="2703"/>
      <c r="M62" s="2704"/>
      <c r="N62" s="2644"/>
      <c r="O62" s="395" t="s">
        <v>1734</v>
      </c>
      <c r="P62" s="397"/>
      <c r="Q62" s="2701"/>
      <c r="R62" s="2711"/>
      <c r="S62" s="2702"/>
    </row>
    <row r="63" spans="1:19" s="346" customFormat="1" ht="11.25" customHeight="1">
      <c r="E63" s="351" t="s">
        <v>1812</v>
      </c>
      <c r="H63" s="1827"/>
      <c r="K63" s="1066" t="s">
        <v>2245</v>
      </c>
      <c r="L63" s="2705"/>
      <c r="M63" s="2706"/>
      <c r="N63" s="397"/>
      <c r="O63" s="395" t="s">
        <v>1995</v>
      </c>
      <c r="P63" s="397"/>
      <c r="Q63" s="2701"/>
      <c r="R63" s="2711"/>
      <c r="S63" s="2702"/>
    </row>
    <row r="64" spans="1:19" s="346" customFormat="1" ht="11.25" customHeight="1">
      <c r="D64" s="396"/>
      <c r="E64" s="351" t="s">
        <v>4324</v>
      </c>
      <c r="H64" s="2701"/>
      <c r="I64" s="2702"/>
      <c r="J64" s="378"/>
      <c r="K64" s="398" t="s">
        <v>2000</v>
      </c>
      <c r="L64" s="2548"/>
      <c r="M64" s="2549"/>
      <c r="N64" s="2549"/>
      <c r="O64" s="2549"/>
      <c r="P64" s="2549"/>
      <c r="Q64" s="2549"/>
      <c r="R64" s="2549"/>
      <c r="S64" s="2550"/>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703"/>
      <c r="I66" s="2704"/>
      <c r="J66" s="2704"/>
      <c r="K66" s="2704"/>
      <c r="L66" s="2704"/>
      <c r="M66" s="2704"/>
      <c r="N66" s="2644"/>
      <c r="O66" s="395" t="s">
        <v>2005</v>
      </c>
      <c r="P66" s="395"/>
      <c r="Q66" s="2703"/>
      <c r="R66" s="2704"/>
      <c r="S66" s="2644"/>
    </row>
    <row r="67" spans="1:19" s="346" customFormat="1" ht="11.25" customHeight="1">
      <c r="D67" s="396"/>
      <c r="E67" s="351" t="s">
        <v>1031</v>
      </c>
      <c r="F67" s="360"/>
      <c r="H67" s="2703"/>
      <c r="I67" s="2704"/>
      <c r="J67" s="2704"/>
      <c r="K67" s="2704"/>
      <c r="L67" s="2704"/>
      <c r="M67" s="2704"/>
      <c r="N67" s="2644"/>
      <c r="O67" s="395" t="s">
        <v>1760</v>
      </c>
      <c r="P67" s="397"/>
      <c r="Q67" s="2703"/>
      <c r="R67" s="2704"/>
      <c r="S67" s="2644"/>
    </row>
    <row r="68" spans="1:19" s="346" customFormat="1" ht="11.25" customHeight="1">
      <c r="D68" s="396"/>
      <c r="E68" s="351" t="s">
        <v>624</v>
      </c>
      <c r="H68" s="2703"/>
      <c r="I68" s="2704"/>
      <c r="J68" s="2644"/>
      <c r="K68" s="613" t="s">
        <v>2722</v>
      </c>
      <c r="L68" s="2703"/>
      <c r="M68" s="2704"/>
      <c r="N68" s="2644"/>
      <c r="O68" s="395" t="s">
        <v>1734</v>
      </c>
      <c r="P68" s="397"/>
      <c r="Q68" s="2701"/>
      <c r="R68" s="2711"/>
      <c r="S68" s="2702"/>
    </row>
    <row r="69" spans="1:19" s="346" customFormat="1" ht="11.25" customHeight="1">
      <c r="E69" s="351" t="s">
        <v>1812</v>
      </c>
      <c r="H69" s="1827"/>
      <c r="K69" s="1066" t="s">
        <v>2245</v>
      </c>
      <c r="L69" s="2705"/>
      <c r="M69" s="2706"/>
      <c r="N69" s="397"/>
      <c r="O69" s="395" t="s">
        <v>1995</v>
      </c>
      <c r="P69" s="397"/>
      <c r="Q69" s="2701"/>
      <c r="R69" s="2711"/>
      <c r="S69" s="2702"/>
    </row>
    <row r="70" spans="1:19" s="346" customFormat="1" ht="11.25" customHeight="1">
      <c r="D70" s="396"/>
      <c r="E70" s="351" t="s">
        <v>4324</v>
      </c>
      <c r="H70" s="2701"/>
      <c r="I70" s="2702"/>
      <c r="J70" s="378"/>
      <c r="K70" s="398" t="s">
        <v>2000</v>
      </c>
      <c r="L70" s="2548"/>
      <c r="M70" s="2549"/>
      <c r="N70" s="2549"/>
      <c r="O70" s="2549"/>
      <c r="P70" s="2549"/>
      <c r="Q70" s="2549"/>
      <c r="R70" s="2549"/>
      <c r="S70" s="2550"/>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551" t="s">
        <v>4721</v>
      </c>
      <c r="I72" s="2556"/>
      <c r="J72" s="2556"/>
      <c r="K72" s="2556"/>
      <c r="L72" s="2556"/>
      <c r="M72" s="2556"/>
      <c r="N72" s="2552"/>
      <c r="O72" s="395" t="s">
        <v>2005</v>
      </c>
      <c r="P72" s="395"/>
      <c r="Q72" s="2551" t="s">
        <v>4683</v>
      </c>
      <c r="R72" s="2556"/>
      <c r="S72" s="2552"/>
    </row>
    <row r="73" spans="1:19" s="346" customFormat="1" ht="11.25" customHeight="1">
      <c r="D73" s="396"/>
      <c r="E73" s="351" t="s">
        <v>1031</v>
      </c>
      <c r="F73" s="360"/>
      <c r="H73" s="2551" t="s">
        <v>4685</v>
      </c>
      <c r="I73" s="2556"/>
      <c r="J73" s="2556"/>
      <c r="K73" s="2556"/>
      <c r="L73" s="2556"/>
      <c r="M73" s="2556"/>
      <c r="N73" s="2552"/>
      <c r="O73" s="395" t="s">
        <v>1760</v>
      </c>
      <c r="P73" s="397"/>
      <c r="Q73" s="2551" t="s">
        <v>4684</v>
      </c>
      <c r="R73" s="2556"/>
      <c r="S73" s="2552"/>
    </row>
    <row r="74" spans="1:19" s="346" customFormat="1" ht="11.25" customHeight="1">
      <c r="D74" s="396"/>
      <c r="E74" s="351" t="s">
        <v>624</v>
      </c>
      <c r="H74" s="2703" t="s">
        <v>1709</v>
      </c>
      <c r="I74" s="2704"/>
      <c r="J74" s="2644"/>
      <c r="K74" s="613" t="s">
        <v>2722</v>
      </c>
      <c r="L74" s="2703" t="s">
        <v>4722</v>
      </c>
      <c r="M74" s="2704"/>
      <c r="N74" s="2644"/>
      <c r="O74" s="395" t="s">
        <v>1734</v>
      </c>
      <c r="P74" s="397"/>
      <c r="Q74" s="2698">
        <v>2292516399</v>
      </c>
      <c r="R74" s="2699"/>
      <c r="S74" s="2700"/>
    </row>
    <row r="75" spans="1:19" s="346" customFormat="1" ht="11.25" customHeight="1">
      <c r="E75" s="351" t="s">
        <v>1812</v>
      </c>
      <c r="H75" s="1827" t="s">
        <v>856</v>
      </c>
      <c r="K75" s="1066" t="s">
        <v>2245</v>
      </c>
      <c r="L75" s="2705">
        <v>316022711</v>
      </c>
      <c r="M75" s="2706"/>
      <c r="N75" s="397"/>
      <c r="O75" s="395" t="s">
        <v>1995</v>
      </c>
      <c r="P75" s="397"/>
      <c r="Q75" s="2698">
        <v>2292516399</v>
      </c>
      <c r="R75" s="2699"/>
      <c r="S75" s="2700"/>
    </row>
    <row r="76" spans="1:19" s="346" customFormat="1" ht="11.25" customHeight="1">
      <c r="D76" s="396"/>
      <c r="E76" s="351" t="s">
        <v>4324</v>
      </c>
      <c r="H76" s="2701">
        <v>2292516399</v>
      </c>
      <c r="I76" s="2702"/>
      <c r="J76" s="378"/>
      <c r="K76" s="398" t="s">
        <v>2000</v>
      </c>
      <c r="L76" s="2548" t="s">
        <v>4723</v>
      </c>
      <c r="M76" s="2549"/>
      <c r="N76" s="2549"/>
      <c r="O76" s="2549"/>
      <c r="P76" s="2549"/>
      <c r="Q76" s="2549"/>
      <c r="R76" s="2549"/>
      <c r="S76" s="2550"/>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1"/>
      <c r="F78" s="318"/>
      <c r="G78" s="318"/>
      <c r="H78" s="411"/>
      <c r="I78" s="411"/>
      <c r="J78" s="411"/>
      <c r="K78" s="1801" t="s">
        <v>4323</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703"/>
      <c r="I80" s="2704"/>
      <c r="J80" s="2704"/>
      <c r="K80" s="2704"/>
      <c r="L80" s="2704"/>
      <c r="M80" s="2704"/>
      <c r="N80" s="2644"/>
      <c r="O80" s="395" t="s">
        <v>2005</v>
      </c>
      <c r="P80" s="395"/>
      <c r="Q80" s="2703"/>
      <c r="R80" s="2704"/>
      <c r="S80" s="2644"/>
    </row>
    <row r="81" spans="2:19" s="346" customFormat="1" ht="11.25" customHeight="1">
      <c r="D81" s="396"/>
      <c r="E81" s="351" t="s">
        <v>1031</v>
      </c>
      <c r="F81" s="360"/>
      <c r="H81" s="2703"/>
      <c r="I81" s="2704"/>
      <c r="J81" s="2704"/>
      <c r="K81" s="2704"/>
      <c r="L81" s="2704"/>
      <c r="M81" s="2704"/>
      <c r="N81" s="2644"/>
      <c r="O81" s="395" t="s">
        <v>1760</v>
      </c>
      <c r="P81" s="397"/>
      <c r="Q81" s="2703"/>
      <c r="R81" s="2704"/>
      <c r="S81" s="2644"/>
    </row>
    <row r="82" spans="2:19" s="346" customFormat="1" ht="11.25" customHeight="1">
      <c r="D82" s="396"/>
      <c r="E82" s="351" t="s">
        <v>624</v>
      </c>
      <c r="H82" s="2703"/>
      <c r="I82" s="2704"/>
      <c r="J82" s="2644"/>
      <c r="K82" s="613" t="s">
        <v>2722</v>
      </c>
      <c r="L82" s="2703"/>
      <c r="M82" s="2704"/>
      <c r="N82" s="2644"/>
      <c r="O82" s="395" t="s">
        <v>1734</v>
      </c>
      <c r="P82" s="397"/>
      <c r="Q82" s="2701"/>
      <c r="R82" s="2711"/>
      <c r="S82" s="2702"/>
    </row>
    <row r="83" spans="2:19" s="346" customFormat="1" ht="11.25" customHeight="1">
      <c r="E83" s="351" t="s">
        <v>1812</v>
      </c>
      <c r="H83" s="1827"/>
      <c r="K83" s="1066" t="s">
        <v>2245</v>
      </c>
      <c r="L83" s="2705"/>
      <c r="M83" s="2706"/>
      <c r="N83" s="397"/>
      <c r="O83" s="395" t="s">
        <v>1995</v>
      </c>
      <c r="P83" s="397"/>
      <c r="Q83" s="2701"/>
      <c r="R83" s="2711"/>
      <c r="S83" s="2702"/>
    </row>
    <row r="84" spans="2:19" s="346" customFormat="1" ht="11.25" customHeight="1">
      <c r="D84" s="396"/>
      <c r="E84" s="351" t="s">
        <v>4324</v>
      </c>
      <c r="H84" s="2701"/>
      <c r="I84" s="2702"/>
      <c r="J84" s="378"/>
      <c r="K84" s="398" t="s">
        <v>2000</v>
      </c>
      <c r="L84" s="2548"/>
      <c r="M84" s="2549"/>
      <c r="N84" s="2549"/>
      <c r="O84" s="2549"/>
      <c r="P84" s="2549"/>
      <c r="Q84" s="2549"/>
      <c r="R84" s="2549"/>
      <c r="S84" s="2550"/>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551" t="s">
        <v>4724</v>
      </c>
      <c r="I86" s="2556"/>
      <c r="J86" s="2556"/>
      <c r="K86" s="2556"/>
      <c r="L86" s="2556"/>
      <c r="M86" s="2556"/>
      <c r="N86" s="2552"/>
      <c r="O86" s="395" t="s">
        <v>2005</v>
      </c>
      <c r="P86" s="395"/>
      <c r="Q86" s="2703"/>
      <c r="R86" s="2704"/>
      <c r="S86" s="2644"/>
    </row>
    <row r="87" spans="2:19" s="346" customFormat="1" ht="11.25" customHeight="1">
      <c r="D87" s="396"/>
      <c r="E87" s="351" t="s">
        <v>1031</v>
      </c>
      <c r="F87" s="360"/>
      <c r="H87" s="2703"/>
      <c r="I87" s="2704"/>
      <c r="J87" s="2704"/>
      <c r="K87" s="2704"/>
      <c r="L87" s="2704"/>
      <c r="M87" s="2704"/>
      <c r="N87" s="2644"/>
      <c r="O87" s="395" t="s">
        <v>1760</v>
      </c>
      <c r="P87" s="397"/>
      <c r="Q87" s="2703"/>
      <c r="R87" s="2704"/>
      <c r="S87" s="2644"/>
    </row>
    <row r="88" spans="2:19" s="346" customFormat="1" ht="11.25" customHeight="1">
      <c r="D88" s="396"/>
      <c r="E88" s="351" t="s">
        <v>624</v>
      </c>
      <c r="H88" s="2703"/>
      <c r="I88" s="2704"/>
      <c r="J88" s="2644"/>
      <c r="K88" s="613" t="s">
        <v>2722</v>
      </c>
      <c r="L88" s="2703"/>
      <c r="M88" s="2704"/>
      <c r="N88" s="2644"/>
      <c r="O88" s="395" t="s">
        <v>1734</v>
      </c>
      <c r="P88" s="397"/>
      <c r="Q88" s="2701"/>
      <c r="R88" s="2711"/>
      <c r="S88" s="2702"/>
    </row>
    <row r="89" spans="2:19" s="346" customFormat="1" ht="11.25" customHeight="1">
      <c r="E89" s="351" t="s">
        <v>1812</v>
      </c>
      <c r="H89" s="1827"/>
      <c r="K89" s="1066" t="s">
        <v>2245</v>
      </c>
      <c r="L89" s="2705"/>
      <c r="M89" s="2706"/>
      <c r="N89" s="397"/>
      <c r="O89" s="395" t="s">
        <v>1995</v>
      </c>
      <c r="P89" s="397"/>
      <c r="Q89" s="2701"/>
      <c r="R89" s="2711"/>
      <c r="S89" s="2702"/>
    </row>
    <row r="90" spans="2:19" s="346" customFormat="1" ht="11.25" customHeight="1">
      <c r="D90" s="396"/>
      <c r="E90" s="351" t="s">
        <v>4324</v>
      </c>
      <c r="H90" s="2701"/>
      <c r="I90" s="2702"/>
      <c r="J90" s="378"/>
      <c r="K90" s="398" t="s">
        <v>2000</v>
      </c>
      <c r="L90" s="2548"/>
      <c r="M90" s="2549"/>
      <c r="N90" s="2549"/>
      <c r="O90" s="2549"/>
      <c r="P90" s="2549"/>
      <c r="Q90" s="2549"/>
      <c r="R90" s="2549"/>
      <c r="S90" s="2550"/>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551" t="s">
        <v>4725</v>
      </c>
      <c r="I92" s="2556"/>
      <c r="J92" s="2556"/>
      <c r="K92" s="2556"/>
      <c r="L92" s="2556"/>
      <c r="M92" s="2556"/>
      <c r="N92" s="2552"/>
      <c r="O92" s="395" t="s">
        <v>2005</v>
      </c>
      <c r="P92" s="395"/>
      <c r="Q92" s="2551" t="s">
        <v>4727</v>
      </c>
      <c r="R92" s="2556"/>
      <c r="S92" s="2552"/>
    </row>
    <row r="93" spans="2:19" s="346" customFormat="1" ht="11.25" customHeight="1">
      <c r="D93" s="396"/>
      <c r="E93" s="351" t="s">
        <v>1031</v>
      </c>
      <c r="F93" s="360"/>
      <c r="H93" s="2551" t="s">
        <v>4726</v>
      </c>
      <c r="I93" s="2556"/>
      <c r="J93" s="2556"/>
      <c r="K93" s="2556"/>
      <c r="L93" s="2556"/>
      <c r="M93" s="2556"/>
      <c r="N93" s="2552"/>
      <c r="O93" s="395" t="s">
        <v>1760</v>
      </c>
      <c r="P93" s="397"/>
      <c r="Q93" s="2551" t="s">
        <v>4684</v>
      </c>
      <c r="R93" s="2556"/>
      <c r="S93" s="2552"/>
    </row>
    <row r="94" spans="2:19" s="346" customFormat="1" ht="11.25" customHeight="1">
      <c r="D94" s="396"/>
      <c r="E94" s="351" t="s">
        <v>624</v>
      </c>
      <c r="H94" s="2703" t="s">
        <v>4728</v>
      </c>
      <c r="I94" s="2704"/>
      <c r="J94" s="2644"/>
      <c r="K94" s="613" t="s">
        <v>2722</v>
      </c>
      <c r="L94" s="2551" t="s">
        <v>4729</v>
      </c>
      <c r="M94" s="2556"/>
      <c r="N94" s="2552"/>
      <c r="O94" s="395" t="s">
        <v>1734</v>
      </c>
      <c r="P94" s="397"/>
      <c r="Q94" s="2698">
        <v>2059803245</v>
      </c>
      <c r="R94" s="2699"/>
      <c r="S94" s="2700"/>
    </row>
    <row r="95" spans="2:19" s="346" customFormat="1" ht="11.25" customHeight="1">
      <c r="D95" s="396"/>
      <c r="E95" s="351" t="s">
        <v>1812</v>
      </c>
      <c r="H95" s="1827" t="s">
        <v>846</v>
      </c>
      <c r="K95" s="1066" t="s">
        <v>2245</v>
      </c>
      <c r="L95" s="2705">
        <v>352424814</v>
      </c>
      <c r="M95" s="2706"/>
      <c r="N95" s="397"/>
      <c r="O95" s="395" t="s">
        <v>1995</v>
      </c>
      <c r="P95" s="397"/>
      <c r="Q95" s="2698">
        <v>2057779765</v>
      </c>
      <c r="R95" s="2699"/>
      <c r="S95" s="2700"/>
    </row>
    <row r="96" spans="2:19" s="346" customFormat="1" ht="11.25" customHeight="1">
      <c r="D96" s="396"/>
      <c r="E96" s="351" t="s">
        <v>4324</v>
      </c>
      <c r="H96" s="2701">
        <v>2059803245</v>
      </c>
      <c r="I96" s="2702"/>
      <c r="J96" s="378"/>
      <c r="K96" s="398" t="s">
        <v>2000</v>
      </c>
      <c r="L96" s="2548" t="s">
        <v>4730</v>
      </c>
      <c r="M96" s="2549"/>
      <c r="N96" s="2549"/>
      <c r="O96" s="2549"/>
      <c r="P96" s="2549"/>
      <c r="Q96" s="2549"/>
      <c r="R96" s="2549"/>
      <c r="S96" s="2550"/>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551" t="s">
        <v>4733</v>
      </c>
      <c r="I98" s="2556"/>
      <c r="J98" s="2556"/>
      <c r="K98" s="2556"/>
      <c r="L98" s="2556"/>
      <c r="M98" s="2556"/>
      <c r="N98" s="2552"/>
      <c r="O98" s="395" t="s">
        <v>2005</v>
      </c>
      <c r="P98" s="395"/>
      <c r="Q98" s="2551" t="s">
        <v>4731</v>
      </c>
      <c r="R98" s="2556"/>
      <c r="S98" s="2552"/>
    </row>
    <row r="99" spans="2:19" s="346" customFormat="1" ht="11.25" customHeight="1">
      <c r="D99" s="396"/>
      <c r="E99" s="351" t="s">
        <v>1031</v>
      </c>
      <c r="F99" s="360"/>
      <c r="H99" s="2551" t="s">
        <v>4734</v>
      </c>
      <c r="I99" s="2556"/>
      <c r="J99" s="2556"/>
      <c r="K99" s="2556"/>
      <c r="L99" s="2556"/>
      <c r="M99" s="2556"/>
      <c r="N99" s="2552"/>
      <c r="O99" s="395" t="s">
        <v>1760</v>
      </c>
      <c r="P99" s="397"/>
      <c r="Q99" s="2551" t="s">
        <v>4732</v>
      </c>
      <c r="R99" s="2556"/>
      <c r="S99" s="2552"/>
    </row>
    <row r="100" spans="2:19" s="346" customFormat="1" ht="11.25" customHeight="1">
      <c r="D100" s="396"/>
      <c r="E100" s="351" t="s">
        <v>624</v>
      </c>
      <c r="H100" s="2703" t="s">
        <v>162</v>
      </c>
      <c r="I100" s="2704"/>
      <c r="J100" s="2644"/>
      <c r="K100" s="613" t="s">
        <v>2722</v>
      </c>
      <c r="L100" s="2551" t="s">
        <v>4735</v>
      </c>
      <c r="M100" s="2556"/>
      <c r="N100" s="2552"/>
      <c r="O100" s="395" t="s">
        <v>1734</v>
      </c>
      <c r="P100" s="397"/>
      <c r="Q100" s="2698">
        <v>6143963294</v>
      </c>
      <c r="R100" s="2699"/>
      <c r="S100" s="2700"/>
    </row>
    <row r="101" spans="2:19" s="346" customFormat="1" ht="11.25" customHeight="1">
      <c r="D101" s="396"/>
      <c r="E101" s="351" t="s">
        <v>1812</v>
      </c>
      <c r="H101" s="1827" t="s">
        <v>1363</v>
      </c>
      <c r="K101" s="1066" t="s">
        <v>2245</v>
      </c>
      <c r="L101" s="2705">
        <v>432157632</v>
      </c>
      <c r="M101" s="2706"/>
      <c r="N101" s="397"/>
      <c r="O101" s="395" t="s">
        <v>1995</v>
      </c>
      <c r="P101" s="397"/>
      <c r="Q101" s="2698">
        <v>6143237712</v>
      </c>
      <c r="R101" s="2699"/>
      <c r="S101" s="2700"/>
    </row>
    <row r="102" spans="2:19" ht="11.25" customHeight="1">
      <c r="E102" s="351" t="s">
        <v>4324</v>
      </c>
      <c r="F102" s="346"/>
      <c r="G102" s="346"/>
      <c r="H102" s="2701">
        <v>6143963296</v>
      </c>
      <c r="I102" s="2702"/>
      <c r="J102" s="378"/>
      <c r="K102" s="398" t="s">
        <v>2000</v>
      </c>
      <c r="L102" s="2548" t="s">
        <v>4736</v>
      </c>
      <c r="M102" s="2549"/>
      <c r="N102" s="2549"/>
      <c r="O102" s="2549"/>
      <c r="P102" s="2549"/>
      <c r="Q102" s="2549"/>
      <c r="R102" s="2549"/>
      <c r="S102" s="2550"/>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551" t="s">
        <v>4737</v>
      </c>
      <c r="I104" s="2556"/>
      <c r="J104" s="2556"/>
      <c r="K104" s="2556"/>
      <c r="L104" s="2556"/>
      <c r="M104" s="2556"/>
      <c r="N104" s="2552"/>
      <c r="O104" s="395" t="s">
        <v>2005</v>
      </c>
      <c r="P104" s="395"/>
      <c r="Q104" s="2551" t="s">
        <v>4741</v>
      </c>
      <c r="R104" s="2556"/>
      <c r="S104" s="2552"/>
    </row>
    <row r="105" spans="2:19" s="346" customFormat="1" ht="11.25" customHeight="1">
      <c r="D105" s="396"/>
      <c r="E105" s="351" t="s">
        <v>1031</v>
      </c>
      <c r="F105" s="360"/>
      <c r="H105" s="2551" t="s">
        <v>4738</v>
      </c>
      <c r="I105" s="2556"/>
      <c r="J105" s="2556"/>
      <c r="K105" s="2556"/>
      <c r="L105" s="2556"/>
      <c r="M105" s="2556"/>
      <c r="N105" s="2552"/>
      <c r="O105" s="395" t="s">
        <v>1760</v>
      </c>
      <c r="P105" s="397"/>
      <c r="Q105" s="2551" t="s">
        <v>4742</v>
      </c>
      <c r="R105" s="2556"/>
      <c r="S105" s="2552"/>
    </row>
    <row r="106" spans="2:19" s="346" customFormat="1" ht="11.25" customHeight="1">
      <c r="D106" s="396"/>
      <c r="E106" s="351" t="s">
        <v>624</v>
      </c>
      <c r="H106" s="2703" t="s">
        <v>162</v>
      </c>
      <c r="I106" s="2704"/>
      <c r="J106" s="2644"/>
      <c r="K106" s="613" t="s">
        <v>2722</v>
      </c>
      <c r="L106" s="2703" t="s">
        <v>4740</v>
      </c>
      <c r="M106" s="2704"/>
      <c r="N106" s="2644"/>
      <c r="O106" s="395" t="s">
        <v>1734</v>
      </c>
      <c r="P106" s="397"/>
      <c r="Q106" s="2698">
        <v>6145281441</v>
      </c>
      <c r="R106" s="2699"/>
      <c r="S106" s="2700"/>
    </row>
    <row r="107" spans="2:19" s="346" customFormat="1" ht="11.25" customHeight="1">
      <c r="D107" s="396"/>
      <c r="E107" s="351" t="s">
        <v>1812</v>
      </c>
      <c r="H107" s="1827" t="s">
        <v>1363</v>
      </c>
      <c r="K107" s="1066" t="s">
        <v>2245</v>
      </c>
      <c r="L107" s="2705">
        <v>432196191</v>
      </c>
      <c r="M107" s="2706"/>
      <c r="N107" s="397"/>
      <c r="O107" s="395" t="s">
        <v>1995</v>
      </c>
      <c r="P107" s="397"/>
      <c r="Q107" s="2698">
        <v>6143067824</v>
      </c>
      <c r="R107" s="2699"/>
      <c r="S107" s="2700"/>
    </row>
    <row r="108" spans="2:19" ht="11.25" customHeight="1">
      <c r="E108" s="351" t="s">
        <v>4324</v>
      </c>
      <c r="F108" s="346"/>
      <c r="G108" s="346"/>
      <c r="H108" s="2701">
        <v>6145281440</v>
      </c>
      <c r="I108" s="2702"/>
      <c r="J108" s="378"/>
      <c r="K108" s="398" t="s">
        <v>2000</v>
      </c>
      <c r="L108" s="2548" t="s">
        <v>4739</v>
      </c>
      <c r="M108" s="2549"/>
      <c r="N108" s="2549"/>
      <c r="O108" s="2549"/>
      <c r="P108" s="2549"/>
      <c r="Q108" s="2549"/>
      <c r="R108" s="2549"/>
      <c r="S108" s="2550"/>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551" t="s">
        <v>4743</v>
      </c>
      <c r="I110" s="2556"/>
      <c r="J110" s="2556"/>
      <c r="K110" s="2556"/>
      <c r="L110" s="2556"/>
      <c r="M110" s="2556"/>
      <c r="N110" s="2552"/>
      <c r="O110" s="395" t="s">
        <v>2005</v>
      </c>
      <c r="P110" s="395"/>
      <c r="Q110" s="2551" t="s">
        <v>4745</v>
      </c>
      <c r="R110" s="2556"/>
      <c r="S110" s="2552"/>
    </row>
    <row r="111" spans="2:19" s="346" customFormat="1" ht="11.25" customHeight="1">
      <c r="D111" s="396"/>
      <c r="E111" s="351" t="s">
        <v>1031</v>
      </c>
      <c r="F111" s="360"/>
      <c r="H111" s="2551" t="s">
        <v>4744</v>
      </c>
      <c r="I111" s="2556"/>
      <c r="J111" s="2556"/>
      <c r="K111" s="2556"/>
      <c r="L111" s="2556"/>
      <c r="M111" s="2556"/>
      <c r="N111" s="2552"/>
      <c r="O111" s="395" t="s">
        <v>1760</v>
      </c>
      <c r="P111" s="397"/>
      <c r="Q111" s="2551" t="s">
        <v>4746</v>
      </c>
      <c r="R111" s="2556"/>
      <c r="S111" s="2552"/>
    </row>
    <row r="112" spans="2:19" s="346" customFormat="1" ht="11.25" customHeight="1">
      <c r="D112" s="396"/>
      <c r="E112" s="351" t="s">
        <v>624</v>
      </c>
      <c r="H112" s="2703" t="s">
        <v>4747</v>
      </c>
      <c r="I112" s="2704"/>
      <c r="J112" s="2644"/>
      <c r="K112" s="613" t="s">
        <v>2722</v>
      </c>
      <c r="L112" s="2526" t="s">
        <v>4748</v>
      </c>
      <c r="M112" s="2712"/>
      <c r="N112" s="2625"/>
      <c r="O112" s="395" t="s">
        <v>1734</v>
      </c>
      <c r="P112" s="397"/>
      <c r="Q112" s="2698">
        <v>6099535373</v>
      </c>
      <c r="R112" s="2699"/>
      <c r="S112" s="2700"/>
    </row>
    <row r="113" spans="1:22" s="346" customFormat="1" ht="11.25" customHeight="1">
      <c r="D113" s="413"/>
      <c r="E113" s="351" t="s">
        <v>1812</v>
      </c>
      <c r="H113" s="1827" t="s">
        <v>1358</v>
      </c>
      <c r="K113" s="1066" t="s">
        <v>2245</v>
      </c>
      <c r="L113" s="2705">
        <v>80559283</v>
      </c>
      <c r="M113" s="2706"/>
      <c r="N113" s="397"/>
      <c r="O113" s="395" t="s">
        <v>1995</v>
      </c>
      <c r="P113" s="397"/>
      <c r="Q113" s="2701"/>
      <c r="R113" s="2711"/>
      <c r="S113" s="2702"/>
    </row>
    <row r="114" spans="1:22" s="346" customFormat="1" ht="11.25" customHeight="1">
      <c r="D114" s="413"/>
      <c r="E114" s="351" t="s">
        <v>4324</v>
      </c>
      <c r="H114" s="2701">
        <v>6099535373</v>
      </c>
      <c r="I114" s="2702"/>
      <c r="J114" s="378"/>
      <c r="K114" s="398" t="s">
        <v>2000</v>
      </c>
      <c r="L114" s="2676" t="s">
        <v>4749</v>
      </c>
      <c r="M114" s="2650"/>
      <c r="N114" s="2549"/>
      <c r="O114" s="2549"/>
      <c r="P114" s="2549"/>
      <c r="Q114" s="2650"/>
      <c r="R114" s="2650"/>
      <c r="S114" s="2651"/>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3603</v>
      </c>
      <c r="H117" s="2538" t="s">
        <v>4750</v>
      </c>
      <c r="I117" s="2539"/>
      <c r="J117" s="2540"/>
      <c r="K117" s="398" t="s">
        <v>2490</v>
      </c>
      <c r="L117" s="2538" t="s">
        <v>4751</v>
      </c>
      <c r="M117" s="2645"/>
      <c r="N117" s="2724"/>
      <c r="O117" s="351" t="s">
        <v>3604</v>
      </c>
      <c r="P117" s="397"/>
      <c r="Q117" s="2530">
        <v>4044676666</v>
      </c>
      <c r="R117" s="2725"/>
      <c r="S117" s="2726"/>
    </row>
    <row r="118" spans="1:22" s="346" customFormat="1" ht="11.25" customHeight="1">
      <c r="D118" s="396"/>
      <c r="E118" s="351" t="s">
        <v>1031</v>
      </c>
      <c r="F118" s="360"/>
      <c r="H118" s="2642" t="s">
        <v>4752</v>
      </c>
      <c r="I118" s="2727"/>
      <c r="J118" s="2728"/>
      <c r="K118" s="2643"/>
      <c r="L118" s="2727"/>
      <c r="M118" s="2727"/>
      <c r="N118" s="2729"/>
      <c r="O118" s="351" t="s">
        <v>624</v>
      </c>
      <c r="Q118" s="2703" t="s">
        <v>260</v>
      </c>
      <c r="R118" s="2704"/>
      <c r="S118" s="2644"/>
    </row>
    <row r="119" spans="1:22" s="346" customFormat="1" ht="11.25" customHeight="1">
      <c r="D119" s="396"/>
      <c r="E119" s="351" t="s">
        <v>1812</v>
      </c>
      <c r="H119" s="1827" t="s">
        <v>856</v>
      </c>
      <c r="I119" s="1066" t="s">
        <v>2245</v>
      </c>
      <c r="J119" s="2694">
        <v>302522893</v>
      </c>
      <c r="K119" s="2713"/>
      <c r="L119" s="398" t="s">
        <v>2000</v>
      </c>
      <c r="M119" s="2548" t="s">
        <v>4753</v>
      </c>
      <c r="N119" s="2549"/>
      <c r="O119" s="2549"/>
      <c r="P119" s="2549"/>
      <c r="Q119" s="2650"/>
      <c r="R119" s="2650"/>
      <c r="S119" s="2651"/>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14" t="s">
        <v>3919</v>
      </c>
      <c r="B121" s="2714"/>
      <c r="C121" s="2714"/>
      <c r="D121" s="2714"/>
      <c r="E121" s="2715"/>
      <c r="F121" s="677" t="s">
        <v>2527</v>
      </c>
      <c r="G121" s="2716" t="s">
        <v>3502</v>
      </c>
      <c r="H121" s="2717"/>
      <c r="I121" s="2717"/>
      <c r="J121" s="2717"/>
      <c r="K121" s="2717"/>
      <c r="L121" s="2717"/>
      <c r="M121" s="2717"/>
      <c r="N121" s="2717"/>
      <c r="O121" s="2717"/>
      <c r="P121" s="2717"/>
      <c r="Q121" s="2717"/>
      <c r="R121" s="2717"/>
      <c r="S121" s="2718"/>
    </row>
    <row r="122" spans="1:22" s="346" customFormat="1" ht="31.5" customHeight="1">
      <c r="B122" s="605"/>
      <c r="C122" s="1474" t="s">
        <v>2002</v>
      </c>
      <c r="D122" s="2719" t="s">
        <v>2855</v>
      </c>
      <c r="E122" s="2720"/>
      <c r="F122" s="754" t="s">
        <v>3014</v>
      </c>
      <c r="G122" s="2721"/>
      <c r="H122" s="2722"/>
      <c r="I122" s="2722"/>
      <c r="J122" s="2722"/>
      <c r="K122" s="2722"/>
      <c r="L122" s="2722"/>
      <c r="M122" s="2722"/>
      <c r="N122" s="2722"/>
      <c r="O122" s="2722"/>
      <c r="P122" s="2722"/>
      <c r="Q122" s="2722"/>
      <c r="R122" s="2722"/>
      <c r="S122" s="2723"/>
      <c r="U122" s="2693" t="s">
        <v>2047</v>
      </c>
      <c r="V122" s="2693"/>
    </row>
    <row r="123" spans="1:22" s="346" customFormat="1" ht="31.5" customHeight="1">
      <c r="B123" s="605"/>
      <c r="C123" s="753" t="s">
        <v>2004</v>
      </c>
      <c r="D123" s="2616" t="s">
        <v>2921</v>
      </c>
      <c r="E123" s="2730"/>
      <c r="F123" s="755" t="s">
        <v>3014</v>
      </c>
      <c r="G123" s="2731"/>
      <c r="H123" s="2732"/>
      <c r="I123" s="2732"/>
      <c r="J123" s="2732"/>
      <c r="K123" s="2732"/>
      <c r="L123" s="2732"/>
      <c r="M123" s="2732"/>
      <c r="N123" s="2732"/>
      <c r="O123" s="2732"/>
      <c r="P123" s="2732"/>
      <c r="Q123" s="2732"/>
      <c r="R123" s="2732"/>
      <c r="S123" s="2733"/>
      <c r="U123" s="2693"/>
      <c r="V123" s="2693"/>
    </row>
    <row r="124" spans="1:22" s="346" customFormat="1" ht="31.5" customHeight="1">
      <c r="B124" s="605"/>
      <c r="C124" s="753" t="s">
        <v>2551</v>
      </c>
      <c r="D124" s="2616" t="s">
        <v>2897</v>
      </c>
      <c r="E124" s="2730"/>
      <c r="F124" s="755" t="s">
        <v>3014</v>
      </c>
      <c r="G124" s="2731"/>
      <c r="H124" s="2732"/>
      <c r="I124" s="2732"/>
      <c r="J124" s="2732"/>
      <c r="K124" s="2732"/>
      <c r="L124" s="2732"/>
      <c r="M124" s="2732"/>
      <c r="N124" s="2732"/>
      <c r="O124" s="2732"/>
      <c r="P124" s="2732"/>
      <c r="Q124" s="2732"/>
      <c r="R124" s="2732"/>
      <c r="S124" s="2733"/>
      <c r="U124" s="2693"/>
      <c r="V124" s="2693"/>
    </row>
    <row r="125" spans="1:22" s="346" customFormat="1" ht="31.5" customHeight="1">
      <c r="B125" s="605"/>
      <c r="C125" s="753" t="s">
        <v>1236</v>
      </c>
      <c r="D125" s="2616" t="s">
        <v>2856</v>
      </c>
      <c r="E125" s="2730"/>
      <c r="F125" s="755" t="s">
        <v>3014</v>
      </c>
      <c r="G125" s="2731"/>
      <c r="H125" s="2732"/>
      <c r="I125" s="2732"/>
      <c r="J125" s="2732"/>
      <c r="K125" s="2732"/>
      <c r="L125" s="2732"/>
      <c r="M125" s="2732"/>
      <c r="N125" s="2732"/>
      <c r="O125" s="2732"/>
      <c r="P125" s="2732"/>
      <c r="Q125" s="2732"/>
      <c r="R125" s="2732"/>
      <c r="S125" s="2733"/>
      <c r="U125" s="2693"/>
      <c r="V125" s="2693"/>
    </row>
    <row r="126" spans="1:22" s="346" customFormat="1" ht="31.5" customHeight="1">
      <c r="B126" s="605"/>
      <c r="C126" s="753" t="s">
        <v>1237</v>
      </c>
      <c r="D126" s="2616" t="s">
        <v>3489</v>
      </c>
      <c r="E126" s="2730"/>
      <c r="F126" s="755" t="s">
        <v>3014</v>
      </c>
      <c r="G126" s="2731"/>
      <c r="H126" s="2732"/>
      <c r="I126" s="2732"/>
      <c r="J126" s="2732"/>
      <c r="K126" s="2732"/>
      <c r="L126" s="2732"/>
      <c r="M126" s="2732"/>
      <c r="N126" s="2732"/>
      <c r="O126" s="2732"/>
      <c r="P126" s="2732"/>
      <c r="Q126" s="2732"/>
      <c r="R126" s="2732"/>
      <c r="S126" s="2733"/>
      <c r="U126" s="2693"/>
      <c r="V126" s="2693"/>
    </row>
    <row r="127" spans="1:22" s="346" customFormat="1" ht="31.5" customHeight="1">
      <c r="B127" s="605"/>
      <c r="C127" s="753" t="s">
        <v>1896</v>
      </c>
      <c r="D127" s="2616" t="s">
        <v>3490</v>
      </c>
      <c r="E127" s="2730"/>
      <c r="F127" s="755" t="s">
        <v>3014</v>
      </c>
      <c r="G127" s="2731"/>
      <c r="H127" s="2732"/>
      <c r="I127" s="2732"/>
      <c r="J127" s="2732"/>
      <c r="K127" s="2732"/>
      <c r="L127" s="2732"/>
      <c r="M127" s="2732"/>
      <c r="N127" s="2732"/>
      <c r="O127" s="2732"/>
      <c r="P127" s="2732"/>
      <c r="Q127" s="2732"/>
      <c r="R127" s="2732"/>
      <c r="S127" s="2733"/>
      <c r="U127" s="2693"/>
      <c r="V127" s="2693"/>
    </row>
    <row r="128" spans="1:22" s="346" customFormat="1" ht="31.5" customHeight="1">
      <c r="B128" s="605"/>
      <c r="C128" s="753" t="s">
        <v>508</v>
      </c>
      <c r="D128" s="2616" t="s">
        <v>2857</v>
      </c>
      <c r="E128" s="2730"/>
      <c r="F128" s="755" t="s">
        <v>3014</v>
      </c>
      <c r="G128" s="2731"/>
      <c r="H128" s="2732"/>
      <c r="I128" s="2732"/>
      <c r="J128" s="2732"/>
      <c r="K128" s="2732"/>
      <c r="L128" s="2732"/>
      <c r="M128" s="2732"/>
      <c r="N128" s="2732"/>
      <c r="O128" s="2732"/>
      <c r="P128" s="2732"/>
      <c r="Q128" s="2732"/>
      <c r="R128" s="2732"/>
      <c r="S128" s="2733"/>
    </row>
    <row r="129" spans="1:22" s="346" customFormat="1" ht="31.5" customHeight="1">
      <c r="B129" s="605"/>
      <c r="C129" s="753" t="s">
        <v>509</v>
      </c>
      <c r="D129" s="2742" t="s">
        <v>4754</v>
      </c>
      <c r="E129" s="2743"/>
      <c r="F129" s="756" t="s">
        <v>3011</v>
      </c>
      <c r="G129" s="2744" t="s">
        <v>4755</v>
      </c>
      <c r="H129" s="2744"/>
      <c r="I129" s="2744"/>
      <c r="J129" s="2744"/>
      <c r="K129" s="2744"/>
      <c r="L129" s="2744"/>
      <c r="M129" s="2744"/>
      <c r="N129" s="2744"/>
      <c r="O129" s="2744"/>
      <c r="P129" s="2744"/>
      <c r="Q129" s="2744"/>
      <c r="R129" s="2744"/>
      <c r="S129" s="2745"/>
    </row>
    <row r="130" spans="1:22" s="346" customFormat="1" ht="13.15" customHeight="1">
      <c r="A130" s="348" t="s">
        <v>1807</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757</v>
      </c>
      <c r="C132" s="348" t="s">
        <v>2858</v>
      </c>
    </row>
    <row r="133" spans="1:22" s="346" customFormat="1" ht="13.5" customHeight="1">
      <c r="A133" s="2746" t="s">
        <v>646</v>
      </c>
      <c r="B133" s="2719"/>
      <c r="C133" s="2719"/>
      <c r="D133" s="2719"/>
      <c r="E133" s="2750" t="s">
        <v>3470</v>
      </c>
      <c r="F133" s="2751"/>
      <c r="G133" s="2751"/>
      <c r="H133" s="2751"/>
      <c r="I133" s="2752"/>
      <c r="J133" s="2756" t="s">
        <v>3471</v>
      </c>
      <c r="K133" s="2759" t="s">
        <v>2928</v>
      </c>
      <c r="L133" s="2759" t="s">
        <v>2929</v>
      </c>
      <c r="M133" s="2762" t="s">
        <v>3481</v>
      </c>
      <c r="N133" s="2763"/>
      <c r="O133" s="2763"/>
      <c r="P133" s="2763"/>
      <c r="Q133" s="2763"/>
      <c r="R133" s="2763"/>
      <c r="S133" s="2764"/>
    </row>
    <row r="134" spans="1:22" s="346" customFormat="1" ht="13.5" customHeight="1">
      <c r="A134" s="2747"/>
      <c r="B134" s="2628"/>
      <c r="C134" s="2628"/>
      <c r="D134" s="2628"/>
      <c r="E134" s="2753"/>
      <c r="F134" s="2754"/>
      <c r="G134" s="2754"/>
      <c r="H134" s="2754"/>
      <c r="I134" s="2755"/>
      <c r="J134" s="2757"/>
      <c r="K134" s="2760"/>
      <c r="L134" s="2760"/>
      <c r="M134" s="2765"/>
      <c r="N134" s="2766"/>
      <c r="O134" s="2766"/>
      <c r="P134" s="2766"/>
      <c r="Q134" s="2766"/>
      <c r="R134" s="2766"/>
      <c r="S134" s="2767"/>
    </row>
    <row r="135" spans="1:22" s="346" customFormat="1" ht="13.5" customHeight="1">
      <c r="A135" s="2747"/>
      <c r="B135" s="2628"/>
      <c r="C135" s="2628"/>
      <c r="D135" s="2628"/>
      <c r="E135" s="2753"/>
      <c r="F135" s="2754"/>
      <c r="G135" s="2754"/>
      <c r="H135" s="2754"/>
      <c r="I135" s="2755"/>
      <c r="J135" s="2757"/>
      <c r="K135" s="2760"/>
      <c r="L135" s="2760"/>
      <c r="M135" s="2765"/>
      <c r="N135" s="2766"/>
      <c r="O135" s="2766"/>
      <c r="P135" s="2766"/>
      <c r="Q135" s="2766"/>
      <c r="R135" s="2766"/>
      <c r="S135" s="2767"/>
    </row>
    <row r="136" spans="1:22" s="346" customFormat="1" ht="23.25" customHeight="1">
      <c r="A136" s="2747"/>
      <c r="B136" s="2628"/>
      <c r="C136" s="2628"/>
      <c r="D136" s="2628"/>
      <c r="E136" s="2768" t="s">
        <v>3749</v>
      </c>
      <c r="F136" s="2769"/>
      <c r="G136" s="2769"/>
      <c r="H136" s="2770"/>
      <c r="I136" s="758"/>
      <c r="J136" s="2757"/>
      <c r="K136" s="2760"/>
      <c r="L136" s="2760"/>
      <c r="M136" s="2765"/>
      <c r="N136" s="2766"/>
      <c r="O136" s="2766"/>
      <c r="P136" s="2766"/>
      <c r="Q136" s="2766"/>
      <c r="R136" s="2766"/>
      <c r="S136" s="2767"/>
    </row>
    <row r="137" spans="1:22" s="346" customFormat="1" ht="13.5" customHeight="1">
      <c r="A137" s="2748"/>
      <c r="B137" s="2749"/>
      <c r="C137" s="2749"/>
      <c r="D137" s="2749"/>
      <c r="E137" s="2771"/>
      <c r="F137" s="2772"/>
      <c r="G137" s="2772"/>
      <c r="H137" s="2773"/>
      <c r="I137" s="1018" t="s">
        <v>2527</v>
      </c>
      <c r="J137" s="2758"/>
      <c r="K137" s="2761"/>
      <c r="L137" s="2760"/>
      <c r="M137" s="446" t="s">
        <v>2527</v>
      </c>
      <c r="N137" s="2589" t="s">
        <v>2927</v>
      </c>
      <c r="O137" s="2589"/>
      <c r="P137" s="2589"/>
      <c r="Q137" s="2589"/>
      <c r="R137" s="2589"/>
      <c r="S137" s="2774"/>
    </row>
    <row r="138" spans="1:22" s="346" customFormat="1" ht="24" customHeight="1">
      <c r="A138" s="2734" t="s">
        <v>3465</v>
      </c>
      <c r="B138" s="2735"/>
      <c r="C138" s="2735"/>
      <c r="D138" s="2736"/>
      <c r="E138" s="2721"/>
      <c r="F138" s="2722"/>
      <c r="G138" s="2722"/>
      <c r="H138" s="2722"/>
      <c r="I138" s="1019" t="s">
        <v>3014</v>
      </c>
      <c r="J138" s="754" t="s">
        <v>3014</v>
      </c>
      <c r="K138" s="759" t="s">
        <v>4756</v>
      </c>
      <c r="L138" s="1022">
        <v>1E-4</v>
      </c>
      <c r="M138" s="760" t="s">
        <v>3011</v>
      </c>
      <c r="N138" s="2737" t="s">
        <v>4757</v>
      </c>
      <c r="O138" s="2722"/>
      <c r="P138" s="2722"/>
      <c r="Q138" s="2722"/>
      <c r="R138" s="2722"/>
      <c r="S138" s="2723"/>
    </row>
    <row r="139" spans="1:22" s="346" customFormat="1" ht="24" customHeight="1">
      <c r="A139" s="2738" t="s">
        <v>3466</v>
      </c>
      <c r="B139" s="2739"/>
      <c r="C139" s="2739"/>
      <c r="D139" s="2740"/>
      <c r="E139" s="2731"/>
      <c r="F139" s="2732"/>
      <c r="G139" s="2732"/>
      <c r="H139" s="2732"/>
      <c r="I139" s="1020"/>
      <c r="J139" s="755"/>
      <c r="K139" s="761"/>
      <c r="L139" s="1023"/>
      <c r="M139" s="762"/>
      <c r="N139" s="2741"/>
      <c r="O139" s="2732"/>
      <c r="P139" s="2732"/>
      <c r="Q139" s="2732"/>
      <c r="R139" s="2732"/>
      <c r="S139" s="2733"/>
      <c r="U139" s="2693" t="s">
        <v>2047</v>
      </c>
      <c r="V139" s="2693"/>
    </row>
    <row r="140" spans="1:22" s="346" customFormat="1" ht="24" customHeight="1">
      <c r="A140" s="2738" t="s">
        <v>3467</v>
      </c>
      <c r="B140" s="2739"/>
      <c r="C140" s="2739"/>
      <c r="D140" s="2740"/>
      <c r="E140" s="2731"/>
      <c r="F140" s="2732"/>
      <c r="G140" s="2732"/>
      <c r="H140" s="2732"/>
      <c r="I140" s="1020"/>
      <c r="J140" s="755"/>
      <c r="K140" s="761"/>
      <c r="L140" s="1023"/>
      <c r="M140" s="762"/>
      <c r="N140" s="2741"/>
      <c r="O140" s="2732"/>
      <c r="P140" s="2732"/>
      <c r="Q140" s="2732"/>
      <c r="R140" s="2732"/>
      <c r="S140" s="2733"/>
      <c r="U140" s="2693"/>
      <c r="V140" s="2693"/>
    </row>
    <row r="141" spans="1:22" s="346" customFormat="1" ht="24" customHeight="1">
      <c r="A141" s="2738" t="s">
        <v>3468</v>
      </c>
      <c r="B141" s="2739"/>
      <c r="C141" s="2739"/>
      <c r="D141" s="2740"/>
      <c r="E141" s="2731"/>
      <c r="F141" s="2732"/>
      <c r="G141" s="2732"/>
      <c r="H141" s="2775"/>
      <c r="I141" s="1020" t="s">
        <v>3014</v>
      </c>
      <c r="J141" s="755" t="s">
        <v>3014</v>
      </c>
      <c r="K141" s="761" t="s">
        <v>4756</v>
      </c>
      <c r="L141" s="1023">
        <v>0.99990000000000001</v>
      </c>
      <c r="M141" s="762" t="s">
        <v>3014</v>
      </c>
      <c r="N141" s="2741"/>
      <c r="O141" s="2732"/>
      <c r="P141" s="2732"/>
      <c r="Q141" s="2732"/>
      <c r="R141" s="2732"/>
      <c r="S141" s="2733"/>
      <c r="U141" s="2693"/>
      <c r="V141" s="2693"/>
    </row>
    <row r="142" spans="1:22" s="346" customFormat="1" ht="24" customHeight="1">
      <c r="A142" s="2738" t="s">
        <v>3469</v>
      </c>
      <c r="B142" s="2739"/>
      <c r="C142" s="2739"/>
      <c r="D142" s="2740"/>
      <c r="E142" s="2731" t="s">
        <v>4758</v>
      </c>
      <c r="F142" s="2732"/>
      <c r="G142" s="2732"/>
      <c r="H142" s="2775"/>
      <c r="I142" s="1020" t="s">
        <v>3014</v>
      </c>
      <c r="J142" s="755" t="s">
        <v>3014</v>
      </c>
      <c r="K142" s="761" t="s">
        <v>4756</v>
      </c>
      <c r="L142" s="1023"/>
      <c r="M142" s="762" t="s">
        <v>3014</v>
      </c>
      <c r="N142" s="2741"/>
      <c r="O142" s="2732"/>
      <c r="P142" s="2732"/>
      <c r="Q142" s="2732"/>
      <c r="R142" s="2732"/>
      <c r="S142" s="2733"/>
      <c r="U142" s="2693"/>
      <c r="V142" s="2693"/>
    </row>
    <row r="143" spans="1:22" s="346" customFormat="1" ht="24" customHeight="1">
      <c r="A143" s="2738" t="s">
        <v>2914</v>
      </c>
      <c r="B143" s="2739"/>
      <c r="C143" s="2739"/>
      <c r="D143" s="2740"/>
      <c r="E143" s="2731"/>
      <c r="F143" s="2732"/>
      <c r="G143" s="2732"/>
      <c r="H143" s="2732"/>
      <c r="I143" s="1020"/>
      <c r="J143" s="755"/>
      <c r="K143" s="761"/>
      <c r="L143" s="1023"/>
      <c r="M143" s="762"/>
      <c r="N143" s="2741"/>
      <c r="O143" s="2732"/>
      <c r="P143" s="2732"/>
      <c r="Q143" s="2732"/>
      <c r="R143" s="2732"/>
      <c r="S143" s="2733"/>
      <c r="U143" s="2693"/>
      <c r="V143" s="2693"/>
    </row>
    <row r="144" spans="1:22" s="346" customFormat="1" ht="24" customHeight="1">
      <c r="A144" s="2738" t="s">
        <v>659</v>
      </c>
      <c r="B144" s="2739"/>
      <c r="C144" s="2739"/>
      <c r="D144" s="2740"/>
      <c r="E144" s="2731"/>
      <c r="F144" s="2732"/>
      <c r="G144" s="2732"/>
      <c r="H144" s="2732"/>
      <c r="I144" s="1020" t="s">
        <v>3014</v>
      </c>
      <c r="J144" s="755" t="s">
        <v>3011</v>
      </c>
      <c r="K144" s="761" t="s">
        <v>4756</v>
      </c>
      <c r="L144" s="1023">
        <v>0</v>
      </c>
      <c r="M144" s="762" t="s">
        <v>3011</v>
      </c>
      <c r="N144" s="2741" t="s">
        <v>4759</v>
      </c>
      <c r="O144" s="2732"/>
      <c r="P144" s="2732"/>
      <c r="Q144" s="2732"/>
      <c r="R144" s="2732"/>
      <c r="S144" s="2733"/>
      <c r="U144" s="2693"/>
      <c r="V144" s="2693"/>
    </row>
    <row r="145" spans="1:24" s="346" customFormat="1" ht="24" customHeight="1">
      <c r="A145" s="2738" t="s">
        <v>2915</v>
      </c>
      <c r="B145" s="2739"/>
      <c r="C145" s="2739"/>
      <c r="D145" s="2740"/>
      <c r="E145" s="2731"/>
      <c r="F145" s="2732"/>
      <c r="G145" s="2732"/>
      <c r="H145" s="2732"/>
      <c r="I145" s="1020"/>
      <c r="J145" s="755"/>
      <c r="K145" s="761"/>
      <c r="L145" s="1023"/>
      <c r="M145" s="762"/>
      <c r="N145" s="2741"/>
      <c r="O145" s="2732"/>
      <c r="P145" s="2732"/>
      <c r="Q145" s="2732"/>
      <c r="R145" s="2732"/>
      <c r="S145" s="2733"/>
    </row>
    <row r="146" spans="1:24" s="346" customFormat="1" ht="24" customHeight="1">
      <c r="A146" s="2738" t="s">
        <v>2916</v>
      </c>
      <c r="B146" s="2739"/>
      <c r="C146" s="2739"/>
      <c r="D146" s="2740"/>
      <c r="E146" s="2731"/>
      <c r="F146" s="2732"/>
      <c r="G146" s="2732"/>
      <c r="H146" s="2732"/>
      <c r="I146" s="1020"/>
      <c r="J146" s="755"/>
      <c r="K146" s="761"/>
      <c r="L146" s="1023"/>
      <c r="M146" s="762"/>
      <c r="N146" s="2741"/>
      <c r="O146" s="2732"/>
      <c r="P146" s="2732"/>
      <c r="Q146" s="2732"/>
      <c r="R146" s="2732"/>
      <c r="S146" s="2733"/>
    </row>
    <row r="147" spans="1:24" s="346" customFormat="1" ht="24" customHeight="1">
      <c r="A147" s="2738" t="s">
        <v>2918</v>
      </c>
      <c r="B147" s="2739"/>
      <c r="C147" s="2739"/>
      <c r="D147" s="2740"/>
      <c r="E147" s="2731"/>
      <c r="F147" s="2732"/>
      <c r="G147" s="2732"/>
      <c r="H147" s="2732"/>
      <c r="I147" s="1020"/>
      <c r="J147" s="755"/>
      <c r="K147" s="761"/>
      <c r="L147" s="1023"/>
      <c r="M147" s="762"/>
      <c r="N147" s="2741"/>
      <c r="O147" s="2732"/>
      <c r="P147" s="2732"/>
      <c r="Q147" s="2732"/>
      <c r="R147" s="2732"/>
      <c r="S147" s="2733"/>
    </row>
    <row r="148" spans="1:24" s="346" customFormat="1" ht="24" customHeight="1">
      <c r="A148" s="2738" t="s">
        <v>2917</v>
      </c>
      <c r="B148" s="2739"/>
      <c r="C148" s="2739"/>
      <c r="D148" s="2740"/>
      <c r="E148" s="2731"/>
      <c r="F148" s="2732"/>
      <c r="G148" s="2732"/>
      <c r="H148" s="2732"/>
      <c r="I148" s="1020" t="s">
        <v>3014</v>
      </c>
      <c r="J148" s="755" t="s">
        <v>3014</v>
      </c>
      <c r="K148" s="761" t="s">
        <v>4756</v>
      </c>
      <c r="L148" s="1023">
        <v>0</v>
      </c>
      <c r="M148" s="762" t="s">
        <v>3014</v>
      </c>
      <c r="N148" s="2741"/>
      <c r="O148" s="2732"/>
      <c r="P148" s="2732"/>
      <c r="Q148" s="2732"/>
      <c r="R148" s="2732"/>
      <c r="S148" s="2733"/>
    </row>
    <row r="149" spans="1:24" s="346" customFormat="1" ht="24" customHeight="1">
      <c r="A149" s="2738" t="s">
        <v>1541</v>
      </c>
      <c r="B149" s="2739"/>
      <c r="C149" s="2739"/>
      <c r="D149" s="2740"/>
      <c r="E149" s="2731" t="s">
        <v>4724</v>
      </c>
      <c r="F149" s="2732"/>
      <c r="G149" s="2732"/>
      <c r="H149" s="2775"/>
      <c r="I149" s="1020"/>
      <c r="J149" s="755" t="s">
        <v>4760</v>
      </c>
      <c r="K149" s="761"/>
      <c r="L149" s="1023"/>
      <c r="M149" s="762" t="s">
        <v>4760</v>
      </c>
      <c r="N149" s="2741" t="s">
        <v>4724</v>
      </c>
      <c r="O149" s="2732"/>
      <c r="P149" s="2732"/>
      <c r="Q149" s="2732"/>
      <c r="R149" s="2732"/>
      <c r="S149" s="2733"/>
    </row>
    <row r="150" spans="1:24" s="346" customFormat="1" ht="24" customHeight="1">
      <c r="A150" s="2776" t="s">
        <v>2919</v>
      </c>
      <c r="B150" s="2777"/>
      <c r="C150" s="2777"/>
      <c r="D150" s="2778"/>
      <c r="E150" s="2779"/>
      <c r="F150" s="2744"/>
      <c r="G150" s="2744"/>
      <c r="H150" s="2744"/>
      <c r="I150" s="1021" t="s">
        <v>3014</v>
      </c>
      <c r="J150" s="756" t="s">
        <v>3014</v>
      </c>
      <c r="K150" s="763" t="s">
        <v>4756</v>
      </c>
      <c r="L150" s="1024">
        <v>0</v>
      </c>
      <c r="M150" s="764" t="s">
        <v>3014</v>
      </c>
      <c r="N150" s="2780"/>
      <c r="O150" s="2744"/>
      <c r="P150" s="2744"/>
      <c r="Q150" s="2744"/>
      <c r="R150" s="2744"/>
      <c r="S150" s="2745"/>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60" customHeight="1">
      <c r="A153" s="2781"/>
      <c r="B153" s="2782"/>
      <c r="C153" s="2782"/>
      <c r="D153" s="2782"/>
      <c r="E153" s="2782"/>
      <c r="F153" s="2782"/>
      <c r="G153" s="2782"/>
      <c r="H153" s="2782"/>
      <c r="I153" s="2782"/>
      <c r="J153" s="2782"/>
      <c r="K153" s="2782"/>
      <c r="L153" s="2782"/>
      <c r="M153" s="2783"/>
      <c r="N153" s="2784"/>
      <c r="O153" s="2785"/>
      <c r="P153" s="2785"/>
      <c r="Q153" s="2785"/>
      <c r="R153" s="2785"/>
      <c r="S153" s="2786"/>
      <c r="T153" s="2511" t="s">
        <v>2710</v>
      </c>
      <c r="U153" s="2511"/>
      <c r="V153" s="2511"/>
      <c r="W153" s="2511"/>
      <c r="X153" s="2511"/>
    </row>
    <row r="154" spans="1:24" s="346" customFormat="1" ht="12" customHeight="1">
      <c r="A154" s="352"/>
      <c r="B154" s="367"/>
      <c r="C154" s="367"/>
      <c r="D154" s="367"/>
      <c r="E154" s="367"/>
      <c r="F154" s="367"/>
      <c r="G154" s="367"/>
      <c r="H154" s="367"/>
      <c r="I154" s="367"/>
      <c r="J154" s="367"/>
      <c r="K154" s="367"/>
      <c r="L154" s="367"/>
      <c r="M154" s="367"/>
      <c r="N154" s="367"/>
      <c r="O154" s="367"/>
      <c r="T154" s="2511"/>
      <c r="U154" s="2511"/>
      <c r="V154" s="2511"/>
      <c r="W154" s="2511"/>
      <c r="X154" s="2511"/>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0" zoomScaleNormal="100" workbookViewId="0">
      <selection activeCell="N55" sqref="N55"/>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07" t="str">
        <f>CONCATENATE("PART THREE - SOURCES OF FUNDS","  -  ",'Part I-Project Information'!$O$6," ",'Part I-Project Information'!$F$34,", ",'Part I-Project Information'!$F$38,", ",'Part I-Project Information'!$J$39," County")</f>
        <v>PART THREE - SOURCES OF FUNDS  -  2018-0 McIntosh Woods, Newnan, Coweta County</v>
      </c>
      <c r="B1" s="2708"/>
      <c r="C1" s="2708"/>
      <c r="D1" s="2708"/>
      <c r="E1" s="2708"/>
      <c r="F1" s="2708"/>
      <c r="G1" s="2708"/>
      <c r="H1" s="2708"/>
      <c r="I1" s="2708"/>
      <c r="J1" s="2708"/>
      <c r="K1" s="2708"/>
      <c r="L1" s="2708"/>
      <c r="M1" s="2708"/>
      <c r="N1" s="2708"/>
      <c r="O1" s="2708"/>
      <c r="P1" s="2708"/>
      <c r="Q1" s="2709"/>
      <c r="S1" s="2794" t="str">
        <f>$A$1</f>
        <v>PART THREE - SOURCES OF FUNDS  -  2018-0 McIntosh Woods, Newnan, Coweta County</v>
      </c>
      <c r="T1" s="2794"/>
    </row>
    <row r="2" spans="1:20" ht="17.45" customHeight="1">
      <c r="A2" s="367"/>
      <c r="B2" s="367"/>
      <c r="C2" s="367"/>
      <c r="D2" s="367"/>
      <c r="E2" s="367"/>
      <c r="F2" s="367"/>
      <c r="G2" s="1820"/>
      <c r="H2" s="1820"/>
      <c r="I2" s="1820"/>
      <c r="J2" s="1820"/>
      <c r="K2" s="1820"/>
      <c r="L2" s="1820"/>
      <c r="M2" s="367"/>
      <c r="N2" s="367"/>
      <c r="O2" s="367"/>
      <c r="P2" s="367"/>
      <c r="Q2" s="367"/>
    </row>
    <row r="3" spans="1:20" s="319" customFormat="1" ht="13.15" customHeight="1">
      <c r="A3" s="348" t="s">
        <v>622</v>
      </c>
      <c r="B3" s="370" t="s">
        <v>2507</v>
      </c>
      <c r="C3" s="346"/>
      <c r="D3" s="1362"/>
      <c r="E3" s="1362"/>
      <c r="F3" s="1362"/>
      <c r="G3" s="1362"/>
      <c r="J3" s="1362"/>
      <c r="P3" s="2503" t="s">
        <v>4675</v>
      </c>
      <c r="S3" s="418" t="str">
        <f>B3</f>
        <v>GOVERNMENT FUNDING SOURCES  (check all that apply)</v>
      </c>
    </row>
    <row r="4" spans="1:20" s="319" customFormat="1" ht="15.75" customHeight="1">
      <c r="A4" s="377"/>
      <c r="B4" s="579"/>
      <c r="C4" s="370"/>
      <c r="D4" s="1362"/>
      <c r="E4" s="1362"/>
      <c r="F4" s="1362"/>
      <c r="G4" s="1362"/>
      <c r="S4" s="2795" t="s">
        <v>2700</v>
      </c>
      <c r="T4" s="2795"/>
    </row>
    <row r="5" spans="1:20" s="319" customFormat="1" ht="16.5" customHeight="1">
      <c r="A5" s="579"/>
      <c r="B5" s="2501" t="s">
        <v>3011</v>
      </c>
      <c r="C5" s="1351" t="s">
        <v>2426</v>
      </c>
      <c r="D5" s="346"/>
      <c r="H5" s="1364" t="s">
        <v>3014</v>
      </c>
      <c r="I5" s="1351" t="s">
        <v>1549</v>
      </c>
      <c r="L5" s="1364" t="s">
        <v>3014</v>
      </c>
      <c r="M5" s="346" t="s">
        <v>3926</v>
      </c>
      <c r="S5" s="2796"/>
      <c r="T5" s="2797"/>
    </row>
    <row r="6" spans="1:20" s="319" customFormat="1" ht="16.5" customHeight="1">
      <c r="A6" s="579"/>
      <c r="B6" s="1365" t="s">
        <v>3014</v>
      </c>
      <c r="C6" s="1351" t="s">
        <v>555</v>
      </c>
      <c r="D6" s="346"/>
      <c r="H6" s="1365" t="s">
        <v>3014</v>
      </c>
      <c r="I6" s="1351" t="s">
        <v>554</v>
      </c>
      <c r="L6" s="1365" t="s">
        <v>3014</v>
      </c>
      <c r="M6" s="1351" t="s">
        <v>2618</v>
      </c>
      <c r="S6" s="2798"/>
      <c r="T6" s="2799"/>
    </row>
    <row r="7" spans="1:20" s="319" customFormat="1" ht="16.5" customHeight="1">
      <c r="A7" s="346"/>
      <c r="B7" s="1365" t="s">
        <v>3011</v>
      </c>
      <c r="C7" s="1351" t="s">
        <v>3923</v>
      </c>
      <c r="F7" s="2802">
        <v>18000000</v>
      </c>
      <c r="G7" s="2803"/>
      <c r="H7" s="1365" t="s">
        <v>3014</v>
      </c>
      <c r="I7" s="1351" t="s">
        <v>3709</v>
      </c>
      <c r="L7" s="1365" t="s">
        <v>3014</v>
      </c>
      <c r="M7" s="1351" t="s">
        <v>2619</v>
      </c>
      <c r="S7" s="2798"/>
      <c r="T7" s="2799"/>
    </row>
    <row r="8" spans="1:20" s="319" customFormat="1" ht="16.5" customHeight="1">
      <c r="A8" s="579"/>
      <c r="B8" s="1365" t="s">
        <v>3014</v>
      </c>
      <c r="C8" s="1351" t="s">
        <v>1816</v>
      </c>
      <c r="D8" s="346"/>
      <c r="H8" s="1365" t="s">
        <v>3014</v>
      </c>
      <c r="I8" s="346" t="s">
        <v>2627</v>
      </c>
      <c r="L8" s="1365" t="s">
        <v>3014</v>
      </c>
      <c r="M8" s="351" t="s">
        <v>3714</v>
      </c>
      <c r="S8" s="2800"/>
      <c r="T8" s="2801"/>
    </row>
    <row r="9" spans="1:20" s="319" customFormat="1" ht="16.5" customHeight="1">
      <c r="A9" s="579"/>
      <c r="B9" s="1365" t="s">
        <v>3014</v>
      </c>
      <c r="C9" s="1351" t="s">
        <v>556</v>
      </c>
      <c r="H9" s="1365" t="s">
        <v>3014</v>
      </c>
      <c r="I9" s="346" t="s">
        <v>2625</v>
      </c>
      <c r="L9" s="1365" t="s">
        <v>3014</v>
      </c>
      <c r="M9" s="351" t="s">
        <v>2626</v>
      </c>
      <c r="S9" s="2796"/>
      <c r="T9" s="2797"/>
    </row>
    <row r="10" spans="1:20" s="319" customFormat="1" ht="16.5" customHeight="1">
      <c r="A10" s="579"/>
      <c r="B10" s="1365" t="s">
        <v>3014</v>
      </c>
      <c r="C10" s="351" t="s">
        <v>3924</v>
      </c>
      <c r="G10" s="765"/>
      <c r="H10" s="1365" t="s">
        <v>3014</v>
      </c>
      <c r="I10" s="346" t="s">
        <v>3750</v>
      </c>
      <c r="J10" s="1204"/>
      <c r="K10" s="1204"/>
      <c r="L10" s="1396" t="s">
        <v>3014</v>
      </c>
      <c r="M10" s="351" t="s">
        <v>3752</v>
      </c>
      <c r="O10" s="2787" t="s">
        <v>3908</v>
      </c>
      <c r="P10" s="2788"/>
      <c r="Q10" s="2789"/>
      <c r="S10" s="2798"/>
      <c r="T10" s="2799"/>
    </row>
    <row r="11" spans="1:20" s="319" customFormat="1" ht="16.5" customHeight="1">
      <c r="A11" s="579"/>
      <c r="B11" s="1365" t="s">
        <v>3014</v>
      </c>
      <c r="C11" s="1351" t="s">
        <v>3753</v>
      </c>
      <c r="D11" s="346"/>
      <c r="E11" s="2804"/>
      <c r="F11" s="2805"/>
      <c r="H11" s="1365" t="s">
        <v>3014</v>
      </c>
      <c r="I11" s="346" t="s">
        <v>3755</v>
      </c>
      <c r="L11" s="1395" t="s">
        <v>3014</v>
      </c>
      <c r="M11" s="346" t="s">
        <v>3648</v>
      </c>
      <c r="S11" s="2798"/>
      <c r="T11" s="2799"/>
    </row>
    <row r="12" spans="1:20" s="319" customFormat="1" ht="16.5" customHeight="1">
      <c r="A12" s="579"/>
      <c r="B12" s="1358" t="s">
        <v>3014</v>
      </c>
      <c r="C12" s="1351" t="s">
        <v>3754</v>
      </c>
      <c r="E12" s="2806"/>
      <c r="F12" s="2807"/>
      <c r="H12" s="1477" t="s">
        <v>3014</v>
      </c>
      <c r="I12" s="605" t="s">
        <v>2814</v>
      </c>
      <c r="J12" s="605"/>
      <c r="K12" s="605"/>
      <c r="L12" s="1025" t="s">
        <v>3014</v>
      </c>
      <c r="M12" s="2808" t="s">
        <v>3716</v>
      </c>
      <c r="N12" s="2635"/>
      <c r="O12" s="2635"/>
      <c r="P12" s="2635"/>
      <c r="Q12" s="2659"/>
      <c r="S12" s="2800"/>
      <c r="T12" s="2801"/>
    </row>
    <row r="13" spans="1:20" s="319" customFormat="1" ht="16.5" customHeight="1">
      <c r="A13" s="579"/>
      <c r="C13" s="319" t="s">
        <v>3751</v>
      </c>
      <c r="E13" s="2787" t="s">
        <v>3472</v>
      </c>
      <c r="F13" s="2788"/>
      <c r="G13" s="2789"/>
      <c r="H13" s="1358" t="s">
        <v>3014</v>
      </c>
      <c r="I13" s="351" t="s">
        <v>3925</v>
      </c>
      <c r="J13" s="605"/>
      <c r="K13" s="605"/>
      <c r="M13" s="2790" t="s">
        <v>3727</v>
      </c>
      <c r="N13" s="2791"/>
      <c r="O13" s="2791"/>
      <c r="P13" s="2791"/>
      <c r="Q13" s="2792"/>
    </row>
    <row r="14" spans="1:20" s="319" customFormat="1" ht="16.899999999999999" customHeight="1">
      <c r="A14" s="579"/>
      <c r="B14" s="319" t="s">
        <v>3715</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669"/>
      <c r="O16" s="2669"/>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1885</v>
      </c>
      <c r="C18" s="346"/>
      <c r="D18" s="346"/>
      <c r="E18" s="346"/>
      <c r="F18" s="346"/>
      <c r="G18" s="346"/>
      <c r="H18" s="2793" t="s">
        <v>1309</v>
      </c>
      <c r="I18" s="2793"/>
      <c r="J18" s="2793"/>
      <c r="K18" s="2793"/>
      <c r="L18" s="2590" t="s">
        <v>2006</v>
      </c>
      <c r="M18" s="2590"/>
      <c r="N18" s="2590" t="s">
        <v>1519</v>
      </c>
      <c r="O18" s="2590"/>
      <c r="P18" s="2590" t="s">
        <v>1643</v>
      </c>
      <c r="Q18" s="2590"/>
      <c r="S18" s="2795" t="s">
        <v>2700</v>
      </c>
      <c r="T18" s="2795"/>
    </row>
    <row r="19" spans="1:20" s="319" customFormat="1" ht="16.5" customHeight="1">
      <c r="A19" s="346"/>
      <c r="B19" s="2824" t="s">
        <v>1603</v>
      </c>
      <c r="C19" s="2825"/>
      <c r="D19" s="2825"/>
      <c r="E19" s="1363"/>
      <c r="F19" s="1363"/>
      <c r="G19" s="1363"/>
      <c r="H19" s="2826" t="s">
        <v>4761</v>
      </c>
      <c r="I19" s="2827"/>
      <c r="J19" s="2827"/>
      <c r="K19" s="2828"/>
      <c r="L19" s="2829">
        <v>14700000</v>
      </c>
      <c r="M19" s="2830"/>
      <c r="N19" s="2831">
        <v>5.2499999999999998E-2</v>
      </c>
      <c r="O19" s="2832"/>
      <c r="P19" s="2833">
        <v>18</v>
      </c>
      <c r="Q19" s="2834"/>
      <c r="S19" s="2796"/>
      <c r="T19" s="2797"/>
    </row>
    <row r="20" spans="1:20" s="319" customFormat="1" ht="16.5" customHeight="1">
      <c r="A20" s="346"/>
      <c r="B20" s="2835" t="s">
        <v>1604</v>
      </c>
      <c r="C20" s="2836"/>
      <c r="D20" s="2836"/>
      <c r="E20" s="1362"/>
      <c r="F20" s="1362"/>
      <c r="G20" s="1362"/>
      <c r="H20" s="2837"/>
      <c r="I20" s="2838"/>
      <c r="J20" s="2838"/>
      <c r="K20" s="2839"/>
      <c r="L20" s="2840"/>
      <c r="M20" s="2841"/>
      <c r="N20" s="2809"/>
      <c r="O20" s="2810"/>
      <c r="P20" s="2811"/>
      <c r="Q20" s="2812"/>
      <c r="S20" s="2798"/>
      <c r="T20" s="2799"/>
    </row>
    <row r="21" spans="1:20" s="319" customFormat="1" ht="16.5" customHeight="1">
      <c r="A21" s="346"/>
      <c r="B21" s="2813" t="s">
        <v>1605</v>
      </c>
      <c r="C21" s="2814"/>
      <c r="D21" s="2814"/>
      <c r="E21" s="1371"/>
      <c r="F21" s="1371"/>
      <c r="G21" s="1371"/>
      <c r="H21" s="2815"/>
      <c r="I21" s="2816"/>
      <c r="J21" s="2816"/>
      <c r="K21" s="2817"/>
      <c r="L21" s="2818"/>
      <c r="M21" s="2819"/>
      <c r="N21" s="2820"/>
      <c r="O21" s="2821"/>
      <c r="P21" s="2822"/>
      <c r="Q21" s="2823"/>
      <c r="S21" s="2798"/>
      <c r="T21" s="2799"/>
    </row>
    <row r="22" spans="1:20" s="319" customFormat="1" ht="16.5" customHeight="1">
      <c r="A22" s="346"/>
      <c r="B22" s="2824" t="s">
        <v>2231</v>
      </c>
      <c r="C22" s="2825"/>
      <c r="D22" s="2825"/>
      <c r="E22" s="1362"/>
      <c r="F22" s="1362"/>
      <c r="G22" s="1362"/>
      <c r="H22" s="2842"/>
      <c r="I22" s="2843"/>
      <c r="J22" s="2843"/>
      <c r="K22" s="2844"/>
      <c r="L22" s="2845"/>
      <c r="M22" s="2846"/>
      <c r="N22" s="2847"/>
      <c r="O22" s="2848"/>
      <c r="P22" s="2849"/>
      <c r="Q22" s="2849"/>
      <c r="S22" s="2798"/>
      <c r="T22" s="2799"/>
    </row>
    <row r="23" spans="1:20" s="319" customFormat="1" ht="16.5" customHeight="1">
      <c r="A23" s="346"/>
      <c r="B23" s="2835" t="s">
        <v>809</v>
      </c>
      <c r="C23" s="2836"/>
      <c r="D23" s="2836"/>
      <c r="E23" s="1362"/>
      <c r="H23" s="2837"/>
      <c r="I23" s="2838"/>
      <c r="J23" s="2838"/>
      <c r="K23" s="2839"/>
      <c r="L23" s="2840"/>
      <c r="M23" s="2841"/>
      <c r="N23" s="2847"/>
      <c r="O23" s="2848"/>
      <c r="P23" s="2849"/>
      <c r="Q23" s="2849"/>
      <c r="S23" s="2798"/>
      <c r="T23" s="2799"/>
    </row>
    <row r="24" spans="1:20" s="319" customFormat="1" ht="16.5" customHeight="1">
      <c r="A24" s="346"/>
      <c r="B24" s="2835" t="s">
        <v>647</v>
      </c>
      <c r="C24" s="2836"/>
      <c r="D24" s="2836"/>
      <c r="E24" s="1362"/>
      <c r="H24" s="2837"/>
      <c r="I24" s="2838"/>
      <c r="J24" s="2838"/>
      <c r="K24" s="2839"/>
      <c r="L24" s="2840"/>
      <c r="M24" s="2841"/>
      <c r="N24" s="2847"/>
      <c r="O24" s="2848"/>
      <c r="P24" s="2849"/>
      <c r="Q24" s="2849"/>
      <c r="S24" s="2798"/>
      <c r="T24" s="2799"/>
    </row>
    <row r="25" spans="1:20" s="319" customFormat="1" ht="16.5" customHeight="1">
      <c r="A25" s="346"/>
      <c r="B25" s="2835" t="s">
        <v>810</v>
      </c>
      <c r="C25" s="2836"/>
      <c r="D25" s="2836"/>
      <c r="E25" s="1362"/>
      <c r="H25" s="2837" t="s">
        <v>4761</v>
      </c>
      <c r="I25" s="2838"/>
      <c r="J25" s="2838"/>
      <c r="K25" s="2839"/>
      <c r="L25" s="2840">
        <f>I49*20%</f>
        <v>1498994.2000000002</v>
      </c>
      <c r="M25" s="2841"/>
      <c r="N25" s="346"/>
      <c r="O25" s="346"/>
      <c r="P25" s="346"/>
      <c r="Q25" s="346"/>
      <c r="S25" s="2800"/>
      <c r="T25" s="2801"/>
    </row>
    <row r="26" spans="1:20" s="319" customFormat="1" ht="16.5" customHeight="1">
      <c r="A26" s="346"/>
      <c r="B26" s="2835" t="s">
        <v>811</v>
      </c>
      <c r="C26" s="2836"/>
      <c r="D26" s="2836"/>
      <c r="E26" s="1362"/>
      <c r="H26" s="2837" t="s">
        <v>4761</v>
      </c>
      <c r="I26" s="2838"/>
      <c r="J26" s="2838"/>
      <c r="K26" s="2839"/>
      <c r="L26" s="2840">
        <f>I50*20%</f>
        <v>887159.8</v>
      </c>
      <c r="M26" s="2841"/>
      <c r="N26" s="346"/>
      <c r="Q26" s="346"/>
      <c r="S26" s="2796"/>
      <c r="T26" s="2797"/>
    </row>
    <row r="27" spans="1:20" s="319" customFormat="1" ht="16.5" customHeight="1">
      <c r="A27" s="346"/>
      <c r="B27" s="1361" t="s">
        <v>244</v>
      </c>
      <c r="C27" s="1362"/>
      <c r="D27" s="2850"/>
      <c r="E27" s="2850"/>
      <c r="F27" s="2850"/>
      <c r="G27" s="2850"/>
      <c r="H27" s="2837"/>
      <c r="I27" s="2838"/>
      <c r="J27" s="2838"/>
      <c r="K27" s="2839"/>
      <c r="L27" s="2840"/>
      <c r="M27" s="2841"/>
      <c r="N27" s="346"/>
      <c r="Q27" s="346"/>
      <c r="S27" s="2798"/>
      <c r="T27" s="2799"/>
    </row>
    <row r="28" spans="1:20" s="319" customFormat="1" ht="16.5" customHeight="1">
      <c r="A28" s="346"/>
      <c r="B28" s="1361" t="s">
        <v>244</v>
      </c>
      <c r="C28" s="1362"/>
      <c r="D28" s="2851"/>
      <c r="E28" s="2851"/>
      <c r="F28" s="2851"/>
      <c r="G28" s="2851"/>
      <c r="H28" s="2837"/>
      <c r="I28" s="2838"/>
      <c r="J28" s="2838"/>
      <c r="K28" s="2839"/>
      <c r="L28" s="2840"/>
      <c r="M28" s="2841"/>
      <c r="N28" s="346"/>
      <c r="S28" s="2798"/>
      <c r="T28" s="2799"/>
    </row>
    <row r="29" spans="1:20" s="319" customFormat="1" ht="16.5" customHeight="1">
      <c r="A29" s="346"/>
      <c r="B29" s="1370" t="s">
        <v>244</v>
      </c>
      <c r="C29" s="1371"/>
      <c r="D29" s="2852"/>
      <c r="E29" s="2852"/>
      <c r="F29" s="2852"/>
      <c r="G29" s="2852"/>
      <c r="H29" s="2815"/>
      <c r="I29" s="2816"/>
      <c r="J29" s="2816"/>
      <c r="K29" s="2817"/>
      <c r="L29" s="2818"/>
      <c r="M29" s="2819"/>
      <c r="N29" s="346"/>
      <c r="S29" s="2798"/>
      <c r="T29" s="2799"/>
    </row>
    <row r="30" spans="1:20" s="319" customFormat="1" ht="16.5" customHeight="1">
      <c r="A30" s="346"/>
      <c r="B30" s="318" t="s">
        <v>1310</v>
      </c>
      <c r="C30" s="346"/>
      <c r="D30" s="346"/>
      <c r="E30" s="346"/>
      <c r="F30" s="346"/>
      <c r="G30" s="346"/>
      <c r="H30" s="346"/>
      <c r="I30" s="346"/>
      <c r="L30" s="2853">
        <f>SUM(L19:L29)</f>
        <v>17086154</v>
      </c>
      <c r="M30" s="2854"/>
      <c r="N30" s="367"/>
      <c r="S30" s="2798"/>
      <c r="T30" s="2799"/>
    </row>
    <row r="31" spans="1:20" s="319" customFormat="1" ht="16.5" customHeight="1">
      <c r="A31" s="346"/>
      <c r="B31" s="1351" t="s">
        <v>1311</v>
      </c>
      <c r="C31" s="346"/>
      <c r="D31" s="346"/>
      <c r="E31" s="346"/>
      <c r="F31" s="346"/>
      <c r="G31" s="346"/>
      <c r="H31" s="346"/>
      <c r="I31" s="346"/>
      <c r="L31" s="3844">
        <v>16929928.684210528</v>
      </c>
      <c r="M31" s="3845"/>
      <c r="N31" s="1030"/>
      <c r="S31" s="2798"/>
      <c r="T31" s="2799"/>
    </row>
    <row r="32" spans="1:20" s="319" customFormat="1" ht="16.5" customHeight="1">
      <c r="A32" s="346"/>
      <c r="B32" s="351" t="s">
        <v>2173</v>
      </c>
      <c r="C32" s="346"/>
      <c r="D32" s="346"/>
      <c r="E32" s="346"/>
      <c r="F32" s="346"/>
      <c r="G32" s="346"/>
      <c r="H32" s="346"/>
      <c r="I32" s="346"/>
      <c r="L32" s="2855">
        <f>L30-L31</f>
        <v>156225.31578947231</v>
      </c>
      <c r="M32" s="2856"/>
      <c r="N32" s="1030"/>
      <c r="S32" s="2800"/>
      <c r="T32" s="2801"/>
    </row>
    <row r="33" spans="1:20" ht="9.6" customHeight="1">
      <c r="A33" s="377"/>
      <c r="B33" s="318"/>
      <c r="C33" s="367"/>
      <c r="D33" s="367"/>
      <c r="E33" s="367"/>
      <c r="F33" s="367"/>
      <c r="G33" s="367"/>
      <c r="H33" s="367"/>
      <c r="I33" s="367"/>
      <c r="J33" s="367"/>
      <c r="K33" s="367"/>
      <c r="L33" s="367"/>
      <c r="M33" s="1369"/>
      <c r="N33" s="1369"/>
    </row>
    <row r="34" spans="1:20" ht="9.6"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49"/>
      <c r="I35" s="2849"/>
      <c r="K35" s="446" t="s">
        <v>2115</v>
      </c>
      <c r="L35" s="1369" t="s">
        <v>1307</v>
      </c>
      <c r="M35" s="1369" t="s">
        <v>1312</v>
      </c>
      <c r="N35" s="2866" t="s">
        <v>35</v>
      </c>
      <c r="O35" s="2866"/>
      <c r="P35" s="1369"/>
      <c r="Q35" s="348"/>
      <c r="S35" s="418"/>
    </row>
    <row r="36" spans="1:20" s="319" customFormat="1" ht="13.15" customHeight="1">
      <c r="A36" s="346"/>
      <c r="B36" s="1372" t="s">
        <v>1885</v>
      </c>
      <c r="C36" s="1371"/>
      <c r="D36" s="1371"/>
      <c r="E36" s="2601" t="s">
        <v>1309</v>
      </c>
      <c r="F36" s="2601"/>
      <c r="G36" s="2601"/>
      <c r="H36" s="2601"/>
      <c r="I36" s="2590" t="s">
        <v>493</v>
      </c>
      <c r="J36" s="2590"/>
      <c r="K36" s="1353" t="s">
        <v>1819</v>
      </c>
      <c r="L36" s="1353" t="s">
        <v>2230</v>
      </c>
      <c r="M36" s="1353" t="s">
        <v>2230</v>
      </c>
      <c r="N36" s="2867"/>
      <c r="O36" s="2867"/>
      <c r="P36" s="2590" t="s">
        <v>75</v>
      </c>
      <c r="Q36" s="2590"/>
      <c r="S36" s="2795" t="s">
        <v>2700</v>
      </c>
      <c r="T36" s="2795"/>
    </row>
    <row r="37" spans="1:20" s="319" customFormat="1" ht="14.25" customHeight="1">
      <c r="A37" s="346"/>
      <c r="B37" s="2824" t="s">
        <v>2631</v>
      </c>
      <c r="C37" s="2825"/>
      <c r="D37" s="2825"/>
      <c r="E37" s="2826" t="s">
        <v>4761</v>
      </c>
      <c r="F37" s="2827"/>
      <c r="G37" s="2827"/>
      <c r="H37" s="2828"/>
      <c r="I37" s="2884">
        <v>8510787</v>
      </c>
      <c r="J37" s="2885"/>
      <c r="K37" s="1027">
        <v>5.5E-2</v>
      </c>
      <c r="L37" s="2505">
        <v>18</v>
      </c>
      <c r="M37" s="2505">
        <v>35</v>
      </c>
      <c r="N37" s="2886">
        <f t="shared" ref="N37:N41" si="0">IF(OR(I37&lt;=0,I37=""),"",IF(P37="Amortizing",-PMT(K37/12,M37*12,I37,0,0)*12,""))</f>
        <v>548451.74015953718</v>
      </c>
      <c r="O37" s="2886"/>
      <c r="P37" s="2869" t="s">
        <v>4762</v>
      </c>
      <c r="Q37" s="2869"/>
      <c r="S37" s="2796"/>
      <c r="T37" s="2797"/>
    </row>
    <row r="38" spans="1:20" s="319" customFormat="1" ht="14.25" customHeight="1">
      <c r="A38" s="346"/>
      <c r="B38" s="2835" t="s">
        <v>2632</v>
      </c>
      <c r="C38" s="2836"/>
      <c r="D38" s="2836"/>
      <c r="E38" s="2837"/>
      <c r="F38" s="2838"/>
      <c r="G38" s="2838"/>
      <c r="H38" s="2839"/>
      <c r="I38" s="2863"/>
      <c r="J38" s="2864"/>
      <c r="K38" s="1028"/>
      <c r="L38" s="1365"/>
      <c r="M38" s="1365"/>
      <c r="N38" s="2865" t="str">
        <f t="shared" si="0"/>
        <v/>
      </c>
      <c r="O38" s="2865"/>
      <c r="P38" s="2868"/>
      <c r="Q38" s="2868"/>
      <c r="S38" s="2798"/>
      <c r="T38" s="2799"/>
    </row>
    <row r="39" spans="1:20" s="319" customFormat="1" ht="14.25" customHeight="1">
      <c r="A39" s="346"/>
      <c r="B39" s="2835" t="s">
        <v>2633</v>
      </c>
      <c r="C39" s="2836"/>
      <c r="D39" s="2836"/>
      <c r="E39" s="2837"/>
      <c r="F39" s="2838"/>
      <c r="G39" s="2838"/>
      <c r="H39" s="2839"/>
      <c r="I39" s="2863"/>
      <c r="J39" s="2864"/>
      <c r="K39" s="1028"/>
      <c r="L39" s="1365"/>
      <c r="M39" s="1365"/>
      <c r="N39" s="2865" t="str">
        <f t="shared" si="0"/>
        <v/>
      </c>
      <c r="O39" s="2865"/>
      <c r="P39" s="2868"/>
      <c r="Q39" s="2868"/>
      <c r="S39" s="2798"/>
      <c r="T39" s="2799"/>
    </row>
    <row r="40" spans="1:20" s="319" customFormat="1" ht="14.25" customHeight="1">
      <c r="A40" s="346"/>
      <c r="B40" s="1361" t="s">
        <v>749</v>
      </c>
      <c r="C40" s="2878"/>
      <c r="D40" s="2879"/>
      <c r="E40" s="2837"/>
      <c r="F40" s="2838"/>
      <c r="G40" s="2838"/>
      <c r="H40" s="2839"/>
      <c r="I40" s="2863"/>
      <c r="J40" s="2864"/>
      <c r="K40" s="1029"/>
      <c r="L40" s="1358"/>
      <c r="M40" s="1358"/>
      <c r="N40" s="2880" t="str">
        <f t="shared" si="0"/>
        <v/>
      </c>
      <c r="O40" s="2880"/>
      <c r="P40" s="2881"/>
      <c r="Q40" s="2881"/>
      <c r="S40" s="2798"/>
      <c r="T40" s="2799"/>
    </row>
    <row r="41" spans="1:20" s="319" customFormat="1" ht="14.25" customHeight="1">
      <c r="A41" s="346"/>
      <c r="B41" s="1361" t="s">
        <v>2767</v>
      </c>
      <c r="C41" s="1362"/>
      <c r="D41" s="1368"/>
      <c r="E41" s="2837"/>
      <c r="F41" s="2838"/>
      <c r="G41" s="2838"/>
      <c r="H41" s="2839"/>
      <c r="I41" s="2863"/>
      <c r="J41" s="2864"/>
      <c r="K41" s="557"/>
      <c r="L41" s="1360"/>
      <c r="M41" s="1360"/>
      <c r="N41" s="2882" t="str">
        <f t="shared" si="0"/>
        <v/>
      </c>
      <c r="O41" s="2882"/>
      <c r="P41" s="2883"/>
      <c r="Q41" s="2883"/>
      <c r="S41" s="2798"/>
      <c r="T41" s="2799"/>
    </row>
    <row r="42" spans="1:20" s="319" customFormat="1" ht="14.25" customHeight="1">
      <c r="A42" s="346"/>
      <c r="B42" s="1370" t="s">
        <v>230</v>
      </c>
      <c r="C42" s="1371"/>
      <c r="D42" s="447">
        <f>IF(OR(I42="",I42=0,'Part IV-A-Uses of Funds'!$G$118="",'Part IV-A-Uses of Funds'!$G$118=0),"",I42/'Part IV-A-Uses of Funds'!$G$118)</f>
        <v>0.10565707163752135</v>
      </c>
      <c r="E42" s="2815" t="s">
        <v>4687</v>
      </c>
      <c r="F42" s="2816"/>
      <c r="G42" s="2816"/>
      <c r="H42" s="2817"/>
      <c r="I42" s="2870">
        <v>264667</v>
      </c>
      <c r="J42" s="2871"/>
      <c r="K42" s="1026"/>
      <c r="L42" s="1025"/>
      <c r="M42" s="1025"/>
      <c r="N42" s="2872">
        <f>MIN(I42,SUM('Part VII-Pro Forma'!B22:B28))</f>
        <v>109690.34304046282</v>
      </c>
      <c r="O42" s="2873"/>
      <c r="P42" s="2874"/>
      <c r="Q42" s="2875"/>
      <c r="S42" s="2798"/>
      <c r="T42" s="2799"/>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4244</v>
      </c>
      <c r="C44" s="1749"/>
      <c r="E44" s="319" t="s">
        <v>4138</v>
      </c>
      <c r="F44" s="2876" t="e">
        <f>IF(OR($I$42="",$I$42=0,'Part VII-Pro Forma'!$S$33=0,'Part VII-Pro Forma'!$S$33=""),"",VLOOKUP($L$42,'Part VII-Pro Forma'!$Q$19:$S$38,3))</f>
        <v>#N/A</v>
      </c>
      <c r="G44" s="2877"/>
      <c r="H44" s="765" t="s">
        <v>4243</v>
      </c>
      <c r="I44" s="2861" t="e">
        <f>IF(OR($I$42="",$I$42=0,'Part VII-Pro Forma'!$R$33=0,'Part VII-Pro Forma'!$R$33=""),"",VLOOKUP($L$42,'Part VII-Pro Forma'!$Q$19:$S$33,2))</f>
        <v>#N/A</v>
      </c>
      <c r="J44" s="2862"/>
      <c r="K44" s="1767"/>
      <c r="L44" s="398"/>
      <c r="M44" s="398"/>
      <c r="N44" s="1413"/>
      <c r="O44" s="1413"/>
      <c r="P44" s="398"/>
      <c r="Q44" s="398"/>
      <c r="S44" s="1366"/>
      <c r="T44" s="1367"/>
    </row>
    <row r="45" spans="1:20" s="319" customFormat="1" ht="14.25" customHeight="1">
      <c r="A45" s="346"/>
      <c r="B45" s="1410" t="s">
        <v>4303</v>
      </c>
      <c r="C45" s="1408"/>
      <c r="D45" s="1411"/>
      <c r="F45" s="2857">
        <v>1</v>
      </c>
      <c r="G45" s="2858"/>
      <c r="H45" s="765" t="s">
        <v>4245</v>
      </c>
      <c r="I45" s="2859" t="e">
        <f>IF(OR($F$44 = 0,$F$44 =""),"",$I$44/$F$44)</f>
        <v>#N/A</v>
      </c>
      <c r="J45" s="2860"/>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887" t="s">
        <v>2231</v>
      </c>
      <c r="C47" s="2888"/>
      <c r="D47" s="2889"/>
      <c r="E47" s="2826"/>
      <c r="F47" s="2827"/>
      <c r="G47" s="2827"/>
      <c r="H47" s="2828"/>
      <c r="I47" s="2890"/>
      <c r="J47" s="2891"/>
      <c r="K47" s="448"/>
      <c r="L47" s="448"/>
      <c r="M47" s="448"/>
      <c r="N47" s="448"/>
      <c r="O47" s="448"/>
      <c r="P47" s="448"/>
      <c r="Q47" s="448"/>
      <c r="S47" s="2796"/>
      <c r="T47" s="2797"/>
    </row>
    <row r="48" spans="1:20" s="319" customFormat="1" ht="14.25" customHeight="1">
      <c r="A48" s="346"/>
      <c r="B48" s="2835" t="s">
        <v>809</v>
      </c>
      <c r="C48" s="2836"/>
      <c r="D48" s="2892"/>
      <c r="E48" s="2837"/>
      <c r="F48" s="2838"/>
      <c r="G48" s="2838"/>
      <c r="H48" s="2839"/>
      <c r="I48" s="2863"/>
      <c r="J48" s="2864"/>
      <c r="L48" s="2893" t="s">
        <v>522</v>
      </c>
      <c r="M48" s="2893"/>
      <c r="N48" s="2894" t="s">
        <v>523</v>
      </c>
      <c r="O48" s="2894"/>
      <c r="P48" s="483" t="s">
        <v>521</v>
      </c>
      <c r="Q48" s="448"/>
      <c r="S48" s="2798"/>
      <c r="T48" s="2799"/>
    </row>
    <row r="49" spans="1:23" s="319" customFormat="1" ht="14.25" customHeight="1">
      <c r="A49" s="346"/>
      <c r="B49" s="2835" t="s">
        <v>810</v>
      </c>
      <c r="C49" s="2836"/>
      <c r="D49" s="2892"/>
      <c r="E49" s="2837" t="s">
        <v>4761</v>
      </c>
      <c r="F49" s="2838"/>
      <c r="G49" s="2838"/>
      <c r="H49" s="2839"/>
      <c r="I49" s="2863">
        <v>7494971</v>
      </c>
      <c r="J49" s="2863"/>
      <c r="L49" s="2895">
        <f>'Part IV-A-Uses of Funds'!$J$175*10*'Part IV-A-Uses of Funds'!$N$168</f>
        <v>7494971.3999999994</v>
      </c>
      <c r="M49" s="2895"/>
      <c r="N49" s="2896">
        <f>I49-L49</f>
        <v>-0.39999999944120646</v>
      </c>
      <c r="O49" s="2896"/>
      <c r="P49" s="484" t="s">
        <v>2577</v>
      </c>
      <c r="Q49" s="448"/>
      <c r="S49" s="2798"/>
      <c r="T49" s="2799"/>
    </row>
    <row r="50" spans="1:23" s="319" customFormat="1" ht="14.25" customHeight="1">
      <c r="A50" s="346"/>
      <c r="B50" s="2835" t="s">
        <v>811</v>
      </c>
      <c r="C50" s="2836"/>
      <c r="D50" s="2892"/>
      <c r="E50" s="2837" t="s">
        <v>4761</v>
      </c>
      <c r="F50" s="2838"/>
      <c r="G50" s="2838"/>
      <c r="H50" s="2839"/>
      <c r="I50" s="2863">
        <v>4435799</v>
      </c>
      <c r="J50" s="2863"/>
      <c r="L50" s="2895">
        <f>'Part IV-A-Uses of Funds'!$J$175*10*'Part IV-A-Uses of Funds'!$Q$168</f>
        <v>4435799.3999999994</v>
      </c>
      <c r="M50" s="2895"/>
      <c r="N50" s="2896">
        <f>I50-L50</f>
        <v>-0.39999999944120646</v>
      </c>
      <c r="O50" s="2896"/>
      <c r="P50" s="485">
        <f>I49/I59</f>
        <v>0.36196706421423608</v>
      </c>
      <c r="Q50" s="448"/>
      <c r="S50" s="2798"/>
      <c r="T50" s="2799"/>
    </row>
    <row r="51" spans="1:23" s="319" customFormat="1" ht="14.25" customHeight="1">
      <c r="A51" s="346"/>
      <c r="B51" s="2835" t="s">
        <v>1422</v>
      </c>
      <c r="C51" s="2836"/>
      <c r="D51" s="2892"/>
      <c r="E51" s="2837"/>
      <c r="F51" s="2838"/>
      <c r="G51" s="2838"/>
      <c r="H51" s="2839"/>
      <c r="I51" s="2863"/>
      <c r="J51" s="2863"/>
      <c r="P51" s="485">
        <f>I50/I59</f>
        <v>0.2142253974664404</v>
      </c>
      <c r="Q51" s="448"/>
      <c r="S51" s="2800"/>
      <c r="T51" s="2801"/>
    </row>
    <row r="52" spans="1:23" s="319" customFormat="1" ht="14.25" customHeight="1">
      <c r="A52" s="346"/>
      <c r="B52" s="1361" t="s">
        <v>536</v>
      </c>
      <c r="C52" s="1362"/>
      <c r="D52" s="1368"/>
      <c r="E52" s="2837"/>
      <c r="F52" s="2838"/>
      <c r="G52" s="2838"/>
      <c r="H52" s="2839"/>
      <c r="I52" s="2863"/>
      <c r="J52" s="2863"/>
      <c r="K52" s="346"/>
      <c r="P52" s="486">
        <f>SUM(P50:P51)</f>
        <v>0.5761924616806765</v>
      </c>
      <c r="Q52" s="448"/>
      <c r="S52" s="2798"/>
      <c r="T52" s="2799"/>
    </row>
    <row r="53" spans="1:23" s="319" customFormat="1" ht="14.25" customHeight="1">
      <c r="A53" s="346"/>
      <c r="B53" s="1361" t="s">
        <v>1883</v>
      </c>
      <c r="C53" s="1362"/>
      <c r="D53" s="1368"/>
      <c r="E53" s="2837"/>
      <c r="F53" s="2838"/>
      <c r="G53" s="2838"/>
      <c r="H53" s="2839"/>
      <c r="I53" s="2863"/>
      <c r="J53" s="2863"/>
      <c r="N53" s="449"/>
      <c r="O53" s="449"/>
      <c r="P53" s="449"/>
      <c r="Q53" s="448"/>
      <c r="S53" s="2798"/>
      <c r="T53" s="2799"/>
    </row>
    <row r="54" spans="1:23" s="319" customFormat="1" ht="14.25" customHeight="1">
      <c r="A54" s="346"/>
      <c r="B54" s="1361" t="s">
        <v>1884</v>
      </c>
      <c r="C54" s="1362"/>
      <c r="D54" s="1368"/>
      <c r="E54" s="2837"/>
      <c r="F54" s="2838"/>
      <c r="G54" s="2838"/>
      <c r="H54" s="2839"/>
      <c r="I54" s="2863"/>
      <c r="J54" s="2863"/>
      <c r="M54" s="449"/>
      <c r="N54" s="449"/>
      <c r="O54" s="449"/>
      <c r="P54" s="449"/>
      <c r="Q54" s="448"/>
      <c r="S54" s="2798"/>
      <c r="T54" s="2799"/>
    </row>
    <row r="55" spans="1:23" s="319" customFormat="1" ht="14.25" customHeight="1">
      <c r="A55" s="346"/>
      <c r="B55" s="1361" t="s">
        <v>749</v>
      </c>
      <c r="C55" s="2850"/>
      <c r="D55" s="2850"/>
      <c r="E55" s="2837"/>
      <c r="F55" s="2838"/>
      <c r="G55" s="2838"/>
      <c r="H55" s="2839"/>
      <c r="I55" s="2863"/>
      <c r="J55" s="2863"/>
      <c r="M55" s="449"/>
      <c r="N55" s="449"/>
      <c r="O55" s="449"/>
      <c r="P55" s="449"/>
      <c r="Q55" s="448"/>
      <c r="S55" s="2798"/>
      <c r="T55" s="2799"/>
    </row>
    <row r="56" spans="1:23" s="319" customFormat="1" ht="14.25" customHeight="1">
      <c r="A56" s="346"/>
      <c r="B56" s="1361" t="s">
        <v>749</v>
      </c>
      <c r="C56" s="2851"/>
      <c r="D56" s="2851"/>
      <c r="E56" s="2837"/>
      <c r="F56" s="2838"/>
      <c r="G56" s="2838"/>
      <c r="H56" s="2839"/>
      <c r="I56" s="2863"/>
      <c r="J56" s="2863"/>
      <c r="K56" s="346"/>
      <c r="L56" s="450"/>
      <c r="M56" s="449"/>
      <c r="N56" s="449"/>
      <c r="O56" s="449"/>
      <c r="P56" s="449"/>
      <c r="Q56" s="448"/>
      <c r="S56" s="2798"/>
      <c r="T56" s="2799"/>
    </row>
    <row r="57" spans="1:23" s="319" customFormat="1" ht="14.25" customHeight="1">
      <c r="A57" s="346"/>
      <c r="B57" s="1370" t="s">
        <v>749</v>
      </c>
      <c r="C57" s="2852"/>
      <c r="D57" s="2852"/>
      <c r="E57" s="2815"/>
      <c r="F57" s="2816"/>
      <c r="G57" s="2816"/>
      <c r="H57" s="2817"/>
      <c r="I57" s="2898"/>
      <c r="J57" s="2898"/>
      <c r="K57" s="346"/>
      <c r="L57" s="450"/>
      <c r="M57" s="449"/>
      <c r="N57" s="449"/>
      <c r="O57" s="449"/>
      <c r="P57" s="449"/>
      <c r="Q57" s="448"/>
      <c r="S57" s="2798"/>
      <c r="T57" s="2799"/>
    </row>
    <row r="58" spans="1:23" s="319" customFormat="1" ht="14.25" customHeight="1">
      <c r="A58" s="346"/>
      <c r="B58" s="1351" t="s">
        <v>2232</v>
      </c>
      <c r="C58" s="346"/>
      <c r="D58" s="346"/>
      <c r="E58" s="346"/>
      <c r="F58" s="346"/>
      <c r="G58" s="346"/>
      <c r="I58" s="2899">
        <f>SUM(I37:J42)+SUM(I47:J57)</f>
        <v>20706224</v>
      </c>
      <c r="J58" s="2900"/>
      <c r="K58" s="346"/>
      <c r="L58" s="450"/>
      <c r="M58" s="449"/>
      <c r="N58" s="449"/>
      <c r="O58" s="449"/>
      <c r="P58" s="449"/>
      <c r="Q58" s="448"/>
      <c r="S58" s="2798"/>
      <c r="T58" s="2799"/>
    </row>
    <row r="59" spans="1:23" s="319" customFormat="1" ht="14.25" customHeight="1" thickBot="1">
      <c r="A59" s="346"/>
      <c r="B59" s="1351" t="s">
        <v>2233</v>
      </c>
      <c r="C59" s="346"/>
      <c r="D59" s="346"/>
      <c r="E59" s="346"/>
      <c r="F59" s="346"/>
      <c r="G59" s="346"/>
      <c r="I59" s="2901">
        <f>'Part IV-A-Uses of Funds'!$G$132</f>
        <v>20706223.689910028</v>
      </c>
      <c r="J59" s="2902"/>
      <c r="K59" s="346"/>
      <c r="L59" s="450"/>
      <c r="M59" s="449"/>
      <c r="N59" s="449"/>
      <c r="O59" s="449"/>
      <c r="P59" s="449"/>
      <c r="Q59" s="448"/>
      <c r="S59" s="2798"/>
      <c r="T59" s="2799"/>
    </row>
    <row r="60" spans="1:23" s="319" customFormat="1" ht="14.25" customHeight="1" thickBot="1">
      <c r="A60" s="346"/>
      <c r="B60" s="351" t="s">
        <v>1537</v>
      </c>
      <c r="C60" s="346"/>
      <c r="D60" s="346"/>
      <c r="E60" s="346"/>
      <c r="F60" s="346"/>
      <c r="G60" s="346"/>
      <c r="I60" s="2903">
        <f>I58-I59</f>
        <v>0.31008997187018394</v>
      </c>
      <c r="J60" s="2904"/>
      <c r="K60" s="346"/>
      <c r="L60" s="450"/>
      <c r="M60" s="449"/>
      <c r="N60" s="449"/>
      <c r="O60" s="449"/>
      <c r="P60" s="449"/>
      <c r="Q60" s="448"/>
      <c r="S60" s="2800"/>
      <c r="T60" s="2801"/>
    </row>
    <row r="61" spans="1:23" s="319" customFormat="1" ht="13.15"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906"/>
      <c r="B64" s="2906"/>
      <c r="C64" s="2906"/>
      <c r="D64" s="2906"/>
      <c r="E64" s="2906"/>
      <c r="F64" s="2906"/>
      <c r="G64" s="2906"/>
      <c r="H64" s="2906"/>
      <c r="I64" s="2906"/>
      <c r="J64" s="2906"/>
      <c r="K64" s="2906"/>
      <c r="L64" s="2906"/>
      <c r="M64" s="2905"/>
      <c r="N64" s="2905"/>
      <c r="O64" s="2905"/>
      <c r="P64" s="2905"/>
      <c r="Q64" s="2905"/>
      <c r="S64" s="2897" t="s">
        <v>2710</v>
      </c>
      <c r="T64" s="2897"/>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915" t="e">
        <f>CONCATENATE("PART III B: USD 538 LOAN","  -  ",#REF!," ",#REF!,", ",#REF!,", ",#REF!," County")</f>
        <v>#REF!</v>
      </c>
      <c r="B1" s="2916"/>
      <c r="C1" s="2916"/>
      <c r="D1" s="2916"/>
      <c r="E1" s="2916"/>
      <c r="F1" s="2917"/>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8" t="s">
        <v>220</v>
      </c>
      <c r="B3" s="2908"/>
      <c r="C3" s="2908"/>
      <c r="D3" s="2908"/>
      <c r="E3" s="2908"/>
      <c r="F3" s="2908"/>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15"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9" t="s">
        <v>129</v>
      </c>
      <c r="B14" s="2909"/>
      <c r="C14" s="2909"/>
      <c r="D14" s="2909"/>
      <c r="E14" s="2909"/>
      <c r="F14" s="2909"/>
      <c r="G14" s="226"/>
      <c r="H14" s="226"/>
    </row>
    <row r="15" spans="1:17" ht="5.45" customHeight="1">
      <c r="A15" s="29"/>
      <c r="E15" s="237"/>
      <c r="F15" s="226"/>
      <c r="G15" s="226"/>
      <c r="H15" s="226"/>
    </row>
    <row r="16" spans="1:17" ht="13.15" customHeight="1">
      <c r="A16" s="239" t="s">
        <v>2496</v>
      </c>
      <c r="B16" s="240" t="s">
        <v>2493</v>
      </c>
      <c r="C16" s="240" t="s">
        <v>2494</v>
      </c>
      <c r="D16" s="2918" t="s">
        <v>2270</v>
      </c>
      <c r="E16" s="2918"/>
      <c r="F16" s="226"/>
      <c r="G16" s="226"/>
      <c r="H16" s="226"/>
    </row>
    <row r="17" spans="1:8" ht="12.6" customHeight="1">
      <c r="A17" s="87">
        <v>1</v>
      </c>
      <c r="B17" s="215">
        <f>IF(A17&gt;$C$9,0,SUM(C64:C75)*($C$6/$C$7))</f>
        <v>0</v>
      </c>
      <c r="C17" s="238">
        <f>IF(A17&gt;C9,0,(E63+K63)*$C$8)</f>
        <v>0</v>
      </c>
      <c r="D17" s="2913">
        <f t="shared" ref="D17:D56" si="0">IF(A17&gt;$C$9,0,$C$11+C17)</f>
        <v>0</v>
      </c>
      <c r="E17" s="2913"/>
      <c r="F17" s="226"/>
      <c r="G17" s="226"/>
      <c r="H17" s="226"/>
    </row>
    <row r="18" spans="1:8" ht="12.6" customHeight="1">
      <c r="A18" s="87">
        <v>2</v>
      </c>
      <c r="B18" s="215">
        <f>IF(A18&gt;C9,0,SUM(C76:C87)*($C$6/$C$7))</f>
        <v>0</v>
      </c>
      <c r="C18" s="245">
        <f>IF(A18&gt;C9,0,(E75+K75)*$C$8)</f>
        <v>0</v>
      </c>
      <c r="D18" s="2911">
        <f t="shared" si="0"/>
        <v>0</v>
      </c>
      <c r="E18" s="2911"/>
      <c r="F18" s="226"/>
      <c r="G18" s="226"/>
      <c r="H18" s="226"/>
    </row>
    <row r="19" spans="1:8" ht="12.6" customHeight="1">
      <c r="A19" s="87">
        <v>3</v>
      </c>
      <c r="B19" s="215">
        <f>IF(A19&gt;C9,0,SUM(C88:C99)*($C$6/$C$7))</f>
        <v>0</v>
      </c>
      <c r="C19" s="238">
        <f>IF(A19&gt;C9,0,(E87+K87)*$C$8)</f>
        <v>0</v>
      </c>
      <c r="D19" s="2911">
        <f t="shared" si="0"/>
        <v>0</v>
      </c>
      <c r="E19" s="2911"/>
      <c r="F19" s="226"/>
      <c r="G19" s="226"/>
      <c r="H19" s="226"/>
    </row>
    <row r="20" spans="1:8" ht="12.6" customHeight="1">
      <c r="A20" s="87">
        <v>4</v>
      </c>
      <c r="B20" s="215">
        <f>IF(A20&gt;C9,0,SUM(C100:C111)*($C$6/$C$7))</f>
        <v>0</v>
      </c>
      <c r="C20" s="238">
        <f>IF(A20&gt;C9,0,(E99+K99)*$C$8)</f>
        <v>0</v>
      </c>
      <c r="D20" s="2911">
        <f t="shared" si="0"/>
        <v>0</v>
      </c>
      <c r="E20" s="2911"/>
      <c r="F20" s="226"/>
      <c r="G20" s="226"/>
      <c r="H20" s="226"/>
    </row>
    <row r="21" spans="1:8" ht="12.6" customHeight="1">
      <c r="A21" s="87">
        <v>5</v>
      </c>
      <c r="B21" s="215">
        <f>IF(A21&gt;C9,0,SUM(C112:C123)*($C$6/$C$7))</f>
        <v>0</v>
      </c>
      <c r="C21" s="238">
        <f>IF(A21&gt;C9,0,(E111+K111)*$C$8)</f>
        <v>0</v>
      </c>
      <c r="D21" s="2912">
        <f t="shared" si="0"/>
        <v>0</v>
      </c>
      <c r="E21" s="2912"/>
      <c r="F21" s="226"/>
      <c r="G21" s="226"/>
      <c r="H21" s="226"/>
    </row>
    <row r="22" spans="1:8" ht="12.6" customHeight="1">
      <c r="A22" s="216">
        <v>6</v>
      </c>
      <c r="B22" s="217">
        <f>IF(A22&gt;C9,0,SUM(C124:C135)*($C$6/$C$7))</f>
        <v>0</v>
      </c>
      <c r="C22" s="242">
        <f>IF(A22&gt;C9,0,(E123+K123)*$C$8)</f>
        <v>0</v>
      </c>
      <c r="D22" s="2911">
        <f t="shared" si="0"/>
        <v>0</v>
      </c>
      <c r="E22" s="2911"/>
      <c r="F22" s="226"/>
      <c r="G22" s="226"/>
      <c r="H22" s="226"/>
    </row>
    <row r="23" spans="1:8" ht="12.6" customHeight="1">
      <c r="A23" s="218">
        <v>7</v>
      </c>
      <c r="B23" s="219">
        <f>IF(A23&gt;C9,0,SUM(C136:C147)*($C$6/$C$7))</f>
        <v>0</v>
      </c>
      <c r="C23" s="220">
        <f>IF(A23&gt;C9,0,(E135+K135)*$C$8)</f>
        <v>0</v>
      </c>
      <c r="D23" s="2911">
        <f t="shared" si="0"/>
        <v>0</v>
      </c>
      <c r="E23" s="2911"/>
      <c r="F23" s="226"/>
      <c r="G23" s="226"/>
      <c r="H23" s="226"/>
    </row>
    <row r="24" spans="1:8" ht="12.6" customHeight="1">
      <c r="A24" s="218">
        <v>8</v>
      </c>
      <c r="B24" s="219">
        <f>IF(A24&gt;C9,0,SUM(C148:C159)*($C$6/$C$7))</f>
        <v>0</v>
      </c>
      <c r="C24" s="220">
        <f>IF(A24&gt;C9,0,(E147+K147)*$C$8)</f>
        <v>0</v>
      </c>
      <c r="D24" s="2911">
        <f t="shared" si="0"/>
        <v>0</v>
      </c>
      <c r="E24" s="2911"/>
      <c r="F24" s="226"/>
      <c r="G24" s="226"/>
      <c r="H24" s="226"/>
    </row>
    <row r="25" spans="1:8" ht="12.6" customHeight="1">
      <c r="A25" s="218">
        <v>9</v>
      </c>
      <c r="B25" s="219">
        <f>IF(A25&gt;C9,0,SUM(C160:C171)*($C$6/$C$7))</f>
        <v>0</v>
      </c>
      <c r="C25" s="220">
        <f>IF(A25&gt;C9,0,(E159+K159)*$C$8)</f>
        <v>0</v>
      </c>
      <c r="D25" s="2911">
        <f t="shared" si="0"/>
        <v>0</v>
      </c>
      <c r="E25" s="2911"/>
      <c r="F25" s="226"/>
      <c r="G25" s="226"/>
      <c r="H25" s="226"/>
    </row>
    <row r="26" spans="1:8" ht="12.6" customHeight="1">
      <c r="A26" s="221">
        <v>10</v>
      </c>
      <c r="B26" s="222">
        <f>IF(A26&gt;C9,0,SUM(C172:C183)*($C$6/$C$7))</f>
        <v>0</v>
      </c>
      <c r="C26" s="241">
        <f>IF(A26&gt;C9,0,(E171+K171)*$C$8)</f>
        <v>0</v>
      </c>
      <c r="D26" s="2912">
        <f t="shared" si="0"/>
        <v>0</v>
      </c>
      <c r="E26" s="2912"/>
      <c r="F26" s="226"/>
      <c r="G26" s="226"/>
      <c r="H26" s="226"/>
    </row>
    <row r="27" spans="1:8" ht="12.6" customHeight="1">
      <c r="A27" s="223">
        <v>11</v>
      </c>
      <c r="B27" s="215">
        <f>IF(A27&gt;C9,0,SUM(C184:C195)*($C$6/$C$7))</f>
        <v>0</v>
      </c>
      <c r="C27" s="238">
        <f>IF(A27&gt;C9,0,(E183+K183)*$C$8)</f>
        <v>0</v>
      </c>
      <c r="D27" s="2911">
        <f t="shared" si="0"/>
        <v>0</v>
      </c>
      <c r="E27" s="2911"/>
      <c r="F27" s="226"/>
      <c r="G27" s="226"/>
      <c r="H27" s="226"/>
    </row>
    <row r="28" spans="1:8" ht="12.6" customHeight="1">
      <c r="A28" s="223">
        <v>12</v>
      </c>
      <c r="B28" s="215">
        <f>IF(A28&gt;C9,0,SUM(C196:C207)*($C$6/$C$7))</f>
        <v>0</v>
      </c>
      <c r="C28" s="238">
        <f>IF(A28&gt;C9,0,(E195+K195)*$C$8)</f>
        <v>0</v>
      </c>
      <c r="D28" s="2911">
        <f t="shared" si="0"/>
        <v>0</v>
      </c>
      <c r="E28" s="2911"/>
      <c r="F28" s="226"/>
      <c r="G28" s="226"/>
      <c r="H28" s="226"/>
    </row>
    <row r="29" spans="1:8" ht="12.6" customHeight="1">
      <c r="A29" s="223">
        <v>13</v>
      </c>
      <c r="B29" s="215">
        <f>IF(A29&gt;C9,0,SUM(C208:C219)*($C$6/$C$7))</f>
        <v>0</v>
      </c>
      <c r="C29" s="238">
        <f>IF(A29&gt;C9,0,(E207+K207)*$C$8)</f>
        <v>0</v>
      </c>
      <c r="D29" s="2911">
        <f t="shared" si="0"/>
        <v>0</v>
      </c>
      <c r="E29" s="2911"/>
      <c r="F29" s="226"/>
      <c r="G29" s="226"/>
      <c r="H29" s="226"/>
    </row>
    <row r="30" spans="1:8" ht="12.6" customHeight="1">
      <c r="A30" s="223">
        <v>14</v>
      </c>
      <c r="B30" s="215">
        <f>IF(A30&gt;C9,0,SUM(C220:C231)*($C$6/$C$7))</f>
        <v>0</v>
      </c>
      <c r="C30" s="238">
        <f>IF(A30&gt;C9,0,(E219+K219)*$C$8)</f>
        <v>0</v>
      </c>
      <c r="D30" s="2911">
        <f t="shared" si="0"/>
        <v>0</v>
      </c>
      <c r="E30" s="2911"/>
      <c r="F30" s="226"/>
      <c r="G30" s="226"/>
      <c r="H30" s="226"/>
    </row>
    <row r="31" spans="1:8" ht="12.6" customHeight="1">
      <c r="A31" s="223">
        <v>15</v>
      </c>
      <c r="B31" s="215">
        <f>IF(A31&gt;C9,0,SUM(C232:C243)*($C$6/$C$7))</f>
        <v>0</v>
      </c>
      <c r="C31" s="238">
        <f>IF(A31&gt;C9,0,(E231+K231)*$C$8)</f>
        <v>0</v>
      </c>
      <c r="D31" s="2912">
        <f t="shared" si="0"/>
        <v>0</v>
      </c>
      <c r="E31" s="2912"/>
      <c r="F31" s="226"/>
      <c r="G31" s="226"/>
      <c r="H31" s="226"/>
    </row>
    <row r="32" spans="1:8" ht="12.6" customHeight="1">
      <c r="A32" s="225">
        <v>16</v>
      </c>
      <c r="B32" s="217">
        <f>IF(A32&gt;C9,0,SUM(C244:C255)*($C$6/$C$7))</f>
        <v>0</v>
      </c>
      <c r="C32" s="242">
        <f>IF(A32&gt;C9,0,(E243+K243)*$C$8)</f>
        <v>0</v>
      </c>
      <c r="D32" s="2911">
        <f t="shared" si="0"/>
        <v>0</v>
      </c>
      <c r="E32" s="2911"/>
      <c r="F32" s="226"/>
      <c r="G32" s="226"/>
      <c r="H32" s="226"/>
    </row>
    <row r="33" spans="1:8" ht="12.6" customHeight="1">
      <c r="A33" s="218">
        <v>17</v>
      </c>
      <c r="B33" s="219">
        <f>IF(A33&gt;C9,0,SUM(C256:C267)*($C$6/$C$7))</f>
        <v>0</v>
      </c>
      <c r="C33" s="220">
        <f>IF(A33&gt;C9,0,(E255+K255)*$C$8)</f>
        <v>0</v>
      </c>
      <c r="D33" s="2911">
        <f t="shared" si="0"/>
        <v>0</v>
      </c>
      <c r="E33" s="2911"/>
      <c r="F33" s="226"/>
      <c r="G33" s="226"/>
      <c r="H33" s="226"/>
    </row>
    <row r="34" spans="1:8" ht="12.6" customHeight="1">
      <c r="A34" s="218">
        <v>18</v>
      </c>
      <c r="B34" s="219">
        <f>IF(A34&gt;C9,0,SUM(C268:C279)*($C$6/$C$7))</f>
        <v>0</v>
      </c>
      <c r="C34" s="220">
        <f>IF(A34&gt;C9,0,(E267+K267)*$C$8)</f>
        <v>0</v>
      </c>
      <c r="D34" s="2911">
        <f t="shared" si="0"/>
        <v>0</v>
      </c>
      <c r="E34" s="2911"/>
      <c r="F34" s="226"/>
      <c r="G34" s="226"/>
      <c r="H34" s="226"/>
    </row>
    <row r="35" spans="1:8" ht="12.6" customHeight="1">
      <c r="A35" s="218">
        <v>19</v>
      </c>
      <c r="B35" s="219">
        <f>IF(A35&gt;C9,0,SUM(C280:C291)*($C$6/$C$7))</f>
        <v>0</v>
      </c>
      <c r="C35" s="220">
        <f>IF(A35&gt;C9,0,(E279+K279)*$C$8)</f>
        <v>0</v>
      </c>
      <c r="D35" s="2911">
        <f t="shared" si="0"/>
        <v>0</v>
      </c>
      <c r="E35" s="2911"/>
      <c r="F35" s="226"/>
      <c r="G35" s="226"/>
      <c r="H35" s="226"/>
    </row>
    <row r="36" spans="1:8" ht="12.6" customHeight="1">
      <c r="A36" s="221">
        <v>20</v>
      </c>
      <c r="B36" s="222">
        <f>IF(A36&gt;C9,0,SUM(C292:C303)*($C$6/$C$7))</f>
        <v>0</v>
      </c>
      <c r="C36" s="241">
        <f>IF(A36&gt;C9,0,(E291+K291)*$C$8)</f>
        <v>0</v>
      </c>
      <c r="D36" s="2912">
        <f t="shared" si="0"/>
        <v>0</v>
      </c>
      <c r="E36" s="2912"/>
      <c r="F36" s="226"/>
      <c r="G36" s="226"/>
      <c r="H36" s="226"/>
    </row>
    <row r="37" spans="1:8" ht="12.6" customHeight="1">
      <c r="A37" s="87">
        <v>21</v>
      </c>
      <c r="B37" s="217">
        <f>IF(A37&gt;C9,0,SUM(C293:C304)*($C$6/$C$7))</f>
        <v>0</v>
      </c>
      <c r="C37" s="242">
        <f>IF(A37&gt;C9,0,(E303+K303)*$C$8)</f>
        <v>0</v>
      </c>
      <c r="D37" s="2914">
        <f t="shared" si="0"/>
        <v>0</v>
      </c>
      <c r="E37" s="2914"/>
      <c r="F37" s="226"/>
      <c r="G37" s="226"/>
      <c r="H37" s="226"/>
    </row>
    <row r="38" spans="1:8" ht="12.6" customHeight="1">
      <c r="A38" s="87">
        <v>22</v>
      </c>
      <c r="B38" s="219">
        <f>IF(A38&gt;C9,0,SUM(C294:C305)*($C$6/$C$7))</f>
        <v>0</v>
      </c>
      <c r="C38" s="220">
        <f>IF(A38&gt;C9,0,(E315+K315)*$C$8)</f>
        <v>0</v>
      </c>
      <c r="D38" s="2911">
        <f t="shared" si="0"/>
        <v>0</v>
      </c>
      <c r="E38" s="2911"/>
      <c r="F38" s="226"/>
      <c r="G38" s="226"/>
      <c r="H38" s="226"/>
    </row>
    <row r="39" spans="1:8" ht="12.6" customHeight="1">
      <c r="A39" s="87">
        <v>23</v>
      </c>
      <c r="B39" s="219">
        <f>IF(A39&gt;C9,0,SUM(C295:C306)*($C$6/$C$7))</f>
        <v>0</v>
      </c>
      <c r="C39" s="220">
        <f>IF(A39&gt;C9,0,(E327+K327)*$C$8)</f>
        <v>0</v>
      </c>
      <c r="D39" s="2911">
        <f t="shared" si="0"/>
        <v>0</v>
      </c>
      <c r="E39" s="2911"/>
      <c r="F39" s="226"/>
      <c r="G39" s="226"/>
      <c r="H39" s="226"/>
    </row>
    <row r="40" spans="1:8" ht="12.6" customHeight="1">
      <c r="A40" s="87">
        <v>24</v>
      </c>
      <c r="B40" s="219">
        <f>IF(A40&gt;C9,0,SUM(C296:C307)*($C$6/$C$7))</f>
        <v>0</v>
      </c>
      <c r="C40" s="220">
        <f>IF(A40&gt;C9,0,(E339+K339)*$C$8)</f>
        <v>0</v>
      </c>
      <c r="D40" s="2911">
        <f t="shared" si="0"/>
        <v>0</v>
      </c>
      <c r="E40" s="2911"/>
      <c r="F40" s="226"/>
      <c r="G40" s="226"/>
      <c r="H40" s="226"/>
    </row>
    <row r="41" spans="1:8" ht="12.6" customHeight="1">
      <c r="A41" s="87">
        <v>25</v>
      </c>
      <c r="B41" s="222">
        <f>IF(A41&gt;C9,0,SUM(C297:C308)*($C$6/$C$7))</f>
        <v>0</v>
      </c>
      <c r="C41" s="241">
        <f>IF(A41&gt;C9,0,(E351+K351)*$C$8)</f>
        <v>0</v>
      </c>
      <c r="D41" s="2912">
        <f t="shared" si="0"/>
        <v>0</v>
      </c>
      <c r="E41" s="2912"/>
      <c r="F41" s="226"/>
      <c r="G41" s="226"/>
      <c r="H41" s="226"/>
    </row>
    <row r="42" spans="1:8" ht="12.6" customHeight="1">
      <c r="A42" s="216">
        <v>26</v>
      </c>
      <c r="B42" s="217">
        <f>IF(A42&gt;C9,0,SUM(C298:C309)*($C$6/$C$7))</f>
        <v>0</v>
      </c>
      <c r="C42" s="242">
        <f>IF(A42&gt;C9,0,(E363+K363)*$C$8)</f>
        <v>0</v>
      </c>
      <c r="D42" s="2914">
        <f t="shared" si="0"/>
        <v>0</v>
      </c>
      <c r="E42" s="2914"/>
      <c r="F42" s="226"/>
      <c r="G42" s="226"/>
      <c r="H42" s="226"/>
    </row>
    <row r="43" spans="1:8" ht="12.6" customHeight="1">
      <c r="A43" s="218">
        <v>27</v>
      </c>
      <c r="B43" s="219">
        <f>IF(A43&gt;C9,0,SUM(C299:C310)*($C$6/$C$7))</f>
        <v>0</v>
      </c>
      <c r="C43" s="220">
        <f>IF(A43&gt;C9,0,(E375+K375)*$C$8)</f>
        <v>0</v>
      </c>
      <c r="D43" s="2911">
        <f t="shared" si="0"/>
        <v>0</v>
      </c>
      <c r="E43" s="2911"/>
      <c r="F43" s="226"/>
      <c r="G43" s="226"/>
      <c r="H43" s="226"/>
    </row>
    <row r="44" spans="1:8" ht="12.6" customHeight="1">
      <c r="A44" s="218">
        <v>28</v>
      </c>
      <c r="B44" s="219">
        <f>IF(A44&gt;C9,0,SUM(C300:C311)*($C$6/$C$7))</f>
        <v>0</v>
      </c>
      <c r="C44" s="220">
        <f>IF(A44&gt;C9,0,(E387+K387)*$C$8)</f>
        <v>0</v>
      </c>
      <c r="D44" s="2911">
        <f t="shared" si="0"/>
        <v>0</v>
      </c>
      <c r="E44" s="2911"/>
      <c r="F44" s="226"/>
      <c r="G44" s="226"/>
      <c r="H44" s="226"/>
    </row>
    <row r="45" spans="1:8" ht="12.6" customHeight="1">
      <c r="A45" s="218">
        <v>29</v>
      </c>
      <c r="B45" s="219">
        <f>IF(A45&gt;C9,0,SUM(C301:C312)*($C$6/$C$7))</f>
        <v>0</v>
      </c>
      <c r="C45" s="220">
        <f>IF(A45&gt;C9,0,(E411+K411)*$C$8)</f>
        <v>0</v>
      </c>
      <c r="D45" s="2911">
        <f t="shared" si="0"/>
        <v>0</v>
      </c>
      <c r="E45" s="2911"/>
      <c r="F45" s="226"/>
      <c r="G45" s="226"/>
      <c r="H45" s="226"/>
    </row>
    <row r="46" spans="1:8" ht="12.6" customHeight="1">
      <c r="A46" s="221">
        <v>30</v>
      </c>
      <c r="B46" s="222">
        <f>IF(A46&gt;C9,0,SUM(C302:C313)*($C$6/$C$7))</f>
        <v>0</v>
      </c>
      <c r="C46" s="241">
        <f>IF(A46&gt;C9,0,(E423+K423)*$C$8)</f>
        <v>0</v>
      </c>
      <c r="D46" s="2912">
        <f t="shared" si="0"/>
        <v>0</v>
      </c>
      <c r="E46" s="2912"/>
      <c r="F46" s="226"/>
      <c r="G46" s="226"/>
      <c r="H46" s="226"/>
    </row>
    <row r="47" spans="1:8" ht="12.6" customHeight="1">
      <c r="A47" s="225">
        <v>31</v>
      </c>
      <c r="B47" s="217">
        <f>IF(A47&gt;C9,0,SUM(C303:C314)*($C$6/$C$7))</f>
        <v>0</v>
      </c>
      <c r="C47" s="242">
        <f>IF(A47&gt;C9,0,(E435+K435)*$C$8)</f>
        <v>0</v>
      </c>
      <c r="D47" s="2914">
        <f t="shared" si="0"/>
        <v>0</v>
      </c>
      <c r="E47" s="2914"/>
      <c r="F47" s="226"/>
      <c r="G47" s="226"/>
      <c r="H47" s="226"/>
    </row>
    <row r="48" spans="1:8" ht="12.6" customHeight="1">
      <c r="A48" s="218">
        <v>32</v>
      </c>
      <c r="B48" s="219">
        <f>IF(A48&gt;C9,0,SUM(C304:C315)*($C$6/$C$7))</f>
        <v>0</v>
      </c>
      <c r="C48" s="220">
        <f>IF(A48&gt;C9,0,(E447+K447)*$C$8)</f>
        <v>0</v>
      </c>
      <c r="D48" s="2911">
        <f t="shared" si="0"/>
        <v>0</v>
      </c>
      <c r="E48" s="2911"/>
      <c r="F48" s="226"/>
      <c r="G48" s="226"/>
      <c r="H48" s="226"/>
    </row>
    <row r="49" spans="1:12" ht="12.6" customHeight="1">
      <c r="A49" s="218">
        <v>33</v>
      </c>
      <c r="B49" s="219">
        <f>IF(A49&gt;C9,0,SUM(C305:C316)*($C$6/$C$7))</f>
        <v>0</v>
      </c>
      <c r="C49" s="220">
        <f>IF(A49&gt;C9,0,(E459+K459)*$C$8)</f>
        <v>0</v>
      </c>
      <c r="D49" s="2911">
        <f t="shared" si="0"/>
        <v>0</v>
      </c>
      <c r="E49" s="2911"/>
      <c r="F49" s="226"/>
      <c r="G49" s="226"/>
      <c r="H49" s="226"/>
    </row>
    <row r="50" spans="1:12" ht="12.6" customHeight="1">
      <c r="A50" s="218">
        <v>34</v>
      </c>
      <c r="B50" s="219">
        <f>IF(A50&gt;C9,0,SUM(C306:C317)*($C$6/$C$7))</f>
        <v>0</v>
      </c>
      <c r="C50" s="220">
        <f>IF(A50&gt;C9,0,(E471+K471)*$C$8)</f>
        <v>0</v>
      </c>
      <c r="D50" s="2911">
        <f t="shared" si="0"/>
        <v>0</v>
      </c>
      <c r="E50" s="2911"/>
      <c r="F50" s="226"/>
      <c r="G50" s="226"/>
      <c r="H50" s="226"/>
    </row>
    <row r="51" spans="1:12" ht="12.6" customHeight="1">
      <c r="A51" s="221">
        <v>35</v>
      </c>
      <c r="B51" s="222">
        <f>IF(A51&gt;C9,0,SUM(C307:C318)*($C$6/$C$7))</f>
        <v>0</v>
      </c>
      <c r="C51" s="241">
        <f>IF(A51&gt;C9,0,(E483+K483)*$C$8)</f>
        <v>0</v>
      </c>
      <c r="D51" s="2912">
        <f t="shared" si="0"/>
        <v>0</v>
      </c>
      <c r="E51" s="2912"/>
      <c r="F51" s="226"/>
      <c r="G51" s="226"/>
      <c r="H51" s="226"/>
    </row>
    <row r="52" spans="1:12" ht="12.6" customHeight="1">
      <c r="A52" s="225">
        <v>36</v>
      </c>
      <c r="B52" s="217">
        <f>IF(A52&gt;C9,0,SUM(C308:C319)*($C$6/$C$7))</f>
        <v>0</v>
      </c>
      <c r="C52" s="242">
        <f>IF(A52&gt;C9,0,(E495+K495)*$C$8)</f>
        <v>0</v>
      </c>
      <c r="D52" s="2914">
        <f t="shared" si="0"/>
        <v>0</v>
      </c>
      <c r="E52" s="2914"/>
      <c r="F52" s="226"/>
      <c r="G52" s="226"/>
      <c r="H52" s="226"/>
    </row>
    <row r="53" spans="1:12" ht="12.6" customHeight="1">
      <c r="A53" s="218">
        <v>37</v>
      </c>
      <c r="B53" s="219">
        <f>IF(A53&gt;C9,0,SUM(C309:C320)*($C$6/$C$7))</f>
        <v>0</v>
      </c>
      <c r="C53" s="220">
        <f>IF(A53&gt;C9,0,(E507+K507)*$C$8)</f>
        <v>0</v>
      </c>
      <c r="D53" s="2911">
        <f t="shared" si="0"/>
        <v>0</v>
      </c>
      <c r="E53" s="2911"/>
      <c r="F53" s="226"/>
      <c r="G53" s="226"/>
      <c r="H53" s="226"/>
    </row>
    <row r="54" spans="1:12" ht="12.6" customHeight="1">
      <c r="A54" s="218">
        <v>38</v>
      </c>
      <c r="B54" s="219">
        <f>IF(A54&gt;C9,0,SUM(C310:C321)*($C$6/$C$7))</f>
        <v>0</v>
      </c>
      <c r="C54" s="220">
        <f>IF(A54&gt;C9,0,(E519+K519)*$C$8)</f>
        <v>0</v>
      </c>
      <c r="D54" s="2911">
        <f t="shared" si="0"/>
        <v>0</v>
      </c>
      <c r="E54" s="2911"/>
      <c r="F54" s="226"/>
      <c r="G54" s="226"/>
      <c r="H54" s="226"/>
    </row>
    <row r="55" spans="1:12" ht="12.6" customHeight="1">
      <c r="A55" s="218">
        <v>39</v>
      </c>
      <c r="B55" s="219">
        <f>IF(A55&gt;C9,0,SUM(C311:C322)*($C$6/$C$7))</f>
        <v>0</v>
      </c>
      <c r="C55" s="220">
        <f>IF(A55&gt;C9,0,(E531+K531)*$C$8)</f>
        <v>0</v>
      </c>
      <c r="D55" s="2911">
        <f t="shared" si="0"/>
        <v>0</v>
      </c>
      <c r="E55" s="2911"/>
      <c r="F55" s="226"/>
      <c r="G55" s="226"/>
      <c r="H55" s="226"/>
    </row>
    <row r="56" spans="1:12" ht="12.6" customHeight="1">
      <c r="A56" s="221">
        <v>40</v>
      </c>
      <c r="B56" s="222">
        <f>IF(A56&gt;C9,0,SUM(C312:C323)*($C$6/$C$7))</f>
        <v>0</v>
      </c>
      <c r="C56" s="241">
        <f>IF(A56&gt;C9,0,(E543+K543)*$C$8)</f>
        <v>0</v>
      </c>
      <c r="D56" s="2912">
        <f t="shared" si="0"/>
        <v>0</v>
      </c>
      <c r="E56" s="2912"/>
      <c r="F56" s="226"/>
      <c r="G56" s="226"/>
      <c r="H56" s="226"/>
    </row>
    <row r="57" spans="1:12" ht="3" customHeight="1">
      <c r="A57" s="226"/>
      <c r="B57" s="226"/>
      <c r="C57" s="226"/>
      <c r="D57" s="226"/>
      <c r="E57" s="226"/>
      <c r="F57" s="226"/>
      <c r="G57" s="226"/>
      <c r="H57" s="226"/>
    </row>
    <row r="58" spans="1:12" ht="13.15" customHeight="1">
      <c r="A58" s="2910" t="e">
        <f>CONCATENATE(#REF!," ",#REF!,", ",#REF!,", ",#REF!," County")</f>
        <v>#REF!</v>
      </c>
      <c r="B58" s="2910"/>
      <c r="C58" s="2910"/>
      <c r="D58" s="2910"/>
      <c r="E58" s="2910"/>
      <c r="F58" s="2910"/>
      <c r="G58" s="2910" t="e">
        <f>CONCATENATE(#REF!," ",#REF!,", ",#REF!,", ",#REF!," County")</f>
        <v>#REF!</v>
      </c>
      <c r="H58" s="2910"/>
      <c r="I58" s="2910"/>
      <c r="J58" s="2910"/>
      <c r="K58" s="2910"/>
      <c r="L58" s="2910"/>
    </row>
    <row r="59" spans="1:12" ht="15">
      <c r="A59" s="2907" t="s">
        <v>2487</v>
      </c>
      <c r="B59" s="2907"/>
      <c r="C59" s="2907"/>
      <c r="D59" s="2907"/>
      <c r="E59" s="2907"/>
      <c r="F59" s="2907"/>
      <c r="G59" s="2907" t="s">
        <v>2487</v>
      </c>
      <c r="H59" s="2907"/>
      <c r="I59" s="2907"/>
      <c r="J59" s="2907"/>
      <c r="K59" s="2907"/>
      <c r="L59" s="2907"/>
    </row>
    <row r="60" spans="1:12" ht="6" customHeight="1">
      <c r="C60" s="224"/>
      <c r="D60" s="224"/>
      <c r="I60" s="224"/>
      <c r="J60" s="224"/>
    </row>
    <row r="61" spans="1:12">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915" t="e">
        <f>CONCATENATE("PART III C  - HUD INSURED LOAN","  -  ",#REF!," ",#REF!,", ",#REF!,", ",#REF!," County")</f>
        <v>#REF!</v>
      </c>
      <c r="B1" s="2916"/>
      <c r="C1" s="2916"/>
      <c r="D1" s="2916"/>
      <c r="E1" s="2916"/>
      <c r="F1" s="2917"/>
      <c r="G1" s="192"/>
      <c r="H1" s="192"/>
      <c r="I1" s="192"/>
      <c r="J1" s="192"/>
      <c r="K1" s="192"/>
      <c r="L1" s="192"/>
      <c r="M1" s="192"/>
      <c r="N1" s="192"/>
      <c r="O1" s="192"/>
      <c r="P1" s="192"/>
      <c r="Q1" s="192"/>
    </row>
    <row r="2" spans="1:17">
      <c r="A2" s="14"/>
      <c r="B2" s="214"/>
      <c r="C2" s="214"/>
      <c r="D2" s="214"/>
    </row>
    <row r="3" spans="1:17" ht="15.6" customHeight="1">
      <c r="A3" s="2908" t="s">
        <v>220</v>
      </c>
      <c r="B3" s="2908"/>
      <c r="C3" s="2908"/>
      <c r="D3" s="2908"/>
      <c r="E3" s="2908"/>
      <c r="F3" s="2908"/>
      <c r="G3" s="266"/>
      <c r="H3" s="266"/>
    </row>
    <row r="4" spans="1:17">
      <c r="A4" s="14"/>
      <c r="B4" s="214"/>
      <c r="C4" s="214"/>
      <c r="D4" s="214"/>
    </row>
    <row r="5" spans="1:17" ht="13.15" customHeight="1">
      <c r="A5" s="28" t="s">
        <v>2271</v>
      </c>
      <c r="D5" s="260"/>
      <c r="E5" s="2919" t="s">
        <v>965</v>
      </c>
      <c r="F5" s="2920"/>
      <c r="G5" s="172"/>
    </row>
    <row r="6" spans="1:17">
      <c r="E6" s="2920"/>
      <c r="F6" s="2920"/>
      <c r="G6" s="172"/>
    </row>
    <row r="7" spans="1:17">
      <c r="A7" s="28" t="s">
        <v>2479</v>
      </c>
      <c r="C7" s="28" t="s">
        <v>2480</v>
      </c>
      <c r="D7" s="261"/>
      <c r="E7" s="2920"/>
      <c r="F7" s="2920"/>
      <c r="G7" s="172"/>
    </row>
    <row r="8" spans="1:17">
      <c r="C8" s="28" t="s">
        <v>2481</v>
      </c>
      <c r="D8" s="261"/>
      <c r="E8" s="2920"/>
      <c r="F8" s="2920"/>
      <c r="G8" s="172"/>
    </row>
    <row r="9" spans="1:17">
      <c r="C9" s="28" t="s">
        <v>2482</v>
      </c>
      <c r="D9" s="261"/>
      <c r="E9" s="2920"/>
      <c r="F9" s="2920"/>
      <c r="G9" s="172"/>
    </row>
    <row r="10" spans="1:17">
      <c r="C10" s="28" t="s">
        <v>2495</v>
      </c>
      <c r="D10" s="267">
        <f>D7+D8+D9</f>
        <v>0</v>
      </c>
      <c r="E10" s="2920"/>
      <c r="F10" s="2920"/>
      <c r="G10" s="172"/>
    </row>
    <row r="11" spans="1:17">
      <c r="F11" s="172"/>
      <c r="G11" s="172"/>
    </row>
    <row r="12" spans="1:17">
      <c r="A12" s="28" t="s">
        <v>1729</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09" t="s">
        <v>1730</v>
      </c>
      <c r="B24" s="2909"/>
      <c r="C24" s="2909"/>
      <c r="D24" s="2909"/>
      <c r="E24" s="2909"/>
      <c r="F24" s="2909"/>
      <c r="J24" s="270"/>
    </row>
    <row r="25" spans="1:10">
      <c r="C25" s="224"/>
      <c r="J25" s="270"/>
    </row>
    <row r="26" spans="1:10">
      <c r="A26" s="113"/>
      <c r="B26" s="87"/>
      <c r="C26" s="2921" t="s">
        <v>2270</v>
      </c>
      <c r="D26" s="265"/>
      <c r="E26" s="87"/>
      <c r="F26" s="2921" t="s">
        <v>2270</v>
      </c>
      <c r="J26" s="270"/>
    </row>
    <row r="27" spans="1:10">
      <c r="A27" s="271" t="s">
        <v>2496</v>
      </c>
      <c r="B27" s="74" t="s">
        <v>1036</v>
      </c>
      <c r="C27" s="2922"/>
      <c r="D27" s="272" t="s">
        <v>2496</v>
      </c>
      <c r="E27" s="74" t="s">
        <v>1036</v>
      </c>
      <c r="F27" s="2922"/>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10" t="e">
        <f>CONCATENATE(#REF!," ",#REF!,", ",#REF!,", ",#REF!," County")</f>
        <v>#REF!</v>
      </c>
      <c r="B50" s="2910"/>
      <c r="C50" s="2910"/>
      <c r="D50" s="2910"/>
      <c r="E50" s="2910"/>
      <c r="F50" s="2910"/>
      <c r="G50" s="249"/>
      <c r="H50" s="249"/>
    </row>
    <row r="51" spans="1:10" ht="15">
      <c r="A51" s="2907" t="s">
        <v>2487</v>
      </c>
      <c r="B51" s="2907"/>
      <c r="C51" s="2907"/>
      <c r="D51" s="2907"/>
      <c r="E51" s="2907"/>
      <c r="F51" s="2907"/>
      <c r="G51" s="282"/>
      <c r="H51" s="282"/>
      <c r="I51" s="282"/>
      <c r="J51" s="282"/>
    </row>
    <row r="52" spans="1:10" ht="5.45" customHeight="1">
      <c r="C52" s="224"/>
      <c r="D52" s="224"/>
      <c r="G52" s="229"/>
      <c r="H52" s="223"/>
      <c r="I52" s="229"/>
    </row>
    <row r="53" spans="1:10">
      <c r="A53" s="227" t="s">
        <v>2488</v>
      </c>
      <c r="B53" s="227" t="s">
        <v>2489</v>
      </c>
      <c r="C53" s="227" t="s">
        <v>1306</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U27" sqref="U27"/>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2923" t="str">
        <f>CONCATENATE("PART FOUR -  USES OF FUNDS","  -  ",'Part I-Project Information'!$O$6," ",'Part I-Project Information'!$F$34,", ",'Part I-Project Information'!F38,", ",'Part I-Project Information'!J39," County")</f>
        <v>PART FOUR -  USES OF FUNDS  -  2018-0 McIntosh Woods, Newnan, Coweta County</v>
      </c>
      <c r="B1" s="2924"/>
      <c r="C1" s="2924"/>
      <c r="D1" s="2924"/>
      <c r="E1" s="2924"/>
      <c r="F1" s="2924"/>
      <c r="G1" s="2924"/>
      <c r="H1" s="2924"/>
      <c r="I1" s="2924"/>
      <c r="J1" s="2924"/>
      <c r="K1" s="2924"/>
      <c r="L1" s="2924"/>
      <c r="M1" s="2924"/>
      <c r="N1" s="2924"/>
      <c r="O1" s="2924"/>
      <c r="P1" s="2924"/>
      <c r="Q1" s="2924"/>
      <c r="R1" s="2924"/>
      <c r="S1" s="2924"/>
      <c r="T1" s="2924"/>
      <c r="W1" s="2925" t="str">
        <f>A1</f>
        <v>PART FOUR -  USES OF FUNDS  -  2018-0 McIntosh Woods, Newnan, Coweta County</v>
      </c>
      <c r="X1" s="2925"/>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26" t="s">
        <v>273</v>
      </c>
      <c r="K5" s="2927"/>
      <c r="L5" s="423"/>
      <c r="M5" s="2930" t="s">
        <v>494</v>
      </c>
      <c r="N5" s="2931"/>
      <c r="P5" s="2926" t="s">
        <v>274</v>
      </c>
      <c r="Q5" s="2927"/>
      <c r="S5" s="2926" t="s">
        <v>275</v>
      </c>
      <c r="T5" s="2927"/>
      <c r="V5" s="515" t="str">
        <f>B5</f>
        <v>DEVELOPMENT BUDGET</v>
      </c>
    </row>
    <row r="6" spans="1:24" s="346" customFormat="1" ht="19.5" customHeight="1" thickBot="1">
      <c r="G6" s="2934" t="s">
        <v>102</v>
      </c>
      <c r="H6" s="2935"/>
      <c r="J6" s="2928"/>
      <c r="K6" s="2929"/>
      <c r="L6" s="423"/>
      <c r="M6" s="2932"/>
      <c r="N6" s="2933"/>
      <c r="P6" s="2928"/>
      <c r="Q6" s="2929"/>
      <c r="S6" s="2928"/>
      <c r="T6" s="2929"/>
      <c r="V6" s="394" t="s">
        <v>2700</v>
      </c>
      <c r="X6" s="394"/>
    </row>
    <row r="7" spans="1:24" s="346" customFormat="1" ht="12" customHeight="1">
      <c r="B7" s="348" t="s">
        <v>103</v>
      </c>
      <c r="O7" s="579" t="str">
        <f>B7</f>
        <v>PRE-DEVELOPMENT COSTS</v>
      </c>
      <c r="W7" s="346" t="str">
        <f>B7</f>
        <v>PRE-DEVELOPMENT COSTS</v>
      </c>
    </row>
    <row r="8" spans="1:24" s="346" customFormat="1" ht="12.6" customHeight="1">
      <c r="B8" s="346" t="s">
        <v>2016</v>
      </c>
      <c r="G8" s="2829">
        <f t="shared" ref="G8:G16" si="0">SUM(J8:T8)</f>
        <v>6000</v>
      </c>
      <c r="H8" s="2830"/>
      <c r="J8" s="2829">
        <v>6000</v>
      </c>
      <c r="K8" s="2830"/>
      <c r="L8" s="1373"/>
      <c r="M8" s="2829"/>
      <c r="N8" s="2830"/>
      <c r="P8" s="2829"/>
      <c r="Q8" s="2830"/>
      <c r="S8" s="2829"/>
      <c r="T8" s="2830"/>
      <c r="V8" s="1432"/>
      <c r="W8" s="2936"/>
      <c r="X8" s="2937"/>
    </row>
    <row r="9" spans="1:24" s="346" customFormat="1" ht="12.6" customHeight="1">
      <c r="B9" s="346" t="s">
        <v>461</v>
      </c>
      <c r="G9" s="2840">
        <f t="shared" si="0"/>
        <v>6000</v>
      </c>
      <c r="H9" s="2841"/>
      <c r="J9" s="2840">
        <v>6000</v>
      </c>
      <c r="K9" s="2841"/>
      <c r="L9" s="1373"/>
      <c r="M9" s="2840"/>
      <c r="N9" s="2841"/>
      <c r="P9" s="2840"/>
      <c r="Q9" s="2841"/>
      <c r="S9" s="2840"/>
      <c r="T9" s="2841"/>
      <c r="V9" s="1432"/>
      <c r="W9" s="2936"/>
      <c r="X9" s="2937"/>
    </row>
    <row r="10" spans="1:24" s="346" customFormat="1" ht="12.6" customHeight="1">
      <c r="B10" s="346" t="s">
        <v>491</v>
      </c>
      <c r="G10" s="2840">
        <f t="shared" si="0"/>
        <v>15000</v>
      </c>
      <c r="H10" s="2841"/>
      <c r="J10" s="2840">
        <v>15000</v>
      </c>
      <c r="K10" s="2841"/>
      <c r="L10" s="1373"/>
      <c r="M10" s="2840"/>
      <c r="N10" s="2841"/>
      <c r="P10" s="2840"/>
      <c r="Q10" s="2841"/>
      <c r="S10" s="2840"/>
      <c r="T10" s="2841"/>
      <c r="V10" s="1432"/>
      <c r="W10" s="2936"/>
      <c r="X10" s="2937"/>
    </row>
    <row r="11" spans="1:24" s="346" customFormat="1" ht="12.6" customHeight="1">
      <c r="B11" s="346" t="s">
        <v>492</v>
      </c>
      <c r="G11" s="2840">
        <f t="shared" si="0"/>
        <v>15000</v>
      </c>
      <c r="H11" s="2841"/>
      <c r="J11" s="2840">
        <v>15000</v>
      </c>
      <c r="K11" s="2841"/>
      <c r="L11" s="1373"/>
      <c r="M11" s="2840"/>
      <c r="N11" s="2841"/>
      <c r="P11" s="2840"/>
      <c r="Q11" s="2841"/>
      <c r="S11" s="2840"/>
      <c r="T11" s="2841"/>
      <c r="V11" s="1432"/>
      <c r="W11" s="2936"/>
      <c r="X11" s="2937"/>
    </row>
    <row r="12" spans="1:24" s="346" customFormat="1" ht="12.6" customHeight="1">
      <c r="B12" s="346" t="s">
        <v>2516</v>
      </c>
      <c r="G12" s="2840">
        <f t="shared" si="0"/>
        <v>10000</v>
      </c>
      <c r="H12" s="2841"/>
      <c r="J12" s="2840">
        <v>10000</v>
      </c>
      <c r="K12" s="2841"/>
      <c r="L12" s="1373"/>
      <c r="M12" s="2840"/>
      <c r="N12" s="2841"/>
      <c r="P12" s="2840"/>
      <c r="Q12" s="2841"/>
      <c r="S12" s="2840"/>
      <c r="T12" s="2841"/>
      <c r="V12" s="1432"/>
      <c r="W12" s="2936"/>
      <c r="X12" s="2937"/>
    </row>
    <row r="13" spans="1:24" s="346" customFormat="1" ht="12.6" customHeight="1">
      <c r="B13" s="346" t="s">
        <v>192</v>
      </c>
      <c r="G13" s="2840">
        <f t="shared" si="0"/>
        <v>960</v>
      </c>
      <c r="H13" s="2841"/>
      <c r="J13" s="2840">
        <v>960</v>
      </c>
      <c r="K13" s="2841"/>
      <c r="L13" s="1373"/>
      <c r="M13" s="2840"/>
      <c r="N13" s="2841"/>
      <c r="P13" s="2840"/>
      <c r="Q13" s="2841"/>
      <c r="S13" s="2840"/>
      <c r="T13" s="2841"/>
      <c r="V13" s="1432"/>
      <c r="W13" s="2936"/>
      <c r="X13" s="2937"/>
    </row>
    <row r="14" spans="1:24" s="346" customFormat="1" ht="12.6" customHeight="1">
      <c r="A14" s="452" t="str">
        <f>IF(AND(G14&gt;0,OR(C14="",C14="&lt;Enter detailed description here; use Comments section if needed&gt;")),"X","")</f>
        <v/>
      </c>
      <c r="B14" s="346" t="s">
        <v>749</v>
      </c>
      <c r="C14" s="2938" t="s">
        <v>3742</v>
      </c>
      <c r="D14" s="2938"/>
      <c r="E14" s="2938"/>
      <c r="F14" s="2939"/>
      <c r="G14" s="2840">
        <f t="shared" si="0"/>
        <v>0</v>
      </c>
      <c r="H14" s="2841"/>
      <c r="J14" s="2840"/>
      <c r="K14" s="2841"/>
      <c r="L14" s="1373"/>
      <c r="M14" s="2840"/>
      <c r="N14" s="2841"/>
      <c r="P14" s="2840"/>
      <c r="Q14" s="2841"/>
      <c r="S14" s="2840"/>
      <c r="T14" s="2841"/>
      <c r="U14" s="451" t="str">
        <f>IF(AND(G14&gt;0,OR(C14="",C14="&lt;Enter detailed description here; use Comments section if needed&gt;")),"NO DESCRIPTION PROVIDED - please enter detailed description in Other box at left; use Comments section below if needed.","")</f>
        <v/>
      </c>
      <c r="V14" s="1433"/>
      <c r="W14" s="2936"/>
      <c r="X14" s="2937"/>
    </row>
    <row r="15" spans="1:24" s="346" customFormat="1" ht="12.6" customHeight="1">
      <c r="A15" s="452" t="str">
        <f>IF(AND(G15&gt;0,OR(C15="",C15="&lt;Enter detailed description here; use Comments section if needed&gt;")),"X","")</f>
        <v/>
      </c>
      <c r="B15" s="346" t="s">
        <v>749</v>
      </c>
      <c r="C15" s="2938" t="s">
        <v>3742</v>
      </c>
      <c r="D15" s="2938"/>
      <c r="E15" s="2938"/>
      <c r="F15" s="2939"/>
      <c r="G15" s="2840">
        <f t="shared" si="0"/>
        <v>0</v>
      </c>
      <c r="H15" s="2841"/>
      <c r="J15" s="2840"/>
      <c r="K15" s="2841"/>
      <c r="L15" s="1373"/>
      <c r="M15" s="2840"/>
      <c r="N15" s="2841"/>
      <c r="P15" s="2840"/>
      <c r="Q15" s="2841"/>
      <c r="S15" s="2840"/>
      <c r="T15" s="2841"/>
      <c r="U15" s="451" t="str">
        <f>IF(AND(G15&gt;0,OR(C15="",C15="&lt;Enter detailed description here; use Comments section if needed&gt;")),"NO DESCRIPTION PROVIDED - please enter detailed description in Other box at left; use Comments section below if needed.","")</f>
        <v/>
      </c>
      <c r="V15" s="1433"/>
      <c r="W15" s="2936"/>
      <c r="X15" s="2937"/>
    </row>
    <row r="16" spans="1:24" s="346" customFormat="1" ht="12.6" customHeight="1" thickBot="1">
      <c r="A16" s="452" t="str">
        <f>IF(AND(G16&gt;0,OR(C16="",C16="&lt;Enter detailed description here; use Comments section if needed&gt;")),"X","")</f>
        <v/>
      </c>
      <c r="B16" s="346" t="s">
        <v>749</v>
      </c>
      <c r="C16" s="2938" t="s">
        <v>3742</v>
      </c>
      <c r="D16" s="2938"/>
      <c r="E16" s="2938"/>
      <c r="F16" s="2939"/>
      <c r="G16" s="2943">
        <f t="shared" si="0"/>
        <v>0</v>
      </c>
      <c r="H16" s="2944"/>
      <c r="J16" s="2943"/>
      <c r="K16" s="2944"/>
      <c r="L16" s="1373"/>
      <c r="M16" s="2943"/>
      <c r="N16" s="2944"/>
      <c r="P16" s="2943"/>
      <c r="Q16" s="2944"/>
      <c r="S16" s="2943"/>
      <c r="T16" s="2944"/>
      <c r="U16" s="451" t="str">
        <f>IF(AND(G16&gt;0,OR(C16="",C16="&lt;Enter detailed description here; use Comments section if needed&gt;")),"NO DESCRIPTION PROVIDED - please enter detailed description in Other box at left; use Comments section below if needed.","")</f>
        <v/>
      </c>
      <c r="V16" s="1433"/>
      <c r="W16" s="2977"/>
      <c r="X16" s="2978"/>
    </row>
    <row r="17" spans="2:24" s="346" customFormat="1" ht="12.6" customHeight="1" thickTop="1">
      <c r="F17" s="424" t="s">
        <v>193</v>
      </c>
      <c r="G17" s="2940">
        <f>SUM(G8:H16)</f>
        <v>52960</v>
      </c>
      <c r="H17" s="2941"/>
      <c r="J17" s="2940">
        <f>SUM(J8:K16)</f>
        <v>52960</v>
      </c>
      <c r="K17" s="2942"/>
      <c r="L17" s="1373"/>
      <c r="M17" s="2940">
        <f>SUM(M8:N16)</f>
        <v>0</v>
      </c>
      <c r="N17" s="2941"/>
      <c r="P17" s="2940">
        <f>SUM(P8:Q16)</f>
        <v>0</v>
      </c>
      <c r="Q17" s="2941"/>
      <c r="S17" s="2940">
        <f>SUM(S8:T16)</f>
        <v>0</v>
      </c>
      <c r="T17" s="2941"/>
      <c r="V17" s="1434">
        <f>SUM(V8:V16)</f>
        <v>0</v>
      </c>
      <c r="W17" s="2986"/>
      <c r="X17" s="2987"/>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 customHeight="1">
      <c r="B19" s="346" t="s">
        <v>2214</v>
      </c>
      <c r="G19" s="2829">
        <f>SUM(J19:T19)</f>
        <v>675000</v>
      </c>
      <c r="H19" s="2830"/>
      <c r="J19" s="426"/>
      <c r="K19" s="423"/>
      <c r="L19" s="426"/>
      <c r="M19" s="426"/>
      <c r="N19" s="423"/>
      <c r="P19" s="426"/>
      <c r="Q19" s="423"/>
      <c r="S19" s="2829">
        <v>675000</v>
      </c>
      <c r="T19" s="2830"/>
      <c r="V19" s="1432"/>
      <c r="W19" s="2936"/>
      <c r="X19" s="2937"/>
    </row>
    <row r="20" spans="2:24" s="346" customFormat="1" ht="12.6" customHeight="1">
      <c r="B20" s="346" t="s">
        <v>1129</v>
      </c>
      <c r="G20" s="2840">
        <f>SUM(J20:T20)</f>
        <v>0</v>
      </c>
      <c r="H20" s="2841"/>
      <c r="J20" s="426"/>
      <c r="K20" s="423"/>
      <c r="L20" s="426"/>
      <c r="M20" s="426"/>
      <c r="N20" s="423"/>
      <c r="P20" s="426"/>
      <c r="Q20" s="423"/>
      <c r="S20" s="2840"/>
      <c r="T20" s="2841"/>
      <c r="V20" s="1432"/>
      <c r="W20" s="2936"/>
      <c r="X20" s="2937"/>
    </row>
    <row r="21" spans="2:24" s="346" customFormat="1" ht="12.6" customHeight="1">
      <c r="B21" s="346" t="s">
        <v>462</v>
      </c>
      <c r="G21" s="2840">
        <f>SUM(J21:T21)</f>
        <v>0</v>
      </c>
      <c r="H21" s="2841"/>
      <c r="J21" s="426"/>
      <c r="K21" s="423"/>
      <c r="L21" s="426"/>
      <c r="M21" s="2829"/>
      <c r="N21" s="2830"/>
      <c r="P21" s="426"/>
      <c r="Q21" s="423"/>
      <c r="S21" s="2840"/>
      <c r="T21" s="2841"/>
      <c r="V21" s="1432"/>
      <c r="W21" s="2936"/>
      <c r="X21" s="2937"/>
    </row>
    <row r="22" spans="2:24" s="346" customFormat="1" ht="12.6" customHeight="1" thickBot="1">
      <c r="B22" s="346" t="s">
        <v>432</v>
      </c>
      <c r="G22" s="2943">
        <f>SUM(J22:T22)</f>
        <v>0</v>
      </c>
      <c r="H22" s="2944"/>
      <c r="J22" s="426"/>
      <c r="K22" s="423"/>
      <c r="L22" s="426"/>
      <c r="M22" s="2943"/>
      <c r="N22" s="2944"/>
      <c r="P22" s="426"/>
      <c r="Q22" s="423"/>
      <c r="S22" s="2943"/>
      <c r="T22" s="2944"/>
      <c r="V22" s="1432"/>
      <c r="W22" s="2977"/>
      <c r="X22" s="2978"/>
    </row>
    <row r="23" spans="2:24" s="346" customFormat="1" ht="12.6" customHeight="1" thickTop="1">
      <c r="F23" s="424" t="s">
        <v>193</v>
      </c>
      <c r="G23" s="2940">
        <f>SUM(G19:H22)</f>
        <v>675000</v>
      </c>
      <c r="H23" s="2941"/>
      <c r="J23" s="426"/>
      <c r="K23" s="423"/>
      <c r="L23" s="426"/>
      <c r="M23" s="2940">
        <f>SUM(M21:N22)</f>
        <v>0</v>
      </c>
      <c r="N23" s="2941"/>
      <c r="P23" s="426"/>
      <c r="Q23" s="423"/>
      <c r="S23" s="2940">
        <f>SUM(S19:T22)</f>
        <v>675000</v>
      </c>
      <c r="T23" s="2941"/>
      <c r="V23" s="1434">
        <f>SUM(V19:V22)</f>
        <v>0</v>
      </c>
      <c r="W23" s="2986"/>
      <c r="X23" s="2987"/>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3758</v>
      </c>
      <c r="F25" s="558">
        <f>IF('Part I-Project Information'!$O$37="","",G25/'Part I-Project Information'!$O$37)</f>
        <v>50377.83375314861</v>
      </c>
      <c r="G25" s="2829">
        <f>SUM(J25:T25)</f>
        <v>1000000</v>
      </c>
      <c r="H25" s="2830"/>
      <c r="J25" s="2829">
        <v>1000000</v>
      </c>
      <c r="K25" s="2830"/>
      <c r="L25" s="1373"/>
      <c r="M25" s="2945"/>
      <c r="N25" s="2946"/>
      <c r="P25" s="2945"/>
      <c r="Q25" s="2946"/>
      <c r="S25" s="2829"/>
      <c r="T25" s="2830"/>
      <c r="V25" s="1432"/>
      <c r="W25" s="2936"/>
      <c r="X25" s="2937"/>
    </row>
    <row r="26" spans="2:24" s="346" customFormat="1" ht="12.6" customHeight="1" thickBot="1">
      <c r="B26" s="346" t="s">
        <v>1132</v>
      </c>
      <c r="G26" s="2943">
        <f>SUM(J26:T26)</f>
        <v>0</v>
      </c>
      <c r="H26" s="2944"/>
      <c r="J26" s="2943"/>
      <c r="K26" s="2944"/>
      <c r="L26" s="427"/>
      <c r="M26" s="2947"/>
      <c r="N26" s="2947"/>
      <c r="P26" s="2947"/>
      <c r="Q26" s="2947"/>
      <c r="S26" s="2943"/>
      <c r="T26" s="2944"/>
      <c r="V26" s="1432"/>
      <c r="W26" s="2977"/>
      <c r="X26" s="2978"/>
    </row>
    <row r="27" spans="2:24" s="346" customFormat="1" ht="12.6" customHeight="1" thickTop="1">
      <c r="F27" s="424" t="s">
        <v>193</v>
      </c>
      <c r="G27" s="2940">
        <f>SUM(G25:H26)</f>
        <v>1000000</v>
      </c>
      <c r="H27" s="2941"/>
      <c r="J27" s="2940">
        <f>SUM(J25:K26)</f>
        <v>1000000</v>
      </c>
      <c r="K27" s="2941"/>
      <c r="L27" s="426"/>
      <c r="M27" s="2940">
        <f>M25</f>
        <v>0</v>
      </c>
      <c r="N27" s="2941"/>
      <c r="P27" s="2940">
        <f>P25</f>
        <v>0</v>
      </c>
      <c r="Q27" s="2941"/>
      <c r="S27" s="2940">
        <f>SUM(S25:T26)</f>
        <v>0</v>
      </c>
      <c r="T27" s="2941"/>
      <c r="V27" s="1434">
        <f>SUM(V25:V26)</f>
        <v>0</v>
      </c>
      <c r="W27" s="2986"/>
      <c r="X27" s="2987"/>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29">
        <f>SUM(J29:T29)</f>
        <v>10368421</v>
      </c>
      <c r="H29" s="2830"/>
      <c r="J29" s="2829">
        <v>10368421</v>
      </c>
      <c r="K29" s="2830"/>
      <c r="L29" s="1373"/>
      <c r="M29" s="2829"/>
      <c r="N29" s="2830"/>
      <c r="P29" s="2829"/>
      <c r="Q29" s="2830"/>
      <c r="S29" s="2829"/>
      <c r="T29" s="2830"/>
      <c r="V29" s="1432"/>
      <c r="W29" s="2936"/>
      <c r="X29" s="2937"/>
    </row>
    <row r="30" spans="2:24" s="346" customFormat="1" ht="12.6" customHeight="1">
      <c r="B30" s="346" t="s">
        <v>1135</v>
      </c>
      <c r="G30" s="2840">
        <f>SUM(J30:T30)</f>
        <v>0</v>
      </c>
      <c r="H30" s="2841"/>
      <c r="J30" s="2840"/>
      <c r="K30" s="2841"/>
      <c r="L30" s="1373"/>
      <c r="M30" s="2840"/>
      <c r="N30" s="2841"/>
      <c r="P30" s="2840"/>
      <c r="Q30" s="2841"/>
      <c r="S30" s="2840"/>
      <c r="T30" s="2841"/>
      <c r="V30" s="1432"/>
      <c r="W30" s="2936"/>
      <c r="X30" s="2937"/>
    </row>
    <row r="31" spans="2:24" s="346" customFormat="1" ht="12.6" customHeight="1">
      <c r="B31" s="346" t="s">
        <v>2798</v>
      </c>
      <c r="G31" s="2840">
        <f>SUM(J31:T31)</f>
        <v>0</v>
      </c>
      <c r="H31" s="2841"/>
      <c r="J31" s="2840"/>
      <c r="K31" s="2841"/>
      <c r="L31" s="1373"/>
      <c r="M31" s="2840"/>
      <c r="N31" s="2841"/>
      <c r="P31" s="2840"/>
      <c r="Q31" s="2841"/>
      <c r="S31" s="2840"/>
      <c r="T31" s="2841"/>
      <c r="V31" s="1432"/>
      <c r="W31" s="2936"/>
      <c r="X31" s="2937"/>
    </row>
    <row r="32" spans="2:24" ht="12.6" customHeight="1" thickBot="1">
      <c r="B32" s="346" t="s">
        <v>2797</v>
      </c>
      <c r="G32" s="2943">
        <f>SUM(J32:T32)</f>
        <v>0</v>
      </c>
      <c r="H32" s="2944"/>
      <c r="I32" s="346"/>
      <c r="J32" s="2943"/>
      <c r="K32" s="2944"/>
      <c r="L32" s="1373"/>
      <c r="M32" s="2943"/>
      <c r="N32" s="2944"/>
      <c r="O32" s="346"/>
      <c r="P32" s="2943"/>
      <c r="Q32" s="2944"/>
      <c r="R32" s="346"/>
      <c r="S32" s="2943"/>
      <c r="T32" s="2944"/>
      <c r="V32" s="1432"/>
      <c r="W32" s="2977"/>
      <c r="X32" s="2978"/>
    </row>
    <row r="33" spans="1:24" s="346" customFormat="1" ht="12.6" customHeight="1" thickTop="1">
      <c r="C33" s="2949"/>
      <c r="D33" s="2949"/>
      <c r="E33" s="1378"/>
      <c r="F33" s="424" t="s">
        <v>193</v>
      </c>
      <c r="G33" s="2940">
        <f>SUM(G29:H32)</f>
        <v>10368421</v>
      </c>
      <c r="H33" s="2941"/>
      <c r="J33" s="2940">
        <f>SUM(J29:K32)</f>
        <v>10368421</v>
      </c>
      <c r="K33" s="2941"/>
      <c r="L33" s="1373"/>
      <c r="M33" s="2940">
        <f>SUM(M29:N32)</f>
        <v>0</v>
      </c>
      <c r="N33" s="2941"/>
      <c r="P33" s="2940">
        <f>SUM(P29:Q32)</f>
        <v>0</v>
      </c>
      <c r="Q33" s="2941"/>
      <c r="S33" s="2940">
        <f>SUM(S29:T32)</f>
        <v>0</v>
      </c>
      <c r="T33" s="2941"/>
      <c r="V33" s="1434">
        <f>SUM(V29:V32)</f>
        <v>0</v>
      </c>
      <c r="W33" s="2986"/>
      <c r="X33" s="2987"/>
    </row>
    <row r="34" spans="1:24" s="346" customFormat="1" ht="12" customHeight="1">
      <c r="B34" s="348" t="s">
        <v>2359</v>
      </c>
      <c r="D34" s="2948" t="s">
        <v>3762</v>
      </c>
      <c r="E34" s="2948"/>
      <c r="F34" s="1216">
        <f>SUM(F35:F37)</f>
        <v>0.14000000000000001</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2360</v>
      </c>
      <c r="D35" s="1218">
        <f>'DCA Underwriting Assumptions'!$R$74</f>
        <v>0.06</v>
      </c>
      <c r="E35" s="1220">
        <f>D35*(G27+G33)</f>
        <v>682105.26</v>
      </c>
      <c r="F35" s="1217">
        <f>IF(($G$27+$G$33)=0,0,G35/($G$27+$G$33))</f>
        <v>0.06</v>
      </c>
      <c r="G35" s="2829">
        <f>SUM(J35:T35)</f>
        <v>682105.26</v>
      </c>
      <c r="H35" s="2830"/>
      <c r="I35" s="367"/>
      <c r="J35" s="2829">
        <f>E35</f>
        <v>682105.26</v>
      </c>
      <c r="K35" s="2830"/>
      <c r="L35" s="1373"/>
      <c r="M35" s="2829"/>
      <c r="N35" s="2830"/>
      <c r="P35" s="2829"/>
      <c r="Q35" s="2830"/>
      <c r="S35" s="2829"/>
      <c r="T35" s="2830"/>
      <c r="V35" s="1432"/>
      <c r="W35" s="2936"/>
      <c r="X35" s="2937"/>
    </row>
    <row r="36" spans="1:24" s="346" customFormat="1" ht="12.6" customHeight="1">
      <c r="B36" s="346" t="s">
        <v>2754</v>
      </c>
      <c r="D36" s="1219">
        <f>'DCA Underwriting Assumptions'!$R$75</f>
        <v>0.02</v>
      </c>
      <c r="E36" s="1220">
        <f>D36*(G27+G33)</f>
        <v>227368.42</v>
      </c>
      <c r="F36" s="1217">
        <f>IF(($G$27+$G$33)=0,0,G36/($G$27+$G$33))</f>
        <v>0.02</v>
      </c>
      <c r="G36" s="2840">
        <f>SUM(J36:T36)</f>
        <v>227368.42</v>
      </c>
      <c r="H36" s="2841"/>
      <c r="I36" s="367"/>
      <c r="J36" s="2840">
        <f>E36</f>
        <v>227368.42</v>
      </c>
      <c r="K36" s="2841"/>
      <c r="L36" s="1373"/>
      <c r="M36" s="2840"/>
      <c r="N36" s="2841"/>
      <c r="P36" s="2840"/>
      <c r="Q36" s="2841"/>
      <c r="S36" s="2840"/>
      <c r="T36" s="2841"/>
      <c r="V36" s="1432"/>
      <c r="W36" s="2936"/>
      <c r="X36" s="2937"/>
    </row>
    <row r="37" spans="1:24" s="346" customFormat="1" ht="12.6" customHeight="1" thickBot="1">
      <c r="B37" s="346" t="s">
        <v>2755</v>
      </c>
      <c r="D37" s="1223">
        <f>'DCA Underwriting Assumptions'!$R$76</f>
        <v>0.06</v>
      </c>
      <c r="E37" s="1224">
        <f>D37*(G27+G33)</f>
        <v>682105.26</v>
      </c>
      <c r="F37" s="1743">
        <f>IF(($G$27+$G$33)=0,0,G37/($G$27+$G$33))</f>
        <v>0.06</v>
      </c>
      <c r="G37" s="2943">
        <f>SUM(J37:T37)</f>
        <v>682105.26</v>
      </c>
      <c r="H37" s="2944"/>
      <c r="I37" s="367"/>
      <c r="J37" s="2943">
        <f>E37</f>
        <v>682105.26</v>
      </c>
      <c r="K37" s="2944"/>
      <c r="L37" s="1373"/>
      <c r="M37" s="2943"/>
      <c r="N37" s="2944"/>
      <c r="P37" s="2943"/>
      <c r="Q37" s="2944"/>
      <c r="S37" s="2943"/>
      <c r="T37" s="2944"/>
      <c r="V37" s="1432"/>
      <c r="W37" s="2977"/>
      <c r="X37" s="2978"/>
    </row>
    <row r="38" spans="1:24" s="346" customFormat="1" ht="12.6" customHeight="1" thickTop="1">
      <c r="B38" s="204" t="s">
        <v>3763</v>
      </c>
      <c r="D38" s="1221">
        <f>SUM(D35:D37)</f>
        <v>0.14000000000000001</v>
      </c>
      <c r="E38" s="1222">
        <f>SUM(E35:E37)</f>
        <v>1591578.94</v>
      </c>
      <c r="F38" s="1200" t="s">
        <v>193</v>
      </c>
      <c r="G38" s="2940">
        <f>SUM(G35:H37)</f>
        <v>1591578.94</v>
      </c>
      <c r="H38" s="2941"/>
      <c r="J38" s="2940">
        <f>SUM(J35:K37)</f>
        <v>1591578.94</v>
      </c>
      <c r="K38" s="2941"/>
      <c r="L38" s="426"/>
      <c r="M38" s="2940">
        <f>SUM(M35:N37)</f>
        <v>0</v>
      </c>
      <c r="N38" s="2941"/>
      <c r="P38" s="2940">
        <f>SUM(P35:Q37)</f>
        <v>0</v>
      </c>
      <c r="Q38" s="2941"/>
      <c r="S38" s="2940">
        <f>SUM(S35:T37)</f>
        <v>0</v>
      </c>
      <c r="T38" s="2941"/>
      <c r="V38" s="1434">
        <f>SUM(V35:V37)</f>
        <v>0</v>
      </c>
      <c r="W38" s="2986"/>
      <c r="X38" s="2987"/>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38" t="s">
        <v>3742</v>
      </c>
      <c r="D41" s="2970"/>
      <c r="E41" s="2970"/>
      <c r="F41" s="2971"/>
      <c r="G41" s="2956">
        <f>SUM(J41:T41)</f>
        <v>0</v>
      </c>
      <c r="H41" s="2957"/>
      <c r="I41" s="346"/>
      <c r="J41" s="2950"/>
      <c r="K41" s="2951"/>
      <c r="L41" s="1373"/>
      <c r="M41" s="2950"/>
      <c r="N41" s="2951"/>
      <c r="O41" s="346"/>
      <c r="P41" s="2950"/>
      <c r="Q41" s="2951"/>
      <c r="R41" s="346"/>
      <c r="S41" s="2950"/>
      <c r="T41" s="2951"/>
      <c r="V41" s="1432"/>
      <c r="W41" s="2958"/>
      <c r="X41" s="2959"/>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2960"/>
      <c r="X42" s="2961"/>
    </row>
    <row r="43" spans="1:24" s="346" customFormat="1" ht="12.6" customHeight="1">
      <c r="B43" s="615" t="s">
        <v>2763</v>
      </c>
      <c r="C43" s="616"/>
      <c r="E43" s="2964" t="s">
        <v>2762</v>
      </c>
      <c r="F43" s="1374">
        <f>B44/'Part VI-Revenues &amp; Expenses'!$O$60</f>
        <v>134999.99937499998</v>
      </c>
      <c r="G43" s="1376" t="s">
        <v>2789</v>
      </c>
      <c r="H43" s="580"/>
      <c r="I43" s="580"/>
      <c r="J43" s="2966">
        <f>B44/'Part VI-Revenues &amp; Expenses'!$O$62</f>
        <v>134999.99937499998</v>
      </c>
      <c r="K43" s="2966"/>
      <c r="L43" s="580"/>
      <c r="M43" s="2967" t="s">
        <v>1414</v>
      </c>
      <c r="N43" s="2967"/>
      <c r="O43" s="580"/>
      <c r="P43" s="2966">
        <f>B44/'Part I-Project Information'!$P$71</f>
        <v>105.96892837285364</v>
      </c>
      <c r="Q43" s="2966"/>
      <c r="R43" s="580"/>
      <c r="S43" s="2968" t="s">
        <v>2796</v>
      </c>
      <c r="T43" s="2969"/>
      <c r="V43" s="1435"/>
      <c r="W43" s="2960"/>
      <c r="X43" s="2961"/>
    </row>
    <row r="44" spans="1:24" s="346" customFormat="1" ht="12.6" customHeight="1">
      <c r="B44" s="2952">
        <f>G27+G33+G38+G41</f>
        <v>12959999.939999999</v>
      </c>
      <c r="C44" s="2953"/>
      <c r="E44" s="2965"/>
      <c r="F44" s="1375">
        <f>B44/'Part VI-Revenues &amp; Expenses'!$O$117</f>
        <v>108.63369606035205</v>
      </c>
      <c r="G44" s="614" t="s">
        <v>2790</v>
      </c>
      <c r="H44" s="1371"/>
      <c r="I44" s="1371"/>
      <c r="J44" s="2954">
        <f>B44/'Part VI-Revenues &amp; Expenses'!$O$119</f>
        <v>108.63369606035205</v>
      </c>
      <c r="K44" s="2954"/>
      <c r="L44" s="1371"/>
      <c r="M44" s="2955" t="s">
        <v>2795</v>
      </c>
      <c r="N44" s="2955"/>
      <c r="O44" s="1371"/>
      <c r="P44" s="1371"/>
      <c r="Q44" s="1371"/>
      <c r="R44" s="1371"/>
      <c r="S44" s="1371"/>
      <c r="T44" s="414"/>
      <c r="V44" s="1435"/>
      <c r="W44" s="2962"/>
      <c r="X44" s="2963"/>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4249</v>
      </c>
      <c r="J46" s="426"/>
      <c r="K46" s="423"/>
      <c r="M46" s="426"/>
      <c r="N46" s="423"/>
      <c r="O46" s="425" t="str">
        <f>B46</f>
        <v>CONSTRUCTION CONTINGENCY</v>
      </c>
      <c r="P46" s="426"/>
      <c r="Q46" s="423"/>
      <c r="S46" s="426"/>
      <c r="T46" s="423"/>
      <c r="V46" s="1435"/>
      <c r="W46" s="346" t="str">
        <f>B46</f>
        <v>CONSTRUCTION CONTINGENCY</v>
      </c>
    </row>
    <row r="47" spans="1:24" ht="12.6" customHeight="1">
      <c r="B47" s="346" t="s">
        <v>1977</v>
      </c>
      <c r="D47" s="634" t="s">
        <v>4248</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647999.99699999997</v>
      </c>
      <c r="F47" s="428">
        <f>G47/B44</f>
        <v>5.0000000231481483E-2</v>
      </c>
      <c r="G47" s="2956">
        <f>SUM(J47:T47)</f>
        <v>648000</v>
      </c>
      <c r="H47" s="2957"/>
      <c r="I47" s="346"/>
      <c r="J47" s="2950">
        <v>648000</v>
      </c>
      <c r="K47" s="2951"/>
      <c r="L47" s="1373"/>
      <c r="M47" s="2950"/>
      <c r="N47" s="2951"/>
      <c r="O47" s="346"/>
      <c r="P47" s="2950"/>
      <c r="Q47" s="2951"/>
      <c r="R47" s="346"/>
      <c r="S47" s="2950"/>
      <c r="T47" s="2951"/>
      <c r="V47" s="1432"/>
      <c r="W47" s="2936"/>
      <c r="X47" s="2937"/>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2863</v>
      </c>
      <c r="H49" s="1362"/>
      <c r="I49" s="1362"/>
      <c r="J49" s="2926" t="s">
        <v>273</v>
      </c>
      <c r="K49" s="2927"/>
      <c r="L49" s="423"/>
      <c r="M49" s="2930" t="s">
        <v>494</v>
      </c>
      <c r="N49" s="2931"/>
      <c r="P49" s="2926" t="s">
        <v>274</v>
      </c>
      <c r="Q49" s="2927"/>
      <c r="S49" s="2926" t="s">
        <v>275</v>
      </c>
      <c r="T49" s="2927"/>
      <c r="V49" s="1435"/>
      <c r="W49" s="515" t="str">
        <f>B49</f>
        <v>DEVELOPMENT BUDGET (cont'd)</v>
      </c>
    </row>
    <row r="50" spans="1:24" s="346" customFormat="1" ht="18.75" customHeight="1" thickBot="1">
      <c r="G50" s="2934" t="s">
        <v>102</v>
      </c>
      <c r="H50" s="2935"/>
      <c r="J50" s="2928"/>
      <c r="K50" s="2929"/>
      <c r="L50" s="423"/>
      <c r="M50" s="2932"/>
      <c r="N50" s="2933"/>
      <c r="P50" s="2928"/>
      <c r="Q50" s="2929"/>
      <c r="S50" s="2928"/>
      <c r="T50" s="2929"/>
      <c r="V50" s="1435"/>
      <c r="W50" s="3048" t="s">
        <v>2700</v>
      </c>
      <c r="X50" s="3048"/>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3764</v>
      </c>
      <c r="G52" s="2829">
        <f t="shared" ref="G52:G63" si="1">SUM(J52:T52)</f>
        <v>0</v>
      </c>
      <c r="H52" s="2830"/>
      <c r="J52" s="2829"/>
      <c r="K52" s="2830"/>
      <c r="L52" s="1373"/>
      <c r="M52" s="2829"/>
      <c r="N52" s="2830"/>
      <c r="P52" s="2829"/>
      <c r="Q52" s="2830"/>
      <c r="S52" s="2829"/>
      <c r="T52" s="2830"/>
      <c r="V52" s="1436"/>
      <c r="W52" s="2936"/>
      <c r="X52" s="2937"/>
    </row>
    <row r="53" spans="1:24" s="346" customFormat="1" ht="12" customHeight="1">
      <c r="B53" s="346" t="s">
        <v>3765</v>
      </c>
      <c r="G53" s="2840">
        <f t="shared" si="1"/>
        <v>0</v>
      </c>
      <c r="H53" s="2841"/>
      <c r="J53" s="2840"/>
      <c r="K53" s="2841"/>
      <c r="L53" s="1373"/>
      <c r="M53" s="2840"/>
      <c r="N53" s="2841"/>
      <c r="P53" s="2840"/>
      <c r="Q53" s="2841"/>
      <c r="S53" s="2840"/>
      <c r="T53" s="2841"/>
      <c r="V53" s="1436"/>
      <c r="W53" s="2936"/>
      <c r="X53" s="2937"/>
    </row>
    <row r="54" spans="1:24" s="346" customFormat="1" ht="12" customHeight="1">
      <c r="B54" s="346" t="s">
        <v>2362</v>
      </c>
      <c r="G54" s="2840">
        <f t="shared" si="1"/>
        <v>161700.00000000006</v>
      </c>
      <c r="H54" s="2841"/>
      <c r="J54" s="2840">
        <v>106722.00000000003</v>
      </c>
      <c r="K54" s="2841"/>
      <c r="L54" s="1373"/>
      <c r="M54" s="2840"/>
      <c r="N54" s="2841"/>
      <c r="P54" s="2840"/>
      <c r="Q54" s="2841"/>
      <c r="S54" s="2840">
        <v>54978.000000000015</v>
      </c>
      <c r="T54" s="2841"/>
      <c r="V54" s="1436"/>
      <c r="W54" s="2936"/>
      <c r="X54" s="2937"/>
    </row>
    <row r="55" spans="1:24" s="346" customFormat="1" ht="12" customHeight="1">
      <c r="B55" s="346" t="s">
        <v>2363</v>
      </c>
      <c r="G55" s="2840">
        <f t="shared" si="1"/>
        <v>694575</v>
      </c>
      <c r="H55" s="2841"/>
      <c r="J55" s="2840">
        <v>458419.5</v>
      </c>
      <c r="K55" s="2841"/>
      <c r="L55" s="1373"/>
      <c r="M55" s="2840"/>
      <c r="N55" s="2841"/>
      <c r="P55" s="2840"/>
      <c r="Q55" s="2841"/>
      <c r="S55" s="2840">
        <v>236155.50000000003</v>
      </c>
      <c r="T55" s="2841"/>
      <c r="V55" s="1436"/>
      <c r="W55" s="2936"/>
      <c r="X55" s="2937"/>
    </row>
    <row r="56" spans="1:24" s="346" customFormat="1" ht="12" customHeight="1">
      <c r="B56" s="346" t="s">
        <v>2364</v>
      </c>
      <c r="G56" s="2840">
        <f t="shared" si="1"/>
        <v>75000</v>
      </c>
      <c r="H56" s="2841"/>
      <c r="J56" s="2840">
        <v>75000</v>
      </c>
      <c r="K56" s="2841"/>
      <c r="L56" s="1373"/>
      <c r="M56" s="2840"/>
      <c r="N56" s="2841"/>
      <c r="P56" s="2840"/>
      <c r="Q56" s="2841"/>
      <c r="S56" s="2840"/>
      <c r="T56" s="2841"/>
      <c r="V56" s="1436"/>
      <c r="W56" s="2936"/>
      <c r="X56" s="2937"/>
    </row>
    <row r="57" spans="1:24" s="346" customFormat="1" ht="12" customHeight="1">
      <c r="B57" s="346" t="s">
        <v>2704</v>
      </c>
      <c r="G57" s="2840">
        <f t="shared" si="1"/>
        <v>28800</v>
      </c>
      <c r="H57" s="2841"/>
      <c r="J57" s="2840">
        <v>28800</v>
      </c>
      <c r="K57" s="2841"/>
      <c r="L57" s="1373"/>
      <c r="M57" s="2840"/>
      <c r="N57" s="2841"/>
      <c r="P57" s="2840"/>
      <c r="Q57" s="2841"/>
      <c r="S57" s="2840"/>
      <c r="T57" s="2841"/>
      <c r="V57" s="1436"/>
      <c r="W57" s="2936"/>
      <c r="X57" s="2937"/>
    </row>
    <row r="58" spans="1:24" s="346" customFormat="1" ht="12" customHeight="1">
      <c r="B58" s="346" t="s">
        <v>731</v>
      </c>
      <c r="G58" s="2840">
        <f t="shared" si="1"/>
        <v>10800</v>
      </c>
      <c r="H58" s="2841"/>
      <c r="J58" s="2840"/>
      <c r="K58" s="2841"/>
      <c r="L58" s="1373"/>
      <c r="M58" s="2840"/>
      <c r="N58" s="2841"/>
      <c r="P58" s="2840"/>
      <c r="Q58" s="2841"/>
      <c r="S58" s="2840">
        <v>10800</v>
      </c>
      <c r="T58" s="2841"/>
      <c r="V58" s="1436"/>
      <c r="W58" s="2936"/>
      <c r="X58" s="2937"/>
    </row>
    <row r="59" spans="1:24" s="346" customFormat="1" ht="12" customHeight="1">
      <c r="B59" s="346" t="s">
        <v>2365</v>
      </c>
      <c r="G59" s="2840">
        <f t="shared" si="1"/>
        <v>45000</v>
      </c>
      <c r="H59" s="2841"/>
      <c r="J59" s="2840">
        <v>45000</v>
      </c>
      <c r="K59" s="2841"/>
      <c r="L59" s="1373"/>
      <c r="M59" s="2840"/>
      <c r="N59" s="2841"/>
      <c r="P59" s="2840"/>
      <c r="Q59" s="2841"/>
      <c r="S59" s="2840"/>
      <c r="T59" s="2841"/>
      <c r="V59" s="1436"/>
      <c r="W59" s="2936"/>
      <c r="X59" s="2937"/>
    </row>
    <row r="60" spans="1:24" s="346" customFormat="1" ht="12" customHeight="1">
      <c r="B60" s="346" t="s">
        <v>1288</v>
      </c>
      <c r="G60" s="2840">
        <f t="shared" si="1"/>
        <v>35000</v>
      </c>
      <c r="H60" s="2841"/>
      <c r="J60" s="2840">
        <v>35000</v>
      </c>
      <c r="K60" s="2841"/>
      <c r="L60" s="1373"/>
      <c r="M60" s="2840"/>
      <c r="N60" s="2841"/>
      <c r="P60" s="2840"/>
      <c r="Q60" s="2841"/>
      <c r="S60" s="2840"/>
      <c r="T60" s="2841"/>
      <c r="V60" s="1436"/>
      <c r="W60" s="2936"/>
      <c r="X60" s="2937"/>
    </row>
    <row r="61" spans="1:24" s="346" customFormat="1" ht="12" customHeight="1">
      <c r="B61" s="430" t="s">
        <v>1163</v>
      </c>
      <c r="D61" s="428"/>
      <c r="E61" s="428"/>
      <c r="F61" s="429"/>
      <c r="G61" s="2840">
        <f t="shared" si="1"/>
        <v>259200</v>
      </c>
      <c r="H61" s="2841"/>
      <c r="I61" s="367"/>
      <c r="J61" s="2840">
        <v>259200</v>
      </c>
      <c r="K61" s="2841"/>
      <c r="L61" s="1373"/>
      <c r="M61" s="2840"/>
      <c r="N61" s="2841"/>
      <c r="P61" s="2840"/>
      <c r="Q61" s="2841"/>
      <c r="S61" s="2840"/>
      <c r="T61" s="2841"/>
      <c r="V61" s="1436"/>
      <c r="W61" s="2936"/>
      <c r="X61" s="2937"/>
    </row>
    <row r="62" spans="1:24" s="346" customFormat="1" ht="12" customHeight="1">
      <c r="A62" s="452" t="str">
        <f>IF(AND(G62&gt;0,OR(C62="",C62="&lt;Enter detailed description here; use Comments section if needed&gt;")),"X","")</f>
        <v/>
      </c>
      <c r="B62" s="346" t="s">
        <v>749</v>
      </c>
      <c r="C62" s="2974" t="s">
        <v>3742</v>
      </c>
      <c r="D62" s="2974"/>
      <c r="E62" s="2974"/>
      <c r="F62" s="2975"/>
      <c r="G62" s="2840">
        <f t="shared" si="1"/>
        <v>0</v>
      </c>
      <c r="H62" s="2841"/>
      <c r="J62" s="2840"/>
      <c r="K62" s="2841"/>
      <c r="L62" s="1373"/>
      <c r="M62" s="2840"/>
      <c r="N62" s="2841"/>
      <c r="P62" s="2840"/>
      <c r="Q62" s="2841"/>
      <c r="S62" s="2840"/>
      <c r="T62" s="2841"/>
      <c r="U62" s="451" t="str">
        <f>IF(AND(G62&gt;0,OR(C62="",C62="&lt;Enter detailed description here; use Comments section if needed&gt;")),"NO DESCRIPTION PROVIDED - please enter detailed description in Other box at left; use Comments section below if needed.","")</f>
        <v/>
      </c>
      <c r="V62" s="1436"/>
      <c r="W62" s="2936"/>
      <c r="X62" s="2937"/>
    </row>
    <row r="63" spans="1:24" s="346" customFormat="1" ht="12" customHeight="1" thickBot="1">
      <c r="A63" s="452" t="str">
        <f>IF(AND(G63&gt;0,OR(C63="",C63="&lt;Enter detailed description here; use Comments section if needed&gt;")),"X","")</f>
        <v/>
      </c>
      <c r="B63" s="346" t="s">
        <v>749</v>
      </c>
      <c r="C63" s="2972" t="s">
        <v>3742</v>
      </c>
      <c r="D63" s="2972"/>
      <c r="E63" s="2972"/>
      <c r="F63" s="2973"/>
      <c r="G63" s="2818">
        <f t="shared" si="1"/>
        <v>0</v>
      </c>
      <c r="H63" s="2819"/>
      <c r="J63" s="2818"/>
      <c r="K63" s="2819"/>
      <c r="L63" s="1373"/>
      <c r="M63" s="2818"/>
      <c r="N63" s="2819"/>
      <c r="P63" s="2818"/>
      <c r="Q63" s="2819"/>
      <c r="S63" s="2818"/>
      <c r="T63" s="2819"/>
      <c r="U63" s="451" t="str">
        <f>IF(AND(G63&gt;0,OR(C63="",C63="&lt;Enter detailed description here; use Comments section if needed&gt;")),"NO DESCRIPTION PROVIDED - please enter detailed description in Other box at left; use Comments section below if needed.","")</f>
        <v/>
      </c>
      <c r="V63" s="1436"/>
      <c r="W63" s="2977"/>
      <c r="X63" s="2978"/>
    </row>
    <row r="64" spans="1:24" s="346" customFormat="1" ht="12" customHeight="1" thickTop="1">
      <c r="F64" s="424" t="s">
        <v>193</v>
      </c>
      <c r="G64" s="2940">
        <f>SUM(G52:H63)</f>
        <v>1310075</v>
      </c>
      <c r="H64" s="2941"/>
      <c r="J64" s="2940">
        <f>SUM(J52:K63)</f>
        <v>1008141.5</v>
      </c>
      <c r="K64" s="2941"/>
      <c r="L64" s="426"/>
      <c r="M64" s="2940">
        <f>SUM(M52:N63)</f>
        <v>0</v>
      </c>
      <c r="N64" s="2941"/>
      <c r="P64" s="2940">
        <f>SUM(P52:Q63)</f>
        <v>0</v>
      </c>
      <c r="Q64" s="2941"/>
      <c r="S64" s="2940">
        <f>SUM(S52:T63)</f>
        <v>301933.50000000006</v>
      </c>
      <c r="T64" s="2941"/>
      <c r="V64" s="1437">
        <f>SUM(V52:V63)</f>
        <v>0</v>
      </c>
      <c r="W64" s="2986"/>
      <c r="X64" s="2987"/>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29">
        <f t="shared" ref="G66:G76" si="2">SUM(J66:T66)</f>
        <v>233280</v>
      </c>
      <c r="H66" s="2830"/>
      <c r="J66" s="2829">
        <v>233280</v>
      </c>
      <c r="K66" s="2830"/>
      <c r="L66" s="1373"/>
      <c r="M66" s="2829"/>
      <c r="N66" s="2830"/>
      <c r="P66" s="2829"/>
      <c r="Q66" s="2830"/>
      <c r="S66" s="2829"/>
      <c r="T66" s="2830"/>
      <c r="V66" s="1432"/>
      <c r="W66" s="2936"/>
      <c r="X66" s="2937"/>
    </row>
    <row r="67" spans="1:24" s="346" customFormat="1" ht="12" customHeight="1">
      <c r="B67" s="346" t="s">
        <v>482</v>
      </c>
      <c r="G67" s="2840">
        <f t="shared" si="2"/>
        <v>27910</v>
      </c>
      <c r="H67" s="2841"/>
      <c r="J67" s="2840">
        <v>27910</v>
      </c>
      <c r="K67" s="2841"/>
      <c r="L67" s="1373"/>
      <c r="M67" s="2840"/>
      <c r="N67" s="2841"/>
      <c r="P67" s="2840"/>
      <c r="Q67" s="2841"/>
      <c r="S67" s="2840"/>
      <c r="T67" s="2841"/>
      <c r="V67" s="1432"/>
      <c r="W67" s="2936"/>
      <c r="X67" s="2937"/>
    </row>
    <row r="68" spans="1:24" s="346" customFormat="1" ht="12" customHeight="1">
      <c r="B68" s="346" t="s">
        <v>1137</v>
      </c>
      <c r="D68" s="360" t="s">
        <v>3883</v>
      </c>
      <c r="E68" s="1416">
        <f>'DCA Underwriting Assumptions'!R77</f>
        <v>20000</v>
      </c>
      <c r="F68" s="1417" t="str">
        <f>IF(G68&gt;E68,"CHECK!!!","")</f>
        <v/>
      </c>
      <c r="G68" s="2840">
        <f t="shared" si="2"/>
        <v>20000</v>
      </c>
      <c r="H68" s="2841"/>
      <c r="J68" s="2840">
        <v>20000</v>
      </c>
      <c r="K68" s="2841"/>
      <c r="L68" s="1373"/>
      <c r="M68" s="2840"/>
      <c r="N68" s="2841"/>
      <c r="P68" s="2840"/>
      <c r="Q68" s="2841"/>
      <c r="S68" s="2840"/>
      <c r="T68" s="2841"/>
      <c r="V68" s="1432"/>
      <c r="W68" s="2936"/>
      <c r="X68" s="2937"/>
    </row>
    <row r="69" spans="1:24" s="346" customFormat="1" ht="12" customHeight="1">
      <c r="B69" s="346" t="s">
        <v>1138</v>
      </c>
      <c r="G69" s="2840">
        <f t="shared" si="2"/>
        <v>9600</v>
      </c>
      <c r="H69" s="2841"/>
      <c r="J69" s="2840">
        <v>9600</v>
      </c>
      <c r="K69" s="2841"/>
      <c r="L69" s="1373"/>
      <c r="M69" s="2840"/>
      <c r="N69" s="2841"/>
      <c r="P69" s="2840"/>
      <c r="Q69" s="2841"/>
      <c r="S69" s="2840"/>
      <c r="T69" s="2841"/>
      <c r="V69" s="1432"/>
      <c r="W69" s="2936"/>
      <c r="X69" s="2937"/>
    </row>
    <row r="70" spans="1:24" s="346" customFormat="1" ht="12" customHeight="1">
      <c r="B70" s="346" t="s">
        <v>1139</v>
      </c>
      <c r="G70" s="2840">
        <f t="shared" si="2"/>
        <v>12000</v>
      </c>
      <c r="H70" s="2841"/>
      <c r="J70" s="2840">
        <v>12000</v>
      </c>
      <c r="K70" s="2841"/>
      <c r="L70" s="1373"/>
      <c r="M70" s="2840"/>
      <c r="N70" s="2841"/>
      <c r="P70" s="2840"/>
      <c r="Q70" s="2841"/>
      <c r="S70" s="2840"/>
      <c r="T70" s="2841"/>
      <c r="V70" s="1432"/>
      <c r="W70" s="2936"/>
      <c r="X70" s="2937"/>
    </row>
    <row r="71" spans="1:24" s="346" customFormat="1" ht="12" customHeight="1">
      <c r="B71" s="346" t="s">
        <v>1140</v>
      </c>
      <c r="G71" s="2840">
        <f t="shared" si="2"/>
        <v>64800</v>
      </c>
      <c r="H71" s="2841"/>
      <c r="J71" s="2840">
        <v>64800</v>
      </c>
      <c r="K71" s="2841"/>
      <c r="L71" s="1373"/>
      <c r="M71" s="2840"/>
      <c r="N71" s="2841"/>
      <c r="P71" s="2840"/>
      <c r="Q71" s="2841"/>
      <c r="S71" s="2840"/>
      <c r="T71" s="2841"/>
      <c r="V71" s="1432"/>
      <c r="W71" s="2936"/>
      <c r="X71" s="2937"/>
    </row>
    <row r="72" spans="1:24" s="346" customFormat="1" ht="12" customHeight="1">
      <c r="B72" s="346" t="s">
        <v>483</v>
      </c>
      <c r="G72" s="2840">
        <f t="shared" si="2"/>
        <v>100000</v>
      </c>
      <c r="H72" s="2841"/>
      <c r="J72" s="2840">
        <v>100000</v>
      </c>
      <c r="K72" s="2841"/>
      <c r="L72" s="1373"/>
      <c r="M72" s="2840"/>
      <c r="N72" s="2841"/>
      <c r="P72" s="2840"/>
      <c r="Q72" s="2841"/>
      <c r="S72" s="2840"/>
      <c r="T72" s="2841"/>
      <c r="V72" s="1432"/>
      <c r="W72" s="2936"/>
      <c r="X72" s="2937"/>
    </row>
    <row r="73" spans="1:24" s="346" customFormat="1" ht="12" customHeight="1">
      <c r="B73" s="346" t="s">
        <v>484</v>
      </c>
      <c r="G73" s="2840">
        <f t="shared" si="2"/>
        <v>75000</v>
      </c>
      <c r="H73" s="2841"/>
      <c r="J73" s="2840">
        <v>75000</v>
      </c>
      <c r="K73" s="2841"/>
      <c r="L73" s="1373"/>
      <c r="M73" s="2840"/>
      <c r="N73" s="2841"/>
      <c r="P73" s="2840"/>
      <c r="Q73" s="2841"/>
      <c r="S73" s="2840"/>
      <c r="T73" s="2841"/>
      <c r="V73" s="1432"/>
      <c r="W73" s="2936"/>
      <c r="X73" s="2937"/>
    </row>
    <row r="74" spans="1:24" s="346" customFormat="1" ht="12" customHeight="1">
      <c r="B74" s="346" t="s">
        <v>2065</v>
      </c>
      <c r="G74" s="2840">
        <f t="shared" si="2"/>
        <v>25000</v>
      </c>
      <c r="H74" s="2841"/>
      <c r="J74" s="2840">
        <v>25000</v>
      </c>
      <c r="K74" s="2841"/>
      <c r="L74" s="1373"/>
      <c r="M74" s="2840"/>
      <c r="N74" s="2841"/>
      <c r="P74" s="2840"/>
      <c r="Q74" s="2841"/>
      <c r="S74" s="2840"/>
      <c r="T74" s="2841"/>
      <c r="V74" s="1432"/>
      <c r="W74" s="2936"/>
      <c r="X74" s="2937"/>
    </row>
    <row r="75" spans="1:24" s="346" customFormat="1" ht="12" customHeight="1">
      <c r="B75" s="346" t="s">
        <v>1289</v>
      </c>
      <c r="G75" s="2840">
        <f t="shared" si="2"/>
        <v>15000</v>
      </c>
      <c r="H75" s="2841"/>
      <c r="J75" s="2840">
        <v>15000</v>
      </c>
      <c r="K75" s="2841"/>
      <c r="L75" s="1373"/>
      <c r="M75" s="2840"/>
      <c r="N75" s="2841"/>
      <c r="P75" s="2840"/>
      <c r="Q75" s="2841"/>
      <c r="S75" s="2840"/>
      <c r="T75" s="2841"/>
      <c r="V75" s="1432"/>
      <c r="W75" s="2936"/>
      <c r="X75" s="2937"/>
    </row>
    <row r="76" spans="1:24" s="346" customFormat="1" ht="12" customHeight="1" thickBot="1">
      <c r="A76" s="452" t="str">
        <f>IF(AND(G76&gt;0,OR(C76="",C76="&lt;Enter detailed description here; use Comments section if needed&gt;")),"X","")</f>
        <v/>
      </c>
      <c r="B76" s="346" t="s">
        <v>749</v>
      </c>
      <c r="C76" s="2938" t="s">
        <v>3742</v>
      </c>
      <c r="D76" s="2938"/>
      <c r="E76" s="2938"/>
      <c r="F76" s="2939"/>
      <c r="G76" s="2818">
        <f t="shared" si="2"/>
        <v>0</v>
      </c>
      <c r="H76" s="2819"/>
      <c r="J76" s="2943"/>
      <c r="K76" s="2944"/>
      <c r="L76" s="1373"/>
      <c r="M76" s="2818"/>
      <c r="N76" s="2819"/>
      <c r="P76" s="2818"/>
      <c r="Q76" s="2819"/>
      <c r="S76" s="2818"/>
      <c r="T76" s="2819"/>
      <c r="U76" s="451" t="str">
        <f>IF(AND(G76&gt;0,OR(C76="",C76="&lt;Enter detailed description here; use Comments section if needed&gt;")),"NO DESCRIPTION PROVIDED - please enter detailed description in Other box at left; use Comments section below if needed.","")</f>
        <v/>
      </c>
      <c r="V76" s="1432"/>
      <c r="W76" s="2977"/>
      <c r="X76" s="2978"/>
    </row>
    <row r="77" spans="1:24" s="346" customFormat="1" ht="12" customHeight="1" thickTop="1">
      <c r="F77" s="424" t="s">
        <v>193</v>
      </c>
      <c r="G77" s="2940">
        <f>SUM(G66:H76)</f>
        <v>582590</v>
      </c>
      <c r="H77" s="2941"/>
      <c r="J77" s="2940">
        <f>SUM(J66:K76)</f>
        <v>582590</v>
      </c>
      <c r="K77" s="2941"/>
      <c r="L77" s="426"/>
      <c r="M77" s="2940">
        <f>SUM(M66:N76)</f>
        <v>0</v>
      </c>
      <c r="N77" s="2941"/>
      <c r="P77" s="2940">
        <f>SUM(P66:Q76)</f>
        <v>0</v>
      </c>
      <c r="Q77" s="2941"/>
      <c r="S77" s="2940">
        <f>SUM(S66:T76)</f>
        <v>0</v>
      </c>
      <c r="T77" s="2941"/>
      <c r="V77" s="1434">
        <f>SUM(V66:V76)</f>
        <v>0</v>
      </c>
      <c r="W77" s="2986"/>
      <c r="X77" s="2987"/>
    </row>
    <row r="78" spans="1:24" ht="12" customHeight="1">
      <c r="A78" s="346"/>
      <c r="B78" s="348" t="s">
        <v>1281</v>
      </c>
      <c r="C78" s="346"/>
      <c r="D78" s="1114" t="s">
        <v>3766</v>
      </c>
      <c r="E78" s="1226">
        <f>G83/'Part VI-Revenues &amp; Expenses'!$O$62</f>
        <v>6018.6842105263158</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29">
        <f>SUM(J79:T79)</f>
        <v>56793.68421052632</v>
      </c>
      <c r="H79" s="2830"/>
      <c r="J79" s="2829">
        <v>56793.68421052632</v>
      </c>
      <c r="K79" s="2830"/>
      <c r="L79" s="1373"/>
      <c r="M79" s="2829"/>
      <c r="N79" s="2830"/>
      <c r="P79" s="2829"/>
      <c r="Q79" s="2830"/>
      <c r="S79" s="2829"/>
      <c r="T79" s="2830"/>
      <c r="V79" s="1432"/>
      <c r="W79" s="2936"/>
      <c r="X79" s="2937"/>
    </row>
    <row r="80" spans="1:24" s="346" customFormat="1" ht="12" customHeight="1">
      <c r="B80" s="346" t="s">
        <v>1283</v>
      </c>
      <c r="G80" s="2840">
        <f>SUM(J80:T80)</f>
        <v>521000</v>
      </c>
      <c r="H80" s="2841"/>
      <c r="J80" s="2840">
        <v>521000</v>
      </c>
      <c r="K80" s="2841"/>
      <c r="L80" s="1373"/>
      <c r="M80" s="2840"/>
      <c r="N80" s="2841"/>
      <c r="P80" s="2840"/>
      <c r="Q80" s="2841"/>
      <c r="S80" s="2840"/>
      <c r="T80" s="2841"/>
      <c r="V80" s="1432"/>
      <c r="W80" s="2936"/>
      <c r="X80" s="2937"/>
    </row>
    <row r="81" spans="1:24" s="346" customFormat="1" ht="12" customHeight="1">
      <c r="B81" s="346" t="s">
        <v>1284</v>
      </c>
      <c r="D81" s="432" t="s">
        <v>1415</v>
      </c>
      <c r="E81" s="1459"/>
      <c r="G81" s="2840">
        <f>SUM(J81:T81)</f>
        <v>0</v>
      </c>
      <c r="H81" s="2841"/>
      <c r="I81" s="367"/>
      <c r="J81" s="2840"/>
      <c r="K81" s="2841"/>
      <c r="L81" s="1373"/>
      <c r="M81" s="2840"/>
      <c r="N81" s="2841"/>
      <c r="P81" s="2840"/>
      <c r="Q81" s="2841"/>
      <c r="S81" s="2840"/>
      <c r="T81" s="2841"/>
      <c r="V81" s="1432"/>
      <c r="W81" s="2936"/>
      <c r="X81" s="2937"/>
    </row>
    <row r="82" spans="1:24" s="346" customFormat="1" ht="12" customHeight="1" thickBot="1">
      <c r="B82" s="346" t="s">
        <v>1285</v>
      </c>
      <c r="D82" s="432" t="s">
        <v>1415</v>
      </c>
      <c r="E82" s="1460"/>
      <c r="G82" s="2818">
        <f>SUM(J82:T82)</f>
        <v>0</v>
      </c>
      <c r="H82" s="2819"/>
      <c r="I82" s="367"/>
      <c r="J82" s="2818"/>
      <c r="K82" s="2819"/>
      <c r="L82" s="1373"/>
      <c r="M82" s="2818"/>
      <c r="N82" s="2819"/>
      <c r="P82" s="2818"/>
      <c r="Q82" s="2819"/>
      <c r="S82" s="2818"/>
      <c r="T82" s="2819"/>
      <c r="V82" s="1432"/>
      <c r="W82" s="2977"/>
      <c r="X82" s="2978"/>
    </row>
    <row r="83" spans="1:24" s="346" customFormat="1" ht="12" customHeight="1" thickTop="1">
      <c r="F83" s="424" t="s">
        <v>193</v>
      </c>
      <c r="G83" s="2940">
        <f>SUM(G79:H82)</f>
        <v>577793.68421052629</v>
      </c>
      <c r="H83" s="2941"/>
      <c r="J83" s="2940">
        <f>SUM(J79:K82)</f>
        <v>577793.68421052629</v>
      </c>
      <c r="K83" s="2941"/>
      <c r="L83" s="426"/>
      <c r="M83" s="2940">
        <f>SUM(M79:N82)</f>
        <v>0</v>
      </c>
      <c r="N83" s="2941"/>
      <c r="P83" s="2940">
        <f>SUM(P79:Q82)</f>
        <v>0</v>
      </c>
      <c r="Q83" s="2941"/>
      <c r="S83" s="2940">
        <f>SUM(S79:T82)</f>
        <v>0</v>
      </c>
      <c r="T83" s="2941"/>
      <c r="V83" s="1434">
        <f>SUM(V79:V82)</f>
        <v>0</v>
      </c>
      <c r="W83" s="2986"/>
      <c r="X83" s="2987"/>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29">
        <f>S85</f>
        <v>106384.83750000001</v>
      </c>
      <c r="H85" s="2830"/>
      <c r="J85" s="2976"/>
      <c r="K85" s="2976"/>
      <c r="L85" s="1373"/>
      <c r="M85" s="2976"/>
      <c r="N85" s="2976"/>
      <c r="P85" s="2976"/>
      <c r="Q85" s="2976"/>
      <c r="S85" s="2829">
        <v>106384.83750000001</v>
      </c>
      <c r="T85" s="2830"/>
      <c r="V85" s="1432"/>
      <c r="W85" s="2936"/>
      <c r="X85" s="2937"/>
    </row>
    <row r="86" spans="1:24" s="346" customFormat="1" ht="12" customHeight="1">
      <c r="B86" s="346" t="s">
        <v>1287</v>
      </c>
      <c r="G86" s="2840">
        <f t="shared" ref="G86:G90" si="3">S86</f>
        <v>70000</v>
      </c>
      <c r="H86" s="2841"/>
      <c r="J86" s="2976"/>
      <c r="K86" s="2976"/>
      <c r="L86" s="1373"/>
      <c r="M86" s="2976"/>
      <c r="N86" s="2976"/>
      <c r="P86" s="2976"/>
      <c r="Q86" s="2976"/>
      <c r="S86" s="2840">
        <v>70000</v>
      </c>
      <c r="T86" s="2841"/>
      <c r="V86" s="1432"/>
      <c r="W86" s="2936"/>
      <c r="X86" s="2937"/>
    </row>
    <row r="87" spans="1:24" s="346" customFormat="1" ht="12" customHeight="1">
      <c r="B87" s="346" t="s">
        <v>1288</v>
      </c>
      <c r="G87" s="2840">
        <f t="shared" si="3"/>
        <v>25000</v>
      </c>
      <c r="H87" s="2841"/>
      <c r="J87" s="2976"/>
      <c r="K87" s="2976"/>
      <c r="L87" s="1373"/>
      <c r="M87" s="2976"/>
      <c r="N87" s="2976"/>
      <c r="P87" s="2976"/>
      <c r="Q87" s="2976"/>
      <c r="S87" s="2840">
        <v>25000</v>
      </c>
      <c r="T87" s="2841"/>
      <c r="V87" s="1432"/>
      <c r="W87" s="2936"/>
      <c r="X87" s="2937"/>
    </row>
    <row r="88" spans="1:24" s="346" customFormat="1" ht="12" customHeight="1">
      <c r="B88" s="346" t="s">
        <v>1290</v>
      </c>
      <c r="G88" s="2840">
        <f t="shared" si="3"/>
        <v>0</v>
      </c>
      <c r="H88" s="2841"/>
      <c r="J88" s="2976"/>
      <c r="K88" s="2976"/>
      <c r="L88" s="1373"/>
      <c r="M88" s="2976"/>
      <c r="N88" s="2976"/>
      <c r="P88" s="2976"/>
      <c r="Q88" s="2976"/>
      <c r="S88" s="2840"/>
      <c r="T88" s="2841"/>
      <c r="V88" s="1432"/>
      <c r="W88" s="2936"/>
      <c r="X88" s="2937"/>
    </row>
    <row r="89" spans="1:24" s="346" customFormat="1" ht="12" customHeight="1">
      <c r="B89" s="346" t="s">
        <v>2314</v>
      </c>
      <c r="G89" s="2840">
        <f t="shared" si="3"/>
        <v>340431.48</v>
      </c>
      <c r="H89" s="2841"/>
      <c r="J89" s="2976"/>
      <c r="K89" s="2976"/>
      <c r="L89" s="1373"/>
      <c r="M89" s="2976"/>
      <c r="N89" s="2976"/>
      <c r="P89" s="2976"/>
      <c r="Q89" s="2976"/>
      <c r="S89" s="2840">
        <v>340431.48</v>
      </c>
      <c r="T89" s="2841"/>
      <c r="V89" s="1432"/>
      <c r="W89" s="2936"/>
      <c r="X89" s="2937"/>
    </row>
    <row r="90" spans="1:24" s="346" customFormat="1" ht="12" customHeight="1" thickBot="1">
      <c r="A90" s="452" t="str">
        <f>IF(AND(G90&gt;0,OR(C90="",C90="&lt;Enter detailed description here; use Comments section if needed&gt;")),"X","")</f>
        <v/>
      </c>
      <c r="B90" s="346" t="s">
        <v>749</v>
      </c>
      <c r="C90" s="2938" t="s">
        <v>3742</v>
      </c>
      <c r="D90" s="2938"/>
      <c r="E90" s="2938"/>
      <c r="F90" s="2939"/>
      <c r="G90" s="2943">
        <f t="shared" si="3"/>
        <v>0</v>
      </c>
      <c r="H90" s="2944"/>
      <c r="J90" s="2976"/>
      <c r="K90" s="2976"/>
      <c r="L90" s="1373"/>
      <c r="M90" s="2976"/>
      <c r="N90" s="2976"/>
      <c r="P90" s="2976"/>
      <c r="Q90" s="2976"/>
      <c r="S90" s="2818"/>
      <c r="T90" s="2819"/>
      <c r="U90" s="451" t="str">
        <f>IF(AND(G90&gt;0,OR(C90="",C90="&lt;Enter detailed description here; use Comments section if needed&gt;")),"NO DESCRIPTION PROVIDED - please enter detailed description in Other box at left; use Comments section below if needed.","")</f>
        <v/>
      </c>
      <c r="V90" s="1432"/>
      <c r="W90" s="2977"/>
      <c r="X90" s="2978"/>
    </row>
    <row r="91" spans="1:24" s="346" customFormat="1" ht="12" customHeight="1" thickTop="1">
      <c r="F91" s="424" t="s">
        <v>193</v>
      </c>
      <c r="G91" s="2940">
        <f>SUM(G85:H90)</f>
        <v>541816.3175</v>
      </c>
      <c r="H91" s="2941"/>
      <c r="J91" s="2976"/>
      <c r="K91" s="2976"/>
      <c r="L91" s="426"/>
      <c r="M91" s="2976"/>
      <c r="N91" s="2976"/>
      <c r="P91" s="2976"/>
      <c r="Q91" s="2976"/>
      <c r="S91" s="2940">
        <f>SUM(S85:T90)</f>
        <v>541816.3175</v>
      </c>
      <c r="T91" s="2941"/>
      <c r="V91" s="1434">
        <f>SUM(V85:V90)</f>
        <v>0</v>
      </c>
      <c r="W91" s="2986"/>
      <c r="X91" s="2987"/>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2862</v>
      </c>
      <c r="H93" s="1362"/>
      <c r="I93" s="1362"/>
      <c r="J93" s="2926" t="s">
        <v>273</v>
      </c>
      <c r="K93" s="2927"/>
      <c r="L93" s="423"/>
      <c r="M93" s="2930" t="s">
        <v>494</v>
      </c>
      <c r="N93" s="2931"/>
      <c r="P93" s="2926" t="s">
        <v>274</v>
      </c>
      <c r="Q93" s="2927"/>
      <c r="S93" s="2926" t="s">
        <v>275</v>
      </c>
      <c r="T93" s="2927"/>
      <c r="V93" s="515" t="str">
        <f>B93</f>
        <v>DEVELOPMENT BUDGET  (cont'd)</v>
      </c>
    </row>
    <row r="94" spans="1:24" s="346" customFormat="1" ht="18" customHeight="1" thickBot="1">
      <c r="G94" s="2934" t="s">
        <v>102</v>
      </c>
      <c r="H94" s="2935"/>
      <c r="J94" s="2928"/>
      <c r="K94" s="2929"/>
      <c r="L94" s="423"/>
      <c r="M94" s="2932"/>
      <c r="N94" s="2933"/>
      <c r="P94" s="2928"/>
      <c r="Q94" s="2929"/>
      <c r="S94" s="2928"/>
      <c r="T94" s="2929"/>
      <c r="V94" s="394" t="s">
        <v>2700</v>
      </c>
      <c r="X94" s="394"/>
    </row>
    <row r="95" spans="1:24" s="346" customFormat="1" ht="13.15"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29">
        <f>S96</f>
        <v>0</v>
      </c>
      <c r="H96" s="2830"/>
      <c r="J96" s="426"/>
      <c r="K96" s="426"/>
      <c r="L96" s="1373"/>
      <c r="M96" s="426"/>
      <c r="N96" s="426"/>
      <c r="P96" s="426"/>
      <c r="Q96" s="426"/>
      <c r="S96" s="2829"/>
      <c r="T96" s="2830"/>
      <c r="V96" s="1432"/>
      <c r="W96" s="2936"/>
      <c r="X96" s="2937"/>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0">
        <f t="shared" ref="G97:G104" si="4">S97</f>
        <v>6500</v>
      </c>
      <c r="H97" s="2841"/>
      <c r="J97" s="426"/>
      <c r="K97" s="426"/>
      <c r="L97" s="433"/>
      <c r="M97" s="426"/>
      <c r="N97" s="426"/>
      <c r="P97" s="426"/>
      <c r="Q97" s="426"/>
      <c r="S97" s="2840">
        <v>6500</v>
      </c>
      <c r="T97" s="2841"/>
      <c r="V97" s="1432"/>
      <c r="W97" s="2936"/>
      <c r="X97" s="2937"/>
    </row>
    <row r="98" spans="1:24" s="346" customFormat="1" ht="12.6" customHeight="1">
      <c r="B98" s="346" t="s">
        <v>3991</v>
      </c>
      <c r="G98" s="2840">
        <f t="shared" si="4"/>
        <v>1000</v>
      </c>
      <c r="H98" s="2841"/>
      <c r="J98" s="426"/>
      <c r="K98" s="426"/>
      <c r="L98" s="433"/>
      <c r="M98" s="426"/>
      <c r="N98" s="426"/>
      <c r="O98" s="1362"/>
      <c r="P98" s="426"/>
      <c r="Q98" s="426"/>
      <c r="S98" s="2840">
        <v>1000</v>
      </c>
      <c r="T98" s="2841"/>
      <c r="V98" s="1432"/>
      <c r="W98" s="2936"/>
      <c r="X98" s="2937"/>
    </row>
    <row r="99" spans="1:24" s="346" customFormat="1" ht="12.6" customHeight="1">
      <c r="B99" s="346" t="s">
        <v>524</v>
      </c>
      <c r="E99" s="2979">
        <f>'DCA Underwriting Assumptions'!$Q$88*J175</f>
        <v>61183.44</v>
      </c>
      <c r="F99" s="2980"/>
      <c r="G99" s="2840">
        <f t="shared" si="4"/>
        <v>62000.4</v>
      </c>
      <c r="H99" s="2841"/>
      <c r="J99" s="1227" t="str">
        <f>IF(E99&gt;G99,"WARNING!  LIHTC Allocation Fee proposed is below minimum required.","")</f>
        <v/>
      </c>
      <c r="K99" s="426"/>
      <c r="L99" s="1373"/>
      <c r="M99" s="426"/>
      <c r="N99" s="426"/>
      <c r="O99" s="1362"/>
      <c r="P99" s="426"/>
      <c r="Q99" s="426"/>
      <c r="S99" s="2840">
        <v>62000.4</v>
      </c>
      <c r="T99" s="2841"/>
      <c r="V99" s="1432"/>
      <c r="W99" s="2936"/>
      <c r="X99" s="2937"/>
    </row>
    <row r="100" spans="1:24" s="346" customFormat="1" ht="12.6" customHeight="1">
      <c r="B100" s="346" t="s">
        <v>761</v>
      </c>
      <c r="E100" s="297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76800</v>
      </c>
      <c r="F100" s="2980"/>
      <c r="G100" s="2840">
        <f t="shared" si="4"/>
        <v>76800</v>
      </c>
      <c r="H100" s="2841"/>
      <c r="J100" s="1227" t="str">
        <f>IF(E100&gt;G100,"WARNING!  LIHTC Compliance Fee proposed is below minimum required.","")</f>
        <v/>
      </c>
      <c r="K100" s="200"/>
      <c r="L100" s="200"/>
      <c r="M100" s="200"/>
      <c r="N100" s="200"/>
      <c r="O100" s="200"/>
      <c r="P100" s="200"/>
      <c r="Q100" s="200"/>
      <c r="S100" s="2840">
        <v>76800</v>
      </c>
      <c r="T100" s="2841"/>
      <c r="V100" s="1432"/>
      <c r="W100" s="2936"/>
      <c r="X100" s="2937"/>
    </row>
    <row r="101" spans="1:24" s="346" customFormat="1" ht="12.6" customHeight="1">
      <c r="B101" s="346" t="s">
        <v>4306</v>
      </c>
      <c r="F101" s="1770">
        <f>'DCA Underwriting Assumptions'!$Q$90</f>
        <v>3000</v>
      </c>
      <c r="G101" s="2840">
        <f t="shared" si="4"/>
        <v>3000</v>
      </c>
      <c r="H101" s="2841"/>
      <c r="J101" s="200"/>
      <c r="K101" s="200"/>
      <c r="L101" s="200"/>
      <c r="M101" s="200"/>
      <c r="N101" s="200"/>
      <c r="O101" s="200"/>
      <c r="P101" s="200"/>
      <c r="Q101" s="200"/>
      <c r="S101" s="2840">
        <v>3000</v>
      </c>
      <c r="T101" s="2841"/>
      <c r="V101" s="1432"/>
      <c r="W101" s="2936"/>
      <c r="X101" s="2937"/>
    </row>
    <row r="102" spans="1:24" s="346" customFormat="1" ht="12.6" customHeight="1">
      <c r="B102" s="346" t="s">
        <v>4307</v>
      </c>
      <c r="F102" s="1770">
        <f>'DCA Underwriting Assumptions'!$Q$111</f>
        <v>3000</v>
      </c>
      <c r="G102" s="2840">
        <f t="shared" si="4"/>
        <v>3000</v>
      </c>
      <c r="H102" s="2841"/>
      <c r="J102" s="200"/>
      <c r="K102" s="200"/>
      <c r="L102" s="200"/>
      <c r="M102" s="200"/>
      <c r="N102" s="200"/>
      <c r="O102" s="200"/>
      <c r="P102" s="200"/>
      <c r="Q102" s="200"/>
      <c r="S102" s="2840">
        <v>3000</v>
      </c>
      <c r="T102" s="2841"/>
      <c r="V102" s="1432"/>
      <c r="W102" s="2936"/>
      <c r="X102" s="2937"/>
    </row>
    <row r="103" spans="1:24" s="346" customFormat="1" ht="12.6" customHeight="1">
      <c r="A103" s="452" t="str">
        <f>IF(AND(G103&gt;0,OR(C103="",C103="&lt;Enter detailed description here; use Comments section if needed&gt;")),"X","")</f>
        <v/>
      </c>
      <c r="B103" s="346" t="s">
        <v>749</v>
      </c>
      <c r="C103" s="2974" t="s">
        <v>3742</v>
      </c>
      <c r="D103" s="2974"/>
      <c r="E103" s="2974"/>
      <c r="F103" s="2975"/>
      <c r="G103" s="2840">
        <f t="shared" si="4"/>
        <v>0</v>
      </c>
      <c r="H103" s="2841"/>
      <c r="J103" s="200"/>
      <c r="K103" s="200"/>
      <c r="L103" s="200"/>
      <c r="M103" s="200"/>
      <c r="N103" s="200"/>
      <c r="O103" s="200"/>
      <c r="P103" s="200"/>
      <c r="Q103" s="200"/>
      <c r="S103" s="2840"/>
      <c r="T103" s="2841"/>
      <c r="U103" s="451" t="str">
        <f>IF(AND(G103&gt;0,OR(C103="",C103="&lt;Enter detailed description here; use Comments section if needed&gt;")),"NO DESCRIPTION PROVIDED - please enter detailed description in Other box at left; use Comments section below if needed.","")</f>
        <v/>
      </c>
      <c r="V103" s="1432"/>
      <c r="W103" s="2936"/>
      <c r="X103" s="2937"/>
    </row>
    <row r="104" spans="1:24" s="346" customFormat="1" ht="12.6" customHeight="1" thickBot="1">
      <c r="A104" s="452" t="str">
        <f>IF(AND(G104&gt;0,OR(C104="",C104="&lt;Enter detailed description here; use Comments section if needed&gt;")),"X","")</f>
        <v/>
      </c>
      <c r="B104" s="346" t="s">
        <v>749</v>
      </c>
      <c r="C104" s="2972" t="s">
        <v>3742</v>
      </c>
      <c r="D104" s="2972"/>
      <c r="E104" s="2972"/>
      <c r="F104" s="2973"/>
      <c r="G104" s="2943">
        <f t="shared" si="4"/>
        <v>0</v>
      </c>
      <c r="H104" s="2944"/>
      <c r="J104" s="200"/>
      <c r="K104" s="200"/>
      <c r="L104" s="200"/>
      <c r="M104" s="200"/>
      <c r="N104" s="200"/>
      <c r="O104" s="200"/>
      <c r="P104" s="200"/>
      <c r="Q104" s="200"/>
      <c r="S104" s="2818"/>
      <c r="T104" s="2819"/>
      <c r="U104" s="451" t="str">
        <f>IF(AND(G104&gt;0,OR(C104="",C104="&lt;Enter detailed description here; use Comments section if needed&gt;")),"NO DESCRIPTION PROVIDED - please enter detailed description in Other box at left; use Comments section below if needed.","")</f>
        <v/>
      </c>
      <c r="V104" s="1432"/>
      <c r="W104" s="2977"/>
      <c r="X104" s="2978"/>
    </row>
    <row r="105" spans="1:24" s="346" customFormat="1" ht="12.6" customHeight="1" thickTop="1">
      <c r="F105" s="424" t="s">
        <v>193</v>
      </c>
      <c r="G105" s="2940">
        <f>SUM(G96:H104)</f>
        <v>152300.4</v>
      </c>
      <c r="H105" s="2941"/>
      <c r="J105" s="426"/>
      <c r="K105" s="426"/>
      <c r="L105" s="1373"/>
      <c r="M105" s="426"/>
      <c r="N105" s="426"/>
      <c r="P105" s="426"/>
      <c r="Q105" s="426"/>
      <c r="S105" s="2940">
        <f>SUM(S96:T104)</f>
        <v>152300.4</v>
      </c>
      <c r="T105" s="2941"/>
      <c r="V105" s="1434">
        <f>SUM(V96:V104)</f>
        <v>0</v>
      </c>
      <c r="W105" s="1430"/>
      <c r="X105" s="1431"/>
    </row>
    <row r="106" spans="1:24" s="346" customFormat="1" ht="13.15"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29">
        <f t="shared" ref="G107:G110" si="5">S107</f>
        <v>2500</v>
      </c>
      <c r="H107" s="2830"/>
      <c r="J107" s="2976"/>
      <c r="K107" s="2976"/>
      <c r="L107" s="1373"/>
      <c r="M107" s="2976"/>
      <c r="N107" s="2976"/>
      <c r="O107" s="1362"/>
      <c r="P107" s="2976"/>
      <c r="Q107" s="2976"/>
      <c r="S107" s="2829">
        <v>2500</v>
      </c>
      <c r="T107" s="2830"/>
      <c r="V107" s="1432"/>
      <c r="W107" s="2936"/>
      <c r="X107" s="2937"/>
    </row>
    <row r="108" spans="1:24" s="346" customFormat="1" ht="12.6" customHeight="1">
      <c r="B108" s="346" t="s">
        <v>282</v>
      </c>
      <c r="G108" s="2840">
        <f t="shared" si="5"/>
        <v>0</v>
      </c>
      <c r="H108" s="2841"/>
      <c r="J108" s="2976"/>
      <c r="K108" s="2976"/>
      <c r="L108" s="1373"/>
      <c r="M108" s="2976"/>
      <c r="N108" s="2976"/>
      <c r="O108" s="1362"/>
      <c r="P108" s="2976"/>
      <c r="Q108" s="2976"/>
      <c r="S108" s="2840"/>
      <c r="T108" s="2841"/>
      <c r="V108" s="1432"/>
      <c r="W108" s="2936"/>
      <c r="X108" s="2937"/>
    </row>
    <row r="109" spans="1:24" s="346" customFormat="1" ht="12.6" customHeight="1">
      <c r="B109" s="346" t="s">
        <v>2402</v>
      </c>
      <c r="G109" s="2840">
        <f t="shared" si="5"/>
        <v>0</v>
      </c>
      <c r="H109" s="2841"/>
      <c r="J109" s="2976"/>
      <c r="K109" s="2976"/>
      <c r="L109" s="1373"/>
      <c r="M109" s="2976"/>
      <c r="N109" s="2976"/>
      <c r="O109" s="1362"/>
      <c r="P109" s="2976"/>
      <c r="Q109" s="2976"/>
      <c r="S109" s="2840"/>
      <c r="T109" s="2841"/>
      <c r="V109" s="1432"/>
      <c r="W109" s="2936"/>
      <c r="X109" s="2937"/>
    </row>
    <row r="110" spans="1:24" s="346" customFormat="1" ht="12.6" customHeight="1" thickBot="1">
      <c r="A110" s="452" t="str">
        <f>IF(AND(G110&gt;0,OR(C110="",C110="&lt;Enter detailed description here; use Comments section if needed&gt;")),"X","")</f>
        <v/>
      </c>
      <c r="B110" s="346" t="s">
        <v>749</v>
      </c>
      <c r="C110" s="2938" t="s">
        <v>3742</v>
      </c>
      <c r="D110" s="2938"/>
      <c r="E110" s="2938"/>
      <c r="F110" s="2939"/>
      <c r="G110" s="2943">
        <f t="shared" si="5"/>
        <v>0</v>
      </c>
      <c r="H110" s="2944"/>
      <c r="J110" s="2976"/>
      <c r="K110" s="2976"/>
      <c r="L110" s="1373"/>
      <c r="M110" s="2976"/>
      <c r="N110" s="2976"/>
      <c r="O110" s="1362"/>
      <c r="P110" s="2976"/>
      <c r="Q110" s="2976"/>
      <c r="S110" s="2818"/>
      <c r="T110" s="2819"/>
      <c r="U110" s="451" t="str">
        <f>IF(AND(G110&gt;0,OR(C110="",C110="&lt;Enter detailed description here; use Comments section if needed&gt;")),"NO DESCRIPTION PROVIDED - please enter detailed description in Other box at left; use Comments section below if needed.","")</f>
        <v/>
      </c>
      <c r="V110" s="1432"/>
      <c r="W110" s="2977"/>
      <c r="X110" s="2978"/>
    </row>
    <row r="111" spans="1:24" s="346" customFormat="1" ht="12.6" customHeight="1" thickTop="1">
      <c r="F111" s="424" t="s">
        <v>193</v>
      </c>
      <c r="G111" s="2940">
        <f>SUM(G107:H110)</f>
        <v>2500</v>
      </c>
      <c r="H111" s="2941"/>
      <c r="J111" s="2976"/>
      <c r="K111" s="2976"/>
      <c r="L111" s="1373"/>
      <c r="M111" s="2976"/>
      <c r="N111" s="2976"/>
      <c r="O111" s="1362"/>
      <c r="P111" s="2976"/>
      <c r="Q111" s="2976"/>
      <c r="S111" s="2940">
        <f>SUM(S107:T110)</f>
        <v>2500</v>
      </c>
      <c r="T111" s="2941"/>
      <c r="V111" s="1434">
        <f>SUM(V107:V110)</f>
        <v>0</v>
      </c>
      <c r="W111" s="2986"/>
      <c r="X111" s="2987"/>
    </row>
    <row r="112" spans="1:24" s="346" customFormat="1" ht="13.1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1874</v>
      </c>
      <c r="F113" s="482">
        <f>IF($G$118=0,0,G113/$G$118)</f>
        <v>0</v>
      </c>
      <c r="G113" s="2981">
        <f>SUM(J113:T113)</f>
        <v>0</v>
      </c>
      <c r="H113" s="2981"/>
      <c r="J113" s="2956"/>
      <c r="K113" s="2957"/>
      <c r="L113" s="425"/>
      <c r="M113" s="2956"/>
      <c r="N113" s="2957"/>
      <c r="P113" s="2956"/>
      <c r="Q113" s="2957"/>
      <c r="S113" s="2956"/>
      <c r="T113" s="2957"/>
      <c r="V113" s="1432"/>
      <c r="W113" s="2936"/>
      <c r="X113" s="2937"/>
    </row>
    <row r="114" spans="1:24" s="346" customFormat="1" ht="12.6" customHeight="1">
      <c r="B114" s="346" t="s">
        <v>4258</v>
      </c>
      <c r="F114" s="1745">
        <v>1253476.6875641448</v>
      </c>
      <c r="V114" s="1432"/>
      <c r="W114" s="2936"/>
      <c r="X114" s="2937"/>
    </row>
    <row r="115" spans="1:24" s="346" customFormat="1" ht="12.6" customHeight="1">
      <c r="B115" s="346" t="s">
        <v>1875</v>
      </c>
      <c r="F115" s="482">
        <f>IF($G$118=0,0,G115/$G$118)</f>
        <v>4.99E-2</v>
      </c>
      <c r="G115" s="2829">
        <f t="shared" ref="G115:G117" si="6">SUM(J115:T115)</f>
        <v>124997.62765817485</v>
      </c>
      <c r="H115" s="2830"/>
      <c r="J115" s="2829">
        <v>124997.62765817485</v>
      </c>
      <c r="K115" s="2830"/>
      <c r="L115" s="1373"/>
      <c r="M115" s="2829"/>
      <c r="N115" s="2830"/>
      <c r="P115" s="2829"/>
      <c r="Q115" s="2830"/>
      <c r="S115" s="2829"/>
      <c r="T115" s="2830"/>
      <c r="V115" s="1432"/>
      <c r="W115" s="2936"/>
      <c r="X115" s="2937"/>
    </row>
    <row r="116" spans="1:24" s="346" customFormat="1" ht="12.6" customHeight="1">
      <c r="B116" s="346" t="s">
        <v>3662</v>
      </c>
      <c r="F116" s="482">
        <f>IF($G$118=0,0,G116/$G$118)</f>
        <v>0</v>
      </c>
      <c r="G116" s="2840">
        <f t="shared" si="6"/>
        <v>0</v>
      </c>
      <c r="H116" s="2841"/>
      <c r="J116" s="2840"/>
      <c r="K116" s="2841"/>
      <c r="L116" s="1373"/>
      <c r="M116" s="2840"/>
      <c r="N116" s="2841"/>
      <c r="P116" s="2840"/>
      <c r="Q116" s="2841"/>
      <c r="S116" s="2840"/>
      <c r="T116" s="2841"/>
      <c r="V116" s="1432"/>
      <c r="W116" s="2936"/>
      <c r="X116" s="2937"/>
    </row>
    <row r="117" spans="1:24" s="346" customFormat="1" ht="12.6" customHeight="1" thickBot="1">
      <c r="B117" s="346" t="s">
        <v>1867</v>
      </c>
      <c r="F117" s="482">
        <f>IF($G$118=0,0,G117/$G$118)</f>
        <v>0.95010000000000006</v>
      </c>
      <c r="G117" s="2818">
        <f t="shared" si="6"/>
        <v>2379964.8504615617</v>
      </c>
      <c r="H117" s="2819"/>
      <c r="J117" s="2943">
        <v>2379964.8504615617</v>
      </c>
      <c r="K117" s="2944"/>
      <c r="L117" s="1373"/>
      <c r="M117" s="2818"/>
      <c r="N117" s="2819"/>
      <c r="P117" s="2818"/>
      <c r="Q117" s="2819"/>
      <c r="S117" s="2818"/>
      <c r="T117" s="2819"/>
      <c r="V117" s="1432"/>
      <c r="W117" s="2977"/>
      <c r="X117" s="2978"/>
    </row>
    <row r="118" spans="1:24" s="346" customFormat="1" ht="12.6" customHeight="1" thickTop="1">
      <c r="C118" s="451"/>
      <c r="F118" s="424" t="s">
        <v>193</v>
      </c>
      <c r="G118" s="2940">
        <f>SUM(G113:H117)</f>
        <v>2504962.4781197365</v>
      </c>
      <c r="H118" s="2941"/>
      <c r="J118" s="2940">
        <f>SUM(J113:K117)</f>
        <v>2504962.4781197365</v>
      </c>
      <c r="K118" s="2941"/>
      <c r="L118" s="1373"/>
      <c r="M118" s="2940">
        <f>SUM(M113:N117)</f>
        <v>0</v>
      </c>
      <c r="N118" s="2941"/>
      <c r="P118" s="2940">
        <f>SUM(P113:Q117)</f>
        <v>0</v>
      </c>
      <c r="Q118" s="2941"/>
      <c r="S118" s="2940">
        <f>SUM(S113:T117)</f>
        <v>0</v>
      </c>
      <c r="T118" s="2941"/>
      <c r="V118" s="1434">
        <f>SUM(V113:V117)</f>
        <v>0</v>
      </c>
      <c r="W118" s="2986"/>
      <c r="X118" s="2987"/>
    </row>
    <row r="119" spans="1:24" s="346" customFormat="1" ht="13.15"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29">
        <f t="shared" ref="G120:G123" si="7">S120</f>
        <v>50000</v>
      </c>
      <c r="H120" s="2830"/>
      <c r="J120" s="434"/>
      <c r="K120" s="434"/>
      <c r="L120" s="434"/>
      <c r="M120" s="434"/>
      <c r="N120" s="434"/>
      <c r="P120" s="434"/>
      <c r="Q120" s="434"/>
      <c r="S120" s="2829">
        <v>50000</v>
      </c>
      <c r="T120" s="2830"/>
      <c r="V120" s="1432"/>
      <c r="W120" s="2936"/>
      <c r="X120" s="2937"/>
    </row>
    <row r="121" spans="1:24" s="346" customFormat="1" ht="12.6" customHeight="1">
      <c r="B121" s="346" t="s">
        <v>1548</v>
      </c>
      <c r="F121" s="593">
        <f>+'Part VI-Revenues &amp; Expenses'!$P$175*('DCA Underwriting Assumptions'!$Q$110/12)</f>
        <v>108000</v>
      </c>
      <c r="G121" s="2840">
        <f t="shared" si="7"/>
        <v>108000</v>
      </c>
      <c r="H121" s="2841"/>
      <c r="J121" s="1229" t="str">
        <f>IF(E121&gt;G121,"WARNING! Rent-Up Reserves proposed is below minimum - add comment.","")</f>
        <v/>
      </c>
      <c r="K121" s="1229"/>
      <c r="L121" s="1373"/>
      <c r="M121" s="1199"/>
      <c r="N121" s="1199"/>
      <c r="O121" s="1362"/>
      <c r="P121" s="1199"/>
      <c r="Q121" s="1199"/>
      <c r="R121" s="1362"/>
      <c r="S121" s="2840">
        <v>108000</v>
      </c>
      <c r="T121" s="2841"/>
      <c r="V121" s="1432"/>
      <c r="W121" s="2936"/>
      <c r="X121" s="2937"/>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490225.87007976859</v>
      </c>
      <c r="G122" s="2840">
        <f t="shared" si="7"/>
        <v>490225.87007976859</v>
      </c>
      <c r="H122" s="2841"/>
      <c r="J122" s="1229" t="str">
        <f>IF(E122&gt;G122,"WARNING! ODR proposed is below minimum - add comment.","")</f>
        <v/>
      </c>
      <c r="K122" s="433"/>
      <c r="L122" s="433"/>
      <c r="M122" s="433"/>
      <c r="N122" s="433"/>
      <c r="O122" s="1362"/>
      <c r="P122" s="433"/>
      <c r="Q122" s="433"/>
      <c r="R122" s="1362"/>
      <c r="S122" s="2840">
        <v>490225.87007976859</v>
      </c>
      <c r="T122" s="2841"/>
      <c r="V122" s="1432"/>
      <c r="W122" s="2936"/>
      <c r="X122" s="2937"/>
    </row>
    <row r="123" spans="1:24" s="346" customFormat="1" ht="12.6" customHeight="1">
      <c r="B123" s="346" t="s">
        <v>1256</v>
      </c>
      <c r="G123" s="2840">
        <f t="shared" si="7"/>
        <v>0</v>
      </c>
      <c r="H123" s="2841"/>
      <c r="J123" s="434"/>
      <c r="K123" s="434"/>
      <c r="L123" s="434"/>
      <c r="M123" s="434"/>
      <c r="N123" s="434"/>
      <c r="P123" s="434"/>
      <c r="Q123" s="434"/>
      <c r="S123" s="2840"/>
      <c r="T123" s="2841"/>
      <c r="V123" s="1432"/>
      <c r="W123" s="2936"/>
      <c r="X123" s="2937"/>
    </row>
    <row r="124" spans="1:24" s="346" customFormat="1" ht="12.6" customHeight="1">
      <c r="B124" s="346" t="s">
        <v>1257</v>
      </c>
      <c r="E124" s="1031" t="s">
        <v>3591</v>
      </c>
      <c r="F124" s="558">
        <f>IF('Part VI-Revenues &amp; Expenses'!$O$62=0,0,G124/'Part VI-Revenues &amp; Expenses'!$O$62)</f>
        <v>520.83333333333337</v>
      </c>
      <c r="G124" s="2840">
        <f t="shared" ref="G124:G125" si="8">SUM(J124:T124)</f>
        <v>50000</v>
      </c>
      <c r="H124" s="2841"/>
      <c r="J124" s="2829">
        <v>50000</v>
      </c>
      <c r="K124" s="2830"/>
      <c r="L124" s="1373"/>
      <c r="M124" s="2829"/>
      <c r="N124" s="2830"/>
      <c r="P124" s="2829"/>
      <c r="Q124" s="2830"/>
      <c r="S124" s="2840"/>
      <c r="T124" s="2841"/>
      <c r="V124" s="1432"/>
      <c r="W124" s="2936"/>
      <c r="X124" s="2937"/>
    </row>
    <row r="125" spans="1:24" s="346" customFormat="1" ht="12.6" customHeight="1" thickBot="1">
      <c r="A125" s="452" t="str">
        <f>IF(AND(G125&gt;0,OR(C125="",C125="&lt;Enter detailed description here; use Comments section if needed&gt;")),"X","")</f>
        <v/>
      </c>
      <c r="B125" s="346" t="s">
        <v>749</v>
      </c>
      <c r="C125" s="2938" t="s">
        <v>3742</v>
      </c>
      <c r="D125" s="2938"/>
      <c r="E125" s="2938"/>
      <c r="F125" s="2939"/>
      <c r="G125" s="2818">
        <f t="shared" si="8"/>
        <v>0</v>
      </c>
      <c r="H125" s="2819"/>
      <c r="J125" s="2943"/>
      <c r="K125" s="2944"/>
      <c r="L125" s="1373"/>
      <c r="M125" s="2818"/>
      <c r="N125" s="2819"/>
      <c r="P125" s="2818"/>
      <c r="Q125" s="2819"/>
      <c r="S125" s="2818"/>
      <c r="T125" s="2819"/>
      <c r="U125" s="451" t="str">
        <f>IF(AND(G125&gt;0,OR(C125="",C125="&lt;Enter detailed description here; use Comments section if needed&gt;")),"NO DESCRIPTION PROVIDED - please enter detailed description in Other box at left; use Comments section below if needed.","")</f>
        <v/>
      </c>
      <c r="V125" s="1432"/>
      <c r="W125" s="2977"/>
      <c r="X125" s="2978"/>
    </row>
    <row r="126" spans="1:24" s="346" customFormat="1" ht="12.6" customHeight="1" thickTop="1">
      <c r="B126" s="435"/>
      <c r="F126" s="424" t="s">
        <v>193</v>
      </c>
      <c r="G126" s="2940">
        <f>SUM(G120:H125)</f>
        <v>698225.87007976859</v>
      </c>
      <c r="H126" s="2941"/>
      <c r="J126" s="2940">
        <f>SUM(J124:K125)</f>
        <v>50000</v>
      </c>
      <c r="K126" s="2941"/>
      <c r="L126" s="1373"/>
      <c r="M126" s="2940">
        <f>SUM(M124:N125)</f>
        <v>0</v>
      </c>
      <c r="N126" s="2941"/>
      <c r="P126" s="2940">
        <f>SUM(P124:Q125)</f>
        <v>0</v>
      </c>
      <c r="Q126" s="2941"/>
      <c r="S126" s="2940">
        <f>SUM(S120:T125)</f>
        <v>648225.87007976859</v>
      </c>
      <c r="T126" s="2941"/>
      <c r="V126" s="1434">
        <f>SUM(V120:V125)</f>
        <v>0</v>
      </c>
      <c r="W126" s="2986"/>
      <c r="X126" s="2987"/>
    </row>
    <row r="127" spans="1:24" s="346" customFormat="1" ht="13.15"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29">
        <f t="shared" ref="G128:G129" si="9">SUM(J128:T128)</f>
        <v>0</v>
      </c>
      <c r="H128" s="2830"/>
      <c r="J128" s="2829"/>
      <c r="K128" s="2830"/>
      <c r="L128" s="425"/>
      <c r="M128" s="2829"/>
      <c r="N128" s="2830"/>
      <c r="P128" s="2829"/>
      <c r="Q128" s="2830"/>
      <c r="S128" s="2829"/>
      <c r="T128" s="2830"/>
      <c r="V128" s="1432"/>
      <c r="W128" s="2936"/>
      <c r="X128" s="2937"/>
    </row>
    <row r="129" spans="1:24" s="346" customFormat="1" ht="12.6" customHeight="1" thickBot="1">
      <c r="A129" s="452" t="str">
        <f>IF(AND(G129&gt;0,OR(C129="",C129="&lt;Enter detailed description here; use Comments section if needed&gt;")),"X","")</f>
        <v/>
      </c>
      <c r="B129" s="346" t="s">
        <v>749</v>
      </c>
      <c r="C129" s="2938" t="s">
        <v>3742</v>
      </c>
      <c r="D129" s="2938"/>
      <c r="E129" s="2938"/>
      <c r="F129" s="2939"/>
      <c r="G129" s="2818">
        <f t="shared" si="9"/>
        <v>0</v>
      </c>
      <c r="H129" s="2819"/>
      <c r="J129" s="2818"/>
      <c r="K129" s="2819"/>
      <c r="L129" s="1373"/>
      <c r="M129" s="2818"/>
      <c r="N129" s="2819"/>
      <c r="P129" s="2818"/>
      <c r="Q129" s="2819"/>
      <c r="S129" s="2818"/>
      <c r="T129" s="2819"/>
      <c r="U129" s="451" t="str">
        <f>IF(AND(G129&gt;0,OR(C129="",C129="&lt;Enter detailed description here; use Comments section if needed&gt;")),"NO DESCRIPTION PROVIDED - please enter detailed description in Other box at left; use Comments section below if needed.","")</f>
        <v/>
      </c>
      <c r="V129" s="1432"/>
      <c r="W129" s="2977"/>
      <c r="X129" s="2978"/>
    </row>
    <row r="130" spans="1:24" s="346" customFormat="1" ht="12.6" customHeight="1" thickTop="1">
      <c r="C130" s="1351"/>
      <c r="F130" s="424" t="s">
        <v>193</v>
      </c>
      <c r="G130" s="2940">
        <f>SUM(G128:H129)</f>
        <v>0</v>
      </c>
      <c r="H130" s="2941"/>
      <c r="J130" s="2940">
        <f>SUM(J128:K129)</f>
        <v>0</v>
      </c>
      <c r="K130" s="2941"/>
      <c r="L130" s="1373"/>
      <c r="M130" s="2940">
        <f>SUM(M128:N129)</f>
        <v>0</v>
      </c>
      <c r="N130" s="2941"/>
      <c r="P130" s="2940">
        <f>SUM(P128:Q129)</f>
        <v>0</v>
      </c>
      <c r="Q130" s="2941"/>
      <c r="S130" s="2940">
        <f>SUM(S128:T129)</f>
        <v>0</v>
      </c>
      <c r="T130" s="2941"/>
      <c r="V130" s="1434">
        <f>SUM(V128:V129)</f>
        <v>0</v>
      </c>
      <c r="W130" s="2986"/>
      <c r="X130" s="2987"/>
    </row>
    <row r="131" spans="1:24" s="346" customFormat="1" ht="3" customHeight="1" thickBot="1">
      <c r="C131" s="1351"/>
      <c r="H131" s="431"/>
      <c r="I131" s="431"/>
      <c r="L131" s="1362"/>
      <c r="V131" s="1435"/>
      <c r="W131" s="1428"/>
      <c r="X131" s="1429"/>
    </row>
    <row r="132" spans="1:24" s="346" customFormat="1" ht="13.9" customHeight="1" thickBot="1">
      <c r="B132" s="352" t="s">
        <v>2786</v>
      </c>
      <c r="G132" s="2984">
        <f>G17+G23+G27+G33+G38+G41+G47+G64+G77+G83+G91+G105+G111+G118+G126+G130</f>
        <v>20706223.689910028</v>
      </c>
      <c r="H132" s="2985"/>
      <c r="J132" s="2984">
        <f>J17+J23+J27+J33+J38+J41+J47+J64+J77+J83+J91+J105+J111+J118+J126+J130</f>
        <v>18384447.60233026</v>
      </c>
      <c r="K132" s="2985"/>
      <c r="M132" s="2984">
        <f>M17+M23+M27+M33+M38+M41+M47+M64+M77+M83+M91+M105+M111+M118+M126+M130</f>
        <v>0</v>
      </c>
      <c r="N132" s="2985"/>
      <c r="P132" s="2984">
        <f>P17+P23+P27+P33+P38+P41+P47+P64+P77+P83+P91+P105+P111+P118+P126+P130</f>
        <v>0</v>
      </c>
      <c r="Q132" s="2985"/>
      <c r="S132" s="2984">
        <f>S17+S23+S27+S33+S38+S41+S47+S64+S77+S83+S91+S105+S111+S118+S126+S130</f>
        <v>2321776.0875797682</v>
      </c>
      <c r="T132" s="2985"/>
      <c r="V132" s="1438">
        <f>V17+V23+V27+V33+V38+V41+V47+V64+V77+V83+V91+V105+V111+V118+V126+V130</f>
        <v>0</v>
      </c>
      <c r="W132" s="2988"/>
      <c r="X132" s="2987"/>
    </row>
    <row r="133" spans="1:24" s="346" customFormat="1" ht="3" customHeight="1">
      <c r="C133" s="1351"/>
      <c r="H133" s="431"/>
      <c r="I133" s="431"/>
      <c r="L133" s="1362"/>
      <c r="V133" s="1435"/>
    </row>
    <row r="134" spans="1:24" s="346" customFormat="1" ht="13.9" customHeight="1">
      <c r="B134" s="608" t="s">
        <v>2782</v>
      </c>
      <c r="C134" s="606"/>
      <c r="D134" s="2994">
        <f>IF('Part VI-Revenues &amp; Expenses'!$O$62=0,0,G132/'Part VI-Revenues &amp; Expenses'!$O$62)</f>
        <v>215689.83010322947</v>
      </c>
      <c r="E134" s="2994"/>
      <c r="F134" s="607" t="s">
        <v>2781</v>
      </c>
      <c r="G134" s="2995">
        <f>IF('Part I-Project Information'!$P$71=0,0,G132/'Part I-Project Information'!$P$71)</f>
        <v>169.30681676132485</v>
      </c>
      <c r="H134" s="2996"/>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 customHeight="1">
      <c r="A137" s="514" t="s">
        <v>748</v>
      </c>
      <c r="B137" s="516" t="s">
        <v>1438</v>
      </c>
      <c r="C137" s="1067"/>
      <c r="D137" s="1373"/>
      <c r="E137" s="1373"/>
      <c r="F137" s="1373"/>
      <c r="G137" s="1362"/>
      <c r="H137" s="1362"/>
      <c r="I137" s="438"/>
      <c r="J137" s="2926" t="s">
        <v>273</v>
      </c>
      <c r="K137" s="2927"/>
      <c r="M137" s="2926" t="s">
        <v>101</v>
      </c>
      <c r="N137" s="2927"/>
      <c r="P137" s="2926" t="s">
        <v>274</v>
      </c>
      <c r="Q137" s="2927"/>
      <c r="V137" s="1435"/>
      <c r="W137" s="515" t="str">
        <f>B137</f>
        <v>TAX CREDIT CALCULATION - BASIS METHOD</v>
      </c>
    </row>
    <row r="138" spans="1:24" s="346" customFormat="1" ht="15" customHeight="1" thickBot="1">
      <c r="B138" s="352" t="s">
        <v>2060</v>
      </c>
      <c r="D138" s="1373"/>
      <c r="E138" s="1373"/>
      <c r="I138" s="438"/>
      <c r="J138" s="2928"/>
      <c r="K138" s="2929"/>
      <c r="L138" s="1067"/>
      <c r="M138" s="2928"/>
      <c r="N138" s="2929"/>
      <c r="P138" s="2928"/>
      <c r="Q138" s="2929"/>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 customHeight="1">
      <c r="B140" s="1351" t="s">
        <v>145</v>
      </c>
      <c r="D140" s="1362"/>
      <c r="E140" s="1362"/>
      <c r="F140" s="1362"/>
      <c r="G140" s="1362"/>
      <c r="H140" s="1362"/>
      <c r="I140" s="438"/>
      <c r="J140" s="2997"/>
      <c r="K140" s="2998"/>
      <c r="P140" s="2997"/>
      <c r="Q140" s="2998"/>
      <c r="V140" s="1432"/>
      <c r="W140" s="2936"/>
      <c r="X140" s="2937"/>
    </row>
    <row r="141" spans="1:24" s="346" customFormat="1" ht="13.9" customHeight="1">
      <c r="B141" s="1362" t="s">
        <v>2168</v>
      </c>
      <c r="D141" s="1362"/>
      <c r="E141" s="1362"/>
      <c r="F141" s="1362"/>
      <c r="G141" s="1362"/>
      <c r="H141" s="1362"/>
      <c r="I141" s="438"/>
      <c r="J141" s="2999"/>
      <c r="K141" s="3000"/>
      <c r="P141" s="2999"/>
      <c r="Q141" s="3000"/>
      <c r="V141" s="1432"/>
      <c r="W141" s="2936"/>
      <c r="X141" s="2937"/>
    </row>
    <row r="142" spans="1:24" s="346" customFormat="1" ht="13.9" customHeight="1">
      <c r="B142" s="1362" t="s">
        <v>1877</v>
      </c>
      <c r="D142" s="1362"/>
      <c r="E142" s="1362"/>
      <c r="I142" s="438"/>
      <c r="J142" s="2999"/>
      <c r="K142" s="3000"/>
      <c r="P142" s="2999"/>
      <c r="Q142" s="3000"/>
      <c r="V142" s="1432"/>
      <c r="W142" s="2936"/>
      <c r="X142" s="2937"/>
    </row>
    <row r="143" spans="1:24" s="346" customFormat="1" ht="13.9" customHeight="1">
      <c r="B143" s="1362" t="s">
        <v>1878</v>
      </c>
      <c r="D143" s="1362"/>
      <c r="E143" s="1362"/>
      <c r="I143" s="438"/>
      <c r="J143" s="2999"/>
      <c r="K143" s="3000"/>
      <c r="P143" s="2999"/>
      <c r="Q143" s="3000"/>
      <c r="V143" s="1432"/>
      <c r="W143" s="2936"/>
      <c r="X143" s="2937"/>
    </row>
    <row r="144" spans="1:24" s="346" customFormat="1" ht="13.9" customHeight="1">
      <c r="B144" s="1362" t="s">
        <v>256</v>
      </c>
      <c r="D144" s="1362"/>
      <c r="E144" s="1362"/>
      <c r="I144" s="438"/>
      <c r="J144" s="2999"/>
      <c r="K144" s="3000"/>
      <c r="P144" s="2999"/>
      <c r="Q144" s="3000"/>
      <c r="V144" s="1432"/>
      <c r="W144" s="2936"/>
      <c r="X144" s="2937"/>
    </row>
    <row r="145" spans="1:24" s="346" customFormat="1" ht="13.9" customHeight="1" thickBot="1">
      <c r="B145" s="1362" t="s">
        <v>1613</v>
      </c>
      <c r="C145" s="3001" t="s">
        <v>2431</v>
      </c>
      <c r="D145" s="3001"/>
      <c r="E145" s="3001"/>
      <c r="F145" s="3001"/>
      <c r="G145" s="3001"/>
      <c r="H145" s="3001"/>
      <c r="I145" s="3002"/>
      <c r="J145" s="2982"/>
      <c r="K145" s="2983"/>
      <c r="P145" s="2982"/>
      <c r="Q145" s="2983"/>
      <c r="V145" s="1432"/>
      <c r="W145" s="2977"/>
      <c r="X145" s="2978"/>
    </row>
    <row r="146" spans="1:24" s="346" customFormat="1" ht="13.9" customHeight="1" thickBot="1">
      <c r="B146" s="358" t="s">
        <v>1879</v>
      </c>
      <c r="C146" s="361"/>
      <c r="J146" s="2903">
        <f>SUM(J140:K145)</f>
        <v>0</v>
      </c>
      <c r="K146" s="2904"/>
      <c r="P146" s="2903">
        <f>SUM(P140:Q145)</f>
        <v>0</v>
      </c>
      <c r="Q146" s="2904"/>
      <c r="V146" s="1434">
        <f>SUM(V140:V145)</f>
        <v>0</v>
      </c>
      <c r="W146" s="2986"/>
      <c r="X146" s="2987"/>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3.9" customHeight="1">
      <c r="B149" s="346" t="s">
        <v>1803</v>
      </c>
      <c r="J149" s="2989">
        <f>J132</f>
        <v>18384447.60233026</v>
      </c>
      <c r="K149" s="2990"/>
      <c r="M149" s="2991">
        <f>M132</f>
        <v>0</v>
      </c>
      <c r="N149" s="2992"/>
      <c r="P149" s="2989">
        <f>P132</f>
        <v>0</v>
      </c>
      <c r="Q149" s="2990"/>
      <c r="V149" s="1432"/>
      <c r="W149" s="2936"/>
      <c r="X149" s="2937"/>
    </row>
    <row r="150" spans="1:24" s="346" customFormat="1" ht="13.9" customHeight="1">
      <c r="B150" s="346" t="s">
        <v>2236</v>
      </c>
      <c r="J150" s="3003">
        <f>J146</f>
        <v>0</v>
      </c>
      <c r="K150" s="3004"/>
      <c r="M150" s="3005"/>
      <c r="N150" s="3005"/>
      <c r="P150" s="3003">
        <f>P146</f>
        <v>0</v>
      </c>
      <c r="Q150" s="3004"/>
      <c r="V150" s="1432"/>
      <c r="W150" s="2936"/>
      <c r="X150" s="2937"/>
    </row>
    <row r="151" spans="1:24" s="346" customFormat="1" ht="13.9" customHeight="1">
      <c r="B151" s="346" t="s">
        <v>2237</v>
      </c>
      <c r="J151" s="3003">
        <f>J149-J150</f>
        <v>18384447.60233026</v>
      </c>
      <c r="K151" s="3004"/>
      <c r="M151" s="3003">
        <f>M149</f>
        <v>0</v>
      </c>
      <c r="N151" s="3004"/>
      <c r="P151" s="3003">
        <f>P149-P150</f>
        <v>0</v>
      </c>
      <c r="Q151" s="3004"/>
      <c r="V151" s="1432"/>
      <c r="W151" s="2936"/>
      <c r="X151" s="2937"/>
    </row>
    <row r="152" spans="1:24" s="346" customFormat="1" ht="13.9" customHeight="1">
      <c r="B152" s="346" t="s">
        <v>1497</v>
      </c>
      <c r="G152" s="1355" t="s">
        <v>1727</v>
      </c>
      <c r="H152" s="2524" t="s">
        <v>4763</v>
      </c>
      <c r="I152" s="2525"/>
      <c r="J152" s="3006">
        <v>1.3</v>
      </c>
      <c r="K152" s="3007"/>
      <c r="M152" s="3008"/>
      <c r="N152" s="3008"/>
      <c r="P152" s="3006">
        <v>1.3</v>
      </c>
      <c r="Q152" s="3007"/>
      <c r="V152" s="1432"/>
      <c r="W152" s="2936"/>
      <c r="X152" s="2937"/>
    </row>
    <row r="153" spans="1:24" s="346" customFormat="1" ht="13.9" customHeight="1">
      <c r="B153" s="346" t="s">
        <v>2070</v>
      </c>
      <c r="J153" s="3003">
        <f>J151*J152</f>
        <v>23899781.883029338</v>
      </c>
      <c r="K153" s="3004"/>
      <c r="M153" s="3003">
        <f>+M151</f>
        <v>0</v>
      </c>
      <c r="N153" s="3004"/>
      <c r="P153" s="3003">
        <f>P151*P152</f>
        <v>0</v>
      </c>
      <c r="Q153" s="3004"/>
      <c r="V153" s="1432"/>
      <c r="W153" s="2936"/>
      <c r="X153" s="2937"/>
    </row>
    <row r="154" spans="1:24" s="346" customFormat="1" ht="13.9" customHeight="1">
      <c r="B154" s="346" t="s">
        <v>2558</v>
      </c>
      <c r="J154" s="3009">
        <f>MIN('Part VI-Revenues &amp; Expenses'!$O$58/'Part VI-Revenues &amp; Expenses'!$O$60,'Part VI-Revenues &amp; Expenses'!$O$115/'Part VI-Revenues &amp; Expenses'!$O$117)</f>
        <v>1</v>
      </c>
      <c r="K154" s="3010"/>
      <c r="M154" s="3009">
        <f>MIN('Part VI-Revenues &amp; Expenses'!$O$58/'Part VI-Revenues &amp; Expenses'!$O$60,'Part VI-Revenues &amp; Expenses'!$O$115/'Part VI-Revenues &amp; Expenses'!$O$117)</f>
        <v>1</v>
      </c>
      <c r="N154" s="3010"/>
      <c r="P154" s="3009">
        <f>MIN('Part VI-Revenues &amp; Expenses'!$O$58/'Part VI-Revenues &amp; Expenses'!$O$60,'Part VI-Revenues &amp; Expenses'!$O$115/'Part VI-Revenues &amp; Expenses'!$O$117)</f>
        <v>1</v>
      </c>
      <c r="Q154" s="3010"/>
      <c r="V154" s="1432"/>
      <c r="W154" s="2936"/>
      <c r="X154" s="2937"/>
    </row>
    <row r="155" spans="1:24" s="346" customFormat="1" ht="13.9" customHeight="1">
      <c r="B155" s="346" t="s">
        <v>2061</v>
      </c>
      <c r="J155" s="3003">
        <f>J153*J154</f>
        <v>23899781.883029338</v>
      </c>
      <c r="K155" s="3004"/>
      <c r="M155" s="3003">
        <f>M153*M154</f>
        <v>0</v>
      </c>
      <c r="N155" s="3004"/>
      <c r="P155" s="3003">
        <f>P153*P154</f>
        <v>0</v>
      </c>
      <c r="Q155" s="3004"/>
      <c r="V155" s="1432"/>
      <c r="W155" s="2936"/>
      <c r="X155" s="2937"/>
    </row>
    <row r="156" spans="1:24" s="346" customFormat="1" ht="13.9" customHeight="1">
      <c r="B156" s="346" t="s">
        <v>2062</v>
      </c>
      <c r="J156" s="3006">
        <v>3.2000000000000001E-2</v>
      </c>
      <c r="K156" s="3007"/>
      <c r="M156" s="3006">
        <v>3.2000000000000001E-2</v>
      </c>
      <c r="N156" s="3007"/>
      <c r="P156" s="3006">
        <v>3.2000000000000001E-2</v>
      </c>
      <c r="Q156" s="3007"/>
      <c r="V156" s="1432"/>
      <c r="W156" s="2936"/>
      <c r="X156" s="2937"/>
    </row>
    <row r="157" spans="1:24" s="346" customFormat="1" ht="13.9" customHeight="1" thickBot="1">
      <c r="B157" s="346" t="s">
        <v>2559</v>
      </c>
      <c r="J157" s="3011">
        <f>J155*J156</f>
        <v>764793.02025693888</v>
      </c>
      <c r="K157" s="3012"/>
      <c r="M157" s="3011">
        <f>M155*M156</f>
        <v>0</v>
      </c>
      <c r="N157" s="3012"/>
      <c r="P157" s="3011">
        <f>P155*P156</f>
        <v>0</v>
      </c>
      <c r="Q157" s="3012"/>
      <c r="V157" s="1439"/>
      <c r="W157" s="2977"/>
      <c r="X157" s="2978"/>
    </row>
    <row r="158" spans="1:24" s="346" customFormat="1" ht="13.9" customHeight="1" thickBot="1">
      <c r="B158" s="348" t="s">
        <v>1436</v>
      </c>
      <c r="J158" s="2903">
        <f>J157+M157+P157</f>
        <v>764793.02025693888</v>
      </c>
      <c r="K158" s="2993"/>
      <c r="L158" s="2993"/>
      <c r="M158" s="2993"/>
      <c r="N158" s="2993"/>
      <c r="O158" s="2993"/>
      <c r="P158" s="2993"/>
      <c r="Q158" s="2904"/>
      <c r="V158" s="1434"/>
      <c r="W158" s="1430"/>
      <c r="X158" s="1431"/>
    </row>
    <row r="159" spans="1:24" s="346" customFormat="1" ht="6" customHeight="1">
      <c r="B159" s="439"/>
      <c r="L159" s="440"/>
      <c r="M159" s="440"/>
      <c r="N159" s="440"/>
      <c r="O159" s="440"/>
      <c r="V159" s="1435"/>
    </row>
    <row r="160" spans="1:24" s="346" customFormat="1" ht="13.9"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3044" t="str">
        <f>IF(J163&gt;J162,"TDC exceeds QAP PUCL!","")</f>
        <v/>
      </c>
      <c r="H162" s="3044"/>
      <c r="I162" s="3045"/>
      <c r="J162" s="3040">
        <f>'Part VIII-Threshold Criteria'!$P$63</f>
        <v>23207500</v>
      </c>
      <c r="K162" s="3041"/>
      <c r="L162" s="3042"/>
      <c r="M162" s="3021" t="s">
        <v>2764</v>
      </c>
      <c r="N162" s="3046"/>
      <c r="O162" s="3046"/>
      <c r="P162" s="3046"/>
      <c r="Q162" s="3046"/>
      <c r="R162" s="3022"/>
      <c r="S162" s="3021" t="s">
        <v>3703</v>
      </c>
      <c r="T162" s="3022"/>
      <c r="V162" s="1432"/>
      <c r="W162" s="2936"/>
      <c r="X162" s="2937"/>
    </row>
    <row r="163" spans="1:24" s="346" customFormat="1" ht="13.9" customHeight="1">
      <c r="B163" s="346" t="s">
        <v>2766</v>
      </c>
      <c r="J163" s="3025">
        <f>MIN(G132,J162,(G132-O165))</f>
        <v>20706223.689910028</v>
      </c>
      <c r="K163" s="3026"/>
      <c r="L163" s="3027"/>
      <c r="M163" s="3023"/>
      <c r="N163" s="3047"/>
      <c r="O163" s="3047"/>
      <c r="P163" s="3047"/>
      <c r="Q163" s="3047"/>
      <c r="R163" s="3024"/>
      <c r="S163" s="3023"/>
      <c r="T163" s="3024"/>
      <c r="V163" s="1432"/>
      <c r="W163" s="2936"/>
      <c r="X163" s="2937"/>
    </row>
    <row r="164" spans="1:24" s="346" customFormat="1" ht="13.9" customHeight="1">
      <c r="B164" s="346" t="s">
        <v>265</v>
      </c>
      <c r="J164" s="3003">
        <f>'Part III-Sources of Funds'!$I$58-'Part III-Sources of Funds'!$I$41-'Part III-Sources of Funds'!$I$42-'Part III-Sources of Funds'!$I$49-'Part III-Sources of Funds'!$I$50</f>
        <v>8510787</v>
      </c>
      <c r="K164" s="3005"/>
      <c r="L164" s="3028"/>
      <c r="M164" s="3023"/>
      <c r="N164" s="3047"/>
      <c r="O164" s="3047"/>
      <c r="P164" s="3047"/>
      <c r="Q164" s="3047"/>
      <c r="R164" s="3024"/>
      <c r="S164" s="3023"/>
      <c r="T164" s="3024"/>
      <c r="V164" s="1432"/>
      <c r="W164" s="2936"/>
      <c r="X164" s="2937"/>
    </row>
    <row r="165" spans="1:24" s="346" customFormat="1" ht="13.9" customHeight="1" thickBot="1">
      <c r="B165" s="346" t="s">
        <v>2248</v>
      </c>
      <c r="J165" s="3003">
        <f>+J163-J164</f>
        <v>12195436.689910028</v>
      </c>
      <c r="K165" s="3005"/>
      <c r="L165" s="3028"/>
      <c r="M165" s="3029" t="s">
        <v>2765</v>
      </c>
      <c r="N165" s="3030"/>
      <c r="O165" s="3031">
        <f>'Part III-Sources of Funds'!$I$41</f>
        <v>0</v>
      </c>
      <c r="P165" s="3031"/>
      <c r="Q165" s="3031"/>
      <c r="R165" s="3032"/>
      <c r="S165" s="496" t="s">
        <v>1675</v>
      </c>
      <c r="T165" s="497" t="s">
        <v>3014</v>
      </c>
      <c r="V165" s="1432"/>
      <c r="W165" s="2936"/>
      <c r="X165" s="2937"/>
    </row>
    <row r="166" spans="1:24" s="346" customFormat="1" ht="13.9" customHeight="1">
      <c r="B166" s="346" t="s">
        <v>1298</v>
      </c>
      <c r="J166" s="3033" t="str">
        <f>"/ 10"</f>
        <v>/ 10</v>
      </c>
      <c r="K166" s="3033"/>
      <c r="L166" s="3033"/>
      <c r="M166" s="1362"/>
      <c r="N166" s="571"/>
      <c r="O166" s="571"/>
      <c r="P166" s="571"/>
      <c r="Q166" s="571"/>
      <c r="R166" s="571"/>
      <c r="V166" s="1435"/>
      <c r="W166" s="2936"/>
      <c r="X166" s="2937"/>
    </row>
    <row r="167" spans="1:24" s="346" customFormat="1" ht="13.9" customHeight="1">
      <c r="B167" s="346" t="s">
        <v>1299</v>
      </c>
      <c r="J167" s="3003">
        <f>J165/10</f>
        <v>1219543.6689910027</v>
      </c>
      <c r="K167" s="3005"/>
      <c r="L167" s="3004"/>
      <c r="M167" s="367"/>
      <c r="N167" s="2590" t="s">
        <v>1300</v>
      </c>
      <c r="O167" s="2590"/>
      <c r="Q167" s="2590" t="s">
        <v>1812</v>
      </c>
      <c r="R167" s="2590"/>
      <c r="V167" s="1432"/>
      <c r="W167" s="2936"/>
      <c r="X167" s="2937"/>
    </row>
    <row r="168" spans="1:24" s="346" customFormat="1" ht="13.9" customHeight="1" thickBot="1">
      <c r="B168" s="346" t="s">
        <v>1496</v>
      </c>
      <c r="J168" s="3013">
        <f>N168+Q168</f>
        <v>1.56</v>
      </c>
      <c r="K168" s="3014"/>
      <c r="L168" s="3015"/>
      <c r="M168" s="1355" t="s">
        <v>1301</v>
      </c>
      <c r="N168" s="3016">
        <v>0.98</v>
      </c>
      <c r="O168" s="3017"/>
      <c r="P168" s="1355" t="s">
        <v>618</v>
      </c>
      <c r="Q168" s="3016">
        <v>0.57999999999999996</v>
      </c>
      <c r="R168" s="3017"/>
      <c r="V168" s="1432"/>
      <c r="W168" s="2936"/>
      <c r="X168" s="2937"/>
    </row>
    <row r="169" spans="1:24" s="346" customFormat="1" ht="13.9" customHeight="1" thickBot="1">
      <c r="B169" s="348" t="s">
        <v>1437</v>
      </c>
      <c r="J169" s="2903">
        <f>IF(J168=0,"",J167/J168)</f>
        <v>781758.7621737197</v>
      </c>
      <c r="K169" s="2993"/>
      <c r="L169" s="2904"/>
      <c r="M169" s="367"/>
      <c r="N169" s="1362"/>
      <c r="O169" s="1362"/>
      <c r="V169" s="1432"/>
      <c r="W169" s="2936"/>
      <c r="X169" s="2937"/>
    </row>
    <row r="170" spans="1:24" s="346" customFormat="1" ht="6" customHeight="1">
      <c r="J170" s="441"/>
      <c r="K170" s="441"/>
      <c r="L170" s="441"/>
      <c r="M170" s="367"/>
      <c r="N170" s="1369"/>
      <c r="O170" s="1369"/>
      <c r="V170" s="1435"/>
      <c r="W170" s="2936"/>
      <c r="X170" s="2937"/>
    </row>
    <row r="171" spans="1:24" s="346" customFormat="1" ht="16.149999999999999" customHeight="1">
      <c r="B171" s="348" t="s">
        <v>2920</v>
      </c>
      <c r="J171" s="301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764793.02025693888</v>
      </c>
      <c r="K171" s="3019"/>
      <c r="L171" s="3020"/>
      <c r="M171" s="367"/>
      <c r="N171" s="1369"/>
      <c r="O171" s="1369"/>
      <c r="V171" s="1432"/>
      <c r="W171" s="2936"/>
      <c r="X171" s="2937"/>
    </row>
    <row r="172" spans="1:24" s="346" customFormat="1" ht="3" customHeight="1">
      <c r="J172" s="441"/>
      <c r="K172" s="441"/>
      <c r="L172" s="441"/>
      <c r="M172" s="367"/>
      <c r="N172" s="1369"/>
      <c r="O172" s="1369"/>
      <c r="V172" s="1435"/>
      <c r="W172" s="1428"/>
      <c r="X172" s="1429"/>
    </row>
    <row r="173" spans="1:24" s="346" customFormat="1" ht="16.149999999999999" customHeight="1">
      <c r="B173" s="348" t="s">
        <v>351</v>
      </c>
      <c r="J173" s="3034">
        <v>764793</v>
      </c>
      <c r="K173" s="3035"/>
      <c r="L173" s="3036"/>
      <c r="M173" s="442" t="str">
        <f>IF(J171=0,"",IF(J173&gt;J171,"ALLOCATION CANNOT EXCEED MAXIMUM - REVISE REQUEST!",""))</f>
        <v/>
      </c>
      <c r="N173" s="1369"/>
      <c r="O173" s="1369"/>
      <c r="V173" s="1432"/>
      <c r="W173" s="2936"/>
      <c r="X173" s="2937"/>
    </row>
    <row r="174" spans="1:24" s="346" customFormat="1" ht="3" customHeight="1">
      <c r="J174" s="441"/>
      <c r="K174" s="441"/>
      <c r="L174" s="441"/>
      <c r="M174" s="367"/>
      <c r="N174" s="1369"/>
      <c r="O174" s="1369"/>
      <c r="V174" s="1435"/>
      <c r="W174" s="1428"/>
      <c r="X174" s="1429"/>
    </row>
    <row r="175" spans="1:24" s="346" customFormat="1" ht="16.149999999999999" customHeight="1">
      <c r="A175" s="515" t="s">
        <v>1805</v>
      </c>
      <c r="B175" s="515" t="s">
        <v>2637</v>
      </c>
      <c r="D175" s="367"/>
      <c r="E175" s="367"/>
      <c r="F175" s="351"/>
      <c r="J175" s="3037">
        <f>IF(J173="",0,+MIN(J171,J173))</f>
        <v>764793</v>
      </c>
      <c r="K175" s="3038"/>
      <c r="L175" s="3039"/>
      <c r="N175" s="443"/>
      <c r="O175" s="443"/>
      <c r="P175" s="443"/>
      <c r="Q175" s="443"/>
      <c r="R175" s="443"/>
      <c r="S175" s="443"/>
      <c r="T175" s="443"/>
      <c r="V175" s="1432"/>
      <c r="W175" s="2936"/>
      <c r="X175" s="2937"/>
    </row>
    <row r="176" spans="1:24" ht="3" customHeight="1"/>
    <row r="177" spans="1:24" ht="6" customHeight="1"/>
    <row r="178" spans="1:24" ht="12" customHeight="1">
      <c r="A178" s="348" t="s">
        <v>1807</v>
      </c>
      <c r="B178" s="377" t="s">
        <v>577</v>
      </c>
      <c r="N178" s="348" t="s">
        <v>535</v>
      </c>
      <c r="O178" s="348" t="s">
        <v>80</v>
      </c>
    </row>
    <row r="179" spans="1:24" ht="352.5" customHeight="1">
      <c r="A179" s="2687" t="s">
        <v>4764</v>
      </c>
      <c r="B179" s="2688"/>
      <c r="C179" s="2688"/>
      <c r="D179" s="2688"/>
      <c r="E179" s="2688"/>
      <c r="F179" s="2688"/>
      <c r="G179" s="2688"/>
      <c r="H179" s="2688"/>
      <c r="I179" s="2688"/>
      <c r="J179" s="2688"/>
      <c r="K179" s="2688"/>
      <c r="L179" s="2688"/>
      <c r="M179" s="2689"/>
      <c r="N179" s="3043"/>
      <c r="O179" s="3043"/>
      <c r="P179" s="3043"/>
      <c r="Q179" s="3043"/>
      <c r="R179" s="3043"/>
      <c r="S179" s="3043"/>
      <c r="T179" s="3043"/>
      <c r="V179" s="1204"/>
      <c r="W179" s="2897" t="s">
        <v>2710</v>
      </c>
      <c r="X179" s="2897"/>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49" t="str">
        <f>CONCATENATE("PART FOUR (b) -  OTHER COSTS","  -  ",'Part I-Project Information'!$O$6," - ",'Part I-Project Information'!$F$34,"  -  ",'Part I-Project Information'!$F$38,"  -  ",'Part I-Project Information'!$J$39,",  ","County")</f>
        <v>PART FOUR (b) -  OTHER COSTS  -  2018-0 - McIntosh Woods  -  Newnan  -  Coweta,  County</v>
      </c>
      <c r="B1" s="3050"/>
      <c r="C1" s="3050"/>
      <c r="D1" s="3050"/>
      <c r="E1" s="3050"/>
      <c r="F1" s="3050"/>
      <c r="G1" s="3050"/>
      <c r="H1" s="3050"/>
      <c r="I1" s="1167"/>
      <c r="J1" s="1167"/>
      <c r="K1" s="1167"/>
      <c r="L1" s="1167"/>
      <c r="M1" s="1167"/>
      <c r="N1" s="1167"/>
    </row>
    <row r="2" spans="1:14" ht="9" customHeight="1"/>
    <row r="3" spans="1:14" ht="57" customHeight="1">
      <c r="A3" s="3051" t="s">
        <v>3744</v>
      </c>
      <c r="B3" s="3052"/>
      <c r="C3" s="3052"/>
      <c r="D3" s="3052"/>
      <c r="E3" s="3052"/>
      <c r="F3" s="3052"/>
      <c r="G3" s="3052"/>
      <c r="H3" s="3053"/>
    </row>
    <row r="4" spans="1:14" ht="6" customHeight="1"/>
    <row r="5" spans="1:14" ht="38.25" customHeight="1">
      <c r="A5" s="3054" t="s">
        <v>3865</v>
      </c>
      <c r="B5" s="3054"/>
      <c r="C5" s="3054"/>
      <c r="D5" s="3054"/>
      <c r="F5" s="1168" t="s">
        <v>3735</v>
      </c>
      <c r="G5" s="692"/>
      <c r="H5" s="1168" t="s">
        <v>3736</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55" t="str">
        <f>'Part IV-A-Uses of Funds'!$C$14</f>
        <v>&lt;&lt; Enter description here; provide detail &amp; justification in tab Part IV-b &gt;&gt;</v>
      </c>
      <c r="B9" s="3056"/>
      <c r="C9" s="3056"/>
      <c r="D9" s="3057"/>
      <c r="F9" s="3061"/>
      <c r="G9" s="1171"/>
      <c r="H9" s="3061"/>
    </row>
    <row r="10" spans="1:14" s="1170" customFormat="1" ht="41.25" customHeight="1">
      <c r="A10" s="3058"/>
      <c r="B10" s="3059"/>
      <c r="C10" s="3059"/>
      <c r="D10" s="3060"/>
      <c r="F10" s="3062"/>
      <c r="G10" s="1171"/>
      <c r="H10" s="3062"/>
    </row>
    <row r="11" spans="1:14" s="1170" customFormat="1" ht="4.5" customHeight="1">
      <c r="F11" s="3062"/>
      <c r="G11" s="1171"/>
      <c r="H11" s="3062"/>
    </row>
    <row r="12" spans="1:14" s="1170" customFormat="1" ht="15" customHeight="1">
      <c r="A12" s="1180" t="s">
        <v>3738</v>
      </c>
      <c r="B12" s="1179">
        <f>'Part IV-A-Uses of Funds'!$G$14</f>
        <v>0</v>
      </c>
      <c r="C12" s="1180" t="s">
        <v>1803</v>
      </c>
      <c r="D12" s="1179">
        <f>'Part IV-A-Uses of Funds'!$J$14+'Part IV-A-Uses of Funds'!$M$14+'Part IV-A-Uses of Funds'!$P$14</f>
        <v>0</v>
      </c>
      <c r="F12" s="3062"/>
      <c r="G12" s="1171"/>
      <c r="H12" s="3062"/>
    </row>
    <row r="13" spans="1:14" s="1170" customFormat="1" ht="6" customHeight="1">
      <c r="A13" s="1171"/>
      <c r="B13" s="1172"/>
      <c r="C13" s="1171"/>
      <c r="D13" s="1171"/>
      <c r="F13" s="3062"/>
      <c r="G13" s="1173"/>
      <c r="H13" s="3062"/>
    </row>
    <row r="14" spans="1:14" s="1170" customFormat="1" ht="41.25" customHeight="1">
      <c r="A14" s="3055" t="str">
        <f>'Part IV-A-Uses of Funds'!$C$15</f>
        <v>&lt;&lt; Enter description here; provide detail &amp; justification in tab Part IV-b &gt;&gt;</v>
      </c>
      <c r="B14" s="3056"/>
      <c r="C14" s="3056"/>
      <c r="D14" s="3057"/>
      <c r="F14" s="3062"/>
      <c r="G14" s="1171"/>
      <c r="H14" s="3062"/>
    </row>
    <row r="15" spans="1:14" s="1170" customFormat="1" ht="41.25" customHeight="1">
      <c r="A15" s="3058"/>
      <c r="B15" s="3059"/>
      <c r="C15" s="3059"/>
      <c r="D15" s="3060"/>
      <c r="F15" s="3062"/>
      <c r="G15" s="1171"/>
      <c r="H15" s="3062"/>
    </row>
    <row r="16" spans="1:14" s="1170" customFormat="1" ht="4.5" customHeight="1">
      <c r="F16" s="3062"/>
      <c r="G16" s="1171"/>
      <c r="H16" s="3062"/>
    </row>
    <row r="17" spans="1:8" s="1170" customFormat="1" ht="15" customHeight="1">
      <c r="A17" s="1180" t="s">
        <v>3738</v>
      </c>
      <c r="B17" s="1179">
        <f>'Part IV-A-Uses of Funds'!$G$15</f>
        <v>0</v>
      </c>
      <c r="C17" s="1180" t="s">
        <v>1803</v>
      </c>
      <c r="D17" s="1179">
        <f>'Part IV-A-Uses of Funds'!$J$15+'Part IV-A-Uses of Funds'!$M$15+'Part IV-A-Uses of Funds'!$P$15</f>
        <v>0</v>
      </c>
      <c r="F17" s="3062"/>
      <c r="G17" s="1171"/>
      <c r="H17" s="3062"/>
    </row>
    <row r="18" spans="1:8" s="1170" customFormat="1" ht="6" customHeight="1">
      <c r="A18" s="1171"/>
      <c r="B18" s="1172"/>
      <c r="C18" s="1171"/>
      <c r="D18" s="1171"/>
      <c r="F18" s="3062"/>
      <c r="G18" s="1173"/>
      <c r="H18" s="3062"/>
    </row>
    <row r="19" spans="1:8" s="1170" customFormat="1" ht="41.25" customHeight="1">
      <c r="A19" s="3055" t="str">
        <f>'Part IV-A-Uses of Funds'!$C$16</f>
        <v>&lt;&lt; Enter description here; provide detail &amp; justification in tab Part IV-b &gt;&gt;</v>
      </c>
      <c r="B19" s="3056"/>
      <c r="C19" s="3056"/>
      <c r="D19" s="3057"/>
      <c r="F19" s="3062"/>
      <c r="G19" s="1171"/>
      <c r="H19" s="3062"/>
    </row>
    <row r="20" spans="1:8" s="1170" customFormat="1" ht="41.25" customHeight="1">
      <c r="A20" s="3058"/>
      <c r="B20" s="3059"/>
      <c r="C20" s="3059"/>
      <c r="D20" s="3060"/>
      <c r="F20" s="3062"/>
      <c r="G20" s="1171"/>
      <c r="H20" s="3062"/>
    </row>
    <row r="21" spans="1:8" s="1170" customFormat="1" ht="4.5" customHeight="1">
      <c r="F21" s="3062"/>
      <c r="G21" s="1171"/>
      <c r="H21" s="3062"/>
    </row>
    <row r="22" spans="1:8" s="1170" customFormat="1" ht="15" customHeight="1">
      <c r="A22" s="1180" t="s">
        <v>3738</v>
      </c>
      <c r="B22" s="1179">
        <f>'Part IV-A-Uses of Funds'!$G$16</f>
        <v>0</v>
      </c>
      <c r="C22" s="1180" t="s">
        <v>1803</v>
      </c>
      <c r="D22" s="1179">
        <f>'Part IV-A-Uses of Funds'!$J$16+'Part IV-A-Uses of Funds'!$M$16+'Part IV-A-Uses of Funds'!$P$16</f>
        <v>0</v>
      </c>
      <c r="F22" s="3062"/>
      <c r="G22" s="1171"/>
      <c r="H22" s="3062"/>
    </row>
    <row r="23" spans="1:8" s="1170" customFormat="1" ht="6" customHeight="1">
      <c r="A23" s="1171"/>
      <c r="B23" s="1172"/>
      <c r="C23" s="1171"/>
      <c r="D23" s="1171"/>
      <c r="F23" s="3063"/>
      <c r="G23" s="1173"/>
      <c r="H23" s="3063"/>
    </row>
    <row r="24" spans="1:8" s="1170" customFormat="1">
      <c r="A24" s="1181" t="s">
        <v>3737</v>
      </c>
      <c r="B24" s="1171"/>
      <c r="C24" s="1171"/>
      <c r="D24" s="1171"/>
      <c r="E24" s="1171"/>
      <c r="F24" s="1171"/>
      <c r="G24" s="1171"/>
    </row>
    <row r="25" spans="1:8" s="1170" customFormat="1" ht="41.25" customHeight="1">
      <c r="A25" s="3055" t="str">
        <f>'Part IV-A-Uses of Funds'!$C$41</f>
        <v>&lt;&lt; Enter description here; provide detail &amp; justification in tab Part IV-b &gt;&gt;</v>
      </c>
      <c r="B25" s="3056"/>
      <c r="C25" s="3056"/>
      <c r="D25" s="3057"/>
      <c r="E25" s="1171"/>
      <c r="F25" s="3064"/>
      <c r="G25" s="1171"/>
      <c r="H25" s="3064"/>
    </row>
    <row r="26" spans="1:8" s="1170" customFormat="1" ht="41.25" customHeight="1">
      <c r="A26" s="3058"/>
      <c r="B26" s="3059"/>
      <c r="C26" s="3059"/>
      <c r="D26" s="3060"/>
      <c r="E26" s="1171"/>
      <c r="F26" s="3065"/>
      <c r="G26" s="1171"/>
      <c r="H26" s="3065"/>
    </row>
    <row r="27" spans="1:8" s="1170" customFormat="1" ht="4.5" customHeight="1">
      <c r="A27" s="1171"/>
      <c r="B27" s="1171"/>
      <c r="C27" s="1171"/>
      <c r="D27" s="1171"/>
      <c r="E27" s="1171"/>
      <c r="F27" s="3065"/>
      <c r="G27" s="1171"/>
      <c r="H27" s="3065"/>
    </row>
    <row r="28" spans="1:8" s="1170" customFormat="1" ht="25.5">
      <c r="A28" s="1180" t="s">
        <v>3738</v>
      </c>
      <c r="B28" s="1179">
        <f>'Part IV-A-Uses of Funds'!$G$41</f>
        <v>0</v>
      </c>
      <c r="C28" s="1180" t="s">
        <v>1803</v>
      </c>
      <c r="D28" s="1179">
        <f>'Part IV-A-Uses of Funds'!$J$41+'Part IV-A-Uses of Funds'!$M$41+'Part IV-A-Uses of Funds'!$P$41</f>
        <v>0</v>
      </c>
      <c r="E28" s="1171"/>
      <c r="F28" s="3065"/>
      <c r="G28" s="1171"/>
      <c r="H28" s="3065"/>
    </row>
    <row r="29" spans="1:8" s="1170" customFormat="1" ht="6" customHeight="1">
      <c r="A29" s="1171"/>
      <c r="B29" s="1172"/>
      <c r="C29" s="1171"/>
      <c r="D29" s="1171"/>
      <c r="E29" s="1171"/>
      <c r="F29" s="3066"/>
      <c r="G29" s="1173"/>
      <c r="H29" s="3066"/>
    </row>
    <row r="30" spans="1:8" s="1170" customFormat="1">
      <c r="A30" s="1181" t="s">
        <v>730</v>
      </c>
      <c r="B30" s="1171"/>
      <c r="C30" s="1171"/>
      <c r="D30" s="1171"/>
      <c r="E30" s="1171"/>
      <c r="F30" s="1171"/>
      <c r="G30" s="1171"/>
    </row>
    <row r="31" spans="1:8" s="1170" customFormat="1" ht="41.25" customHeight="1">
      <c r="A31" s="3067" t="str">
        <f>'Part IV-A-Uses of Funds'!$C$62</f>
        <v>&lt;&lt; Enter description here; provide detail &amp; justification in tab Part IV-b &gt;&gt;</v>
      </c>
      <c r="B31" s="3068"/>
      <c r="C31" s="3068"/>
      <c r="D31" s="3069"/>
      <c r="E31" s="1171"/>
      <c r="F31" s="3061"/>
      <c r="G31" s="1171"/>
      <c r="H31" s="3061"/>
    </row>
    <row r="32" spans="1:8" s="1170" customFormat="1" ht="41.25" customHeight="1">
      <c r="A32" s="3058"/>
      <c r="B32" s="3059"/>
      <c r="C32" s="3059"/>
      <c r="D32" s="3060"/>
      <c r="E32" s="1171"/>
      <c r="F32" s="3062"/>
      <c r="G32" s="1171"/>
      <c r="H32" s="3062"/>
    </row>
    <row r="33" spans="1:8" s="1170" customFormat="1" ht="4.5" customHeight="1">
      <c r="A33" s="1171"/>
      <c r="B33" s="1171"/>
      <c r="C33" s="1171"/>
      <c r="D33" s="1171"/>
      <c r="E33" s="1171"/>
      <c r="F33" s="3062"/>
      <c r="G33" s="1171"/>
      <c r="H33" s="3062"/>
    </row>
    <row r="34" spans="1:8" s="1170" customFormat="1" ht="14.25" customHeight="1">
      <c r="A34" s="1180" t="s">
        <v>3738</v>
      </c>
      <c r="B34" s="1179">
        <f>'Part IV-A-Uses of Funds'!$G$62</f>
        <v>0</v>
      </c>
      <c r="C34" s="1180" t="s">
        <v>1803</v>
      </c>
      <c r="D34" s="1179">
        <f>'Part IV-A-Uses of Funds'!$J$62+'Part IV-A-Uses of Funds'!$M$62+'Part IV-A-Uses of Funds'!$P$62</f>
        <v>0</v>
      </c>
      <c r="E34" s="1171"/>
      <c r="F34" s="3062"/>
      <c r="G34" s="1171"/>
      <c r="H34" s="3062"/>
    </row>
    <row r="35" spans="1:8" s="1170" customFormat="1" ht="6" customHeight="1">
      <c r="D35" s="1171"/>
      <c r="E35" s="1171"/>
      <c r="F35" s="3062"/>
      <c r="G35" s="1173"/>
      <c r="H35" s="3062"/>
    </row>
    <row r="36" spans="1:8" s="1170" customFormat="1" ht="41.25" customHeight="1">
      <c r="A36" s="3067" t="str">
        <f>'Part IV-A-Uses of Funds'!$C$63</f>
        <v>&lt;&lt; Enter description here; provide detail &amp; justification in tab Part IV-b &gt;&gt;</v>
      </c>
      <c r="B36" s="3068"/>
      <c r="C36" s="3068"/>
      <c r="D36" s="3069"/>
      <c r="E36" s="1171"/>
      <c r="F36" s="3062"/>
      <c r="G36" s="1171"/>
      <c r="H36" s="3062"/>
    </row>
    <row r="37" spans="1:8" s="1170" customFormat="1" ht="41.25" customHeight="1">
      <c r="A37" s="3058"/>
      <c r="B37" s="3059"/>
      <c r="C37" s="3059"/>
      <c r="D37" s="3060"/>
      <c r="E37" s="1171"/>
      <c r="F37" s="3062"/>
      <c r="G37" s="1171"/>
      <c r="H37" s="3062"/>
    </row>
    <row r="38" spans="1:8" s="1170" customFormat="1" ht="4.5" customHeight="1">
      <c r="A38" s="1171"/>
      <c r="B38" s="1171"/>
      <c r="C38" s="1171"/>
      <c r="D38" s="1171"/>
      <c r="E38" s="1171"/>
      <c r="F38" s="3062"/>
      <c r="G38" s="1171"/>
      <c r="H38" s="3062"/>
    </row>
    <row r="39" spans="1:8" s="1170" customFormat="1" ht="14.25" customHeight="1">
      <c r="A39" s="1180" t="s">
        <v>3738</v>
      </c>
      <c r="B39" s="1179">
        <f>'Part IV-A-Uses of Funds'!$G$63</f>
        <v>0</v>
      </c>
      <c r="C39" s="1180" t="s">
        <v>1803</v>
      </c>
      <c r="D39" s="1179">
        <f>'Part IV-A-Uses of Funds'!$J$63+'Part IV-A-Uses of Funds'!$M$63+'Part IV-A-Uses of Funds'!$P$63</f>
        <v>0</v>
      </c>
      <c r="E39" s="1171"/>
      <c r="F39" s="3062"/>
      <c r="G39" s="1171"/>
      <c r="H39" s="3062"/>
    </row>
    <row r="40" spans="1:8" s="1170" customFormat="1" ht="6" customHeight="1">
      <c r="D40" s="1171"/>
      <c r="E40" s="1171"/>
      <c r="F40" s="3063"/>
      <c r="G40" s="1173"/>
      <c r="H40" s="3063"/>
    </row>
    <row r="41" spans="1:8" s="1170" customFormat="1">
      <c r="A41" s="1181" t="s">
        <v>480</v>
      </c>
      <c r="B41" s="1171"/>
      <c r="C41" s="1171"/>
      <c r="D41" s="1171"/>
      <c r="E41" s="1175"/>
      <c r="F41" s="1175"/>
      <c r="G41" s="1171"/>
    </row>
    <row r="42" spans="1:8" s="1170" customFormat="1" ht="41.25" customHeight="1">
      <c r="A42" s="3067" t="str">
        <f>'Part IV-A-Uses of Funds'!$C$76</f>
        <v>&lt;&lt; Enter description here; provide detail &amp; justification in tab Part IV-b &gt;&gt;</v>
      </c>
      <c r="B42" s="3068"/>
      <c r="C42" s="3068"/>
      <c r="D42" s="3069"/>
      <c r="F42" s="3064"/>
      <c r="G42" s="1171"/>
      <c r="H42" s="3064"/>
    </row>
    <row r="43" spans="1:8" s="1170" customFormat="1" ht="41.25" customHeight="1">
      <c r="A43" s="3058"/>
      <c r="B43" s="3059"/>
      <c r="C43" s="3059"/>
      <c r="D43" s="3060"/>
      <c r="E43" s="1171"/>
      <c r="F43" s="3065"/>
      <c r="G43" s="1171"/>
      <c r="H43" s="3065"/>
    </row>
    <row r="44" spans="1:8" s="1170" customFormat="1" ht="4.5" customHeight="1">
      <c r="A44" s="1171"/>
      <c r="B44" s="1171"/>
      <c r="C44" s="1171"/>
      <c r="D44" s="1171"/>
      <c r="E44" s="1171"/>
      <c r="F44" s="3065"/>
      <c r="G44" s="1171"/>
      <c r="H44" s="3065"/>
    </row>
    <row r="45" spans="1:8" s="1170" customFormat="1" ht="13.5" customHeight="1">
      <c r="A45" s="1180" t="s">
        <v>3738</v>
      </c>
      <c r="B45" s="1179">
        <f>'Part IV-A-Uses of Funds'!$G$76</f>
        <v>0</v>
      </c>
      <c r="C45" s="1180" t="s">
        <v>1803</v>
      </c>
      <c r="D45" s="1179">
        <f>'Part IV-A-Uses of Funds'!$J$76+'Part IV-A-Uses of Funds'!$M$76+'Part IV-A-Uses of Funds'!$P$76</f>
        <v>0</v>
      </c>
      <c r="E45" s="1171"/>
      <c r="F45" s="3065"/>
      <c r="G45" s="1171"/>
      <c r="H45" s="3065"/>
    </row>
    <row r="46" spans="1:8" s="1170" customFormat="1" ht="6" customHeight="1">
      <c r="A46" s="1171"/>
      <c r="B46" s="1172"/>
      <c r="C46" s="1171"/>
      <c r="D46" s="1171"/>
      <c r="E46" s="1171"/>
      <c r="F46" s="3066"/>
      <c r="G46" s="1173"/>
      <c r="H46" s="3066"/>
    </row>
    <row r="47" spans="1:8" s="1170" customFormat="1">
      <c r="A47" s="1181" t="s">
        <v>732</v>
      </c>
      <c r="B47" s="1171"/>
      <c r="C47" s="1171"/>
      <c r="D47" s="1171"/>
      <c r="E47" s="1171"/>
      <c r="F47" s="1171"/>
      <c r="G47" s="1171"/>
    </row>
    <row r="48" spans="1:8" s="1170" customFormat="1" ht="41.25" customHeight="1">
      <c r="A48" s="3067" t="str">
        <f>'Part IV-A-Uses of Funds'!$C$90</f>
        <v>&lt;&lt; Enter description here; provide detail &amp; justification in tab Part IV-b &gt;&gt;</v>
      </c>
      <c r="B48" s="3068"/>
      <c r="C48" s="3068"/>
      <c r="D48" s="3069"/>
      <c r="F48" s="3064"/>
      <c r="G48" s="1171"/>
    </row>
    <row r="49" spans="1:7" s="1170" customFormat="1" ht="41.25" customHeight="1">
      <c r="A49" s="3058"/>
      <c r="B49" s="3059"/>
      <c r="C49" s="3059"/>
      <c r="D49" s="3060"/>
      <c r="E49" s="1171"/>
      <c r="F49" s="3065"/>
      <c r="G49" s="1171"/>
    </row>
    <row r="50" spans="1:7" s="1170" customFormat="1" ht="3" customHeight="1">
      <c r="A50" s="1171"/>
      <c r="B50" s="1171"/>
      <c r="C50" s="1171"/>
      <c r="D50" s="1171"/>
      <c r="E50" s="1171"/>
      <c r="F50" s="3065"/>
      <c r="G50" s="1171"/>
    </row>
    <row r="51" spans="1:7" s="1170" customFormat="1" ht="13.5" customHeight="1">
      <c r="A51" s="1180" t="s">
        <v>3738</v>
      </c>
      <c r="B51" s="1179">
        <f>'Part IV-A-Uses of Funds'!$G$90</f>
        <v>0</v>
      </c>
      <c r="C51" s="1174"/>
      <c r="D51" s="1174"/>
      <c r="E51" s="1171"/>
      <c r="F51" s="3065"/>
      <c r="G51" s="1171"/>
    </row>
    <row r="52" spans="1:7" s="1170" customFormat="1" ht="3.75" customHeight="1">
      <c r="A52" s="1171"/>
      <c r="B52" s="1171"/>
      <c r="C52" s="1171"/>
      <c r="D52" s="1171"/>
      <c r="E52" s="1171"/>
      <c r="F52" s="3066"/>
      <c r="G52" s="1173"/>
    </row>
    <row r="53" spans="1:7" s="1170" customFormat="1">
      <c r="A53" s="1181" t="s">
        <v>3739</v>
      </c>
      <c r="B53" s="1171"/>
      <c r="C53" s="1171"/>
      <c r="D53" s="1171"/>
      <c r="E53" s="1171"/>
      <c r="F53" s="1171"/>
      <c r="G53" s="1171"/>
    </row>
    <row r="54" spans="1:7" s="1170" customFormat="1" ht="41.25" customHeight="1">
      <c r="A54" s="3067" t="str">
        <f>'Part IV-A-Uses of Funds'!$C$103</f>
        <v>&lt;&lt; Enter description here; provide detail &amp; justification in tab Part IV-b &gt;&gt;</v>
      </c>
      <c r="B54" s="3068"/>
      <c r="C54" s="3068"/>
      <c r="D54" s="3069"/>
      <c r="F54" s="3061"/>
      <c r="G54" s="1171"/>
    </row>
    <row r="55" spans="1:7" s="1170" customFormat="1" ht="41.25" customHeight="1">
      <c r="A55" s="3058"/>
      <c r="B55" s="3059"/>
      <c r="C55" s="3059"/>
      <c r="D55" s="3060"/>
      <c r="E55" s="1171"/>
      <c r="F55" s="3062"/>
      <c r="G55" s="1171"/>
    </row>
    <row r="56" spans="1:7" s="1170" customFormat="1" ht="3" customHeight="1">
      <c r="A56" s="1171"/>
      <c r="B56" s="1171"/>
      <c r="C56" s="1171"/>
      <c r="D56" s="1171"/>
      <c r="E56" s="1171"/>
      <c r="F56" s="3062"/>
      <c r="G56" s="1171"/>
    </row>
    <row r="57" spans="1:7" s="1170" customFormat="1" ht="25.5">
      <c r="A57" s="1180" t="s">
        <v>3738</v>
      </c>
      <c r="B57" s="1179">
        <f>'Part IV-A-Uses of Funds'!$G$103</f>
        <v>0</v>
      </c>
      <c r="C57" s="1174"/>
      <c r="D57" s="1174"/>
      <c r="E57" s="1171"/>
      <c r="F57" s="3062"/>
      <c r="G57" s="1171"/>
    </row>
    <row r="58" spans="1:7" s="1170" customFormat="1" ht="3.75" customHeight="1">
      <c r="A58" s="1169"/>
      <c r="B58" s="1169"/>
      <c r="C58" s="1169"/>
      <c r="D58" s="1169"/>
      <c r="E58" s="1169"/>
      <c r="F58" s="3062"/>
      <c r="G58" s="1173"/>
    </row>
    <row r="59" spans="1:7" s="1170" customFormat="1" ht="41.25" customHeight="1">
      <c r="A59" s="3067" t="str">
        <f>'Part IV-A-Uses of Funds'!$C$104</f>
        <v>&lt;&lt; Enter description here; provide detail &amp; justification in tab Part IV-b &gt;&gt;</v>
      </c>
      <c r="B59" s="3068"/>
      <c r="C59" s="3068"/>
      <c r="D59" s="3069"/>
      <c r="F59" s="3062"/>
      <c r="G59" s="1171"/>
    </row>
    <row r="60" spans="1:7" s="1170" customFormat="1" ht="41.25" customHeight="1">
      <c r="A60" s="3058"/>
      <c r="B60" s="3059"/>
      <c r="C60" s="3059"/>
      <c r="D60" s="3060"/>
      <c r="E60" s="1171"/>
      <c r="F60" s="3062"/>
      <c r="G60" s="1171"/>
    </row>
    <row r="61" spans="1:7" s="1170" customFormat="1" ht="3" customHeight="1">
      <c r="A61" s="1171"/>
      <c r="B61" s="1171"/>
      <c r="C61" s="1171"/>
      <c r="D61" s="1171"/>
      <c r="E61" s="1171"/>
      <c r="F61" s="3062"/>
      <c r="G61" s="1171"/>
    </row>
    <row r="62" spans="1:7" s="1170" customFormat="1" ht="25.5">
      <c r="A62" s="1180" t="s">
        <v>3738</v>
      </c>
      <c r="B62" s="1179">
        <f>'Part IV-A-Uses of Funds'!$G$104</f>
        <v>0</v>
      </c>
      <c r="C62" s="1174"/>
      <c r="D62" s="1174"/>
      <c r="E62" s="1171"/>
      <c r="F62" s="3062"/>
      <c r="G62" s="1171"/>
    </row>
    <row r="63" spans="1:7" s="1170" customFormat="1" ht="3.75" customHeight="1">
      <c r="A63" s="1169"/>
      <c r="B63" s="1169"/>
      <c r="C63" s="1169"/>
      <c r="D63" s="1169"/>
      <c r="E63" s="1169"/>
      <c r="F63" s="3063"/>
      <c r="G63" s="1173"/>
    </row>
    <row r="64" spans="1:7" s="1170" customFormat="1">
      <c r="A64" s="1181" t="s">
        <v>3740</v>
      </c>
      <c r="B64" s="1171"/>
      <c r="C64" s="1171"/>
      <c r="D64" s="1171"/>
      <c r="E64" s="1171"/>
      <c r="F64" s="1171"/>
      <c r="G64" s="1171"/>
    </row>
    <row r="65" spans="1:8" s="1170" customFormat="1" ht="41.25" customHeight="1">
      <c r="A65" s="3067" t="str">
        <f>'Part IV-A-Uses of Funds'!$C$110</f>
        <v>&lt;&lt; Enter description here; provide detail &amp; justification in tab Part IV-b &gt;&gt;</v>
      </c>
      <c r="B65" s="3068"/>
      <c r="C65" s="3068"/>
      <c r="D65" s="3069"/>
      <c r="F65" s="3064"/>
      <c r="G65" s="1171"/>
    </row>
    <row r="66" spans="1:8" s="1170" customFormat="1" ht="41.25" customHeight="1">
      <c r="A66" s="3058"/>
      <c r="B66" s="3059"/>
      <c r="C66" s="3059"/>
      <c r="D66" s="3060"/>
      <c r="E66" s="1171"/>
      <c r="F66" s="3065"/>
      <c r="G66" s="1171"/>
    </row>
    <row r="67" spans="1:8" s="1170" customFormat="1" ht="3" customHeight="1">
      <c r="A67" s="1171"/>
      <c r="B67" s="1171"/>
      <c r="C67" s="1171"/>
      <c r="D67" s="1171"/>
      <c r="E67" s="1171"/>
      <c r="F67" s="3065"/>
      <c r="G67" s="1171"/>
    </row>
    <row r="68" spans="1:8" s="1170" customFormat="1" ht="25.5">
      <c r="A68" s="1180" t="s">
        <v>3738</v>
      </c>
      <c r="B68" s="1179">
        <f>'Part IV-A-Uses of Funds'!$G$110</f>
        <v>0</v>
      </c>
      <c r="C68" s="1174"/>
      <c r="D68" s="1174"/>
      <c r="E68" s="1171"/>
      <c r="F68" s="3065"/>
      <c r="G68" s="1171"/>
    </row>
    <row r="69" spans="1:8" s="1170" customFormat="1" ht="3.75" customHeight="1">
      <c r="A69" s="1171"/>
      <c r="B69" s="1172"/>
      <c r="C69" s="1171"/>
      <c r="D69" s="1171"/>
      <c r="E69" s="1171"/>
      <c r="F69" s="3066"/>
      <c r="G69" s="1173"/>
    </row>
    <row r="70" spans="1:8" s="1170" customFormat="1">
      <c r="A70" s="1181" t="s">
        <v>1321</v>
      </c>
      <c r="B70" s="1171"/>
      <c r="C70" s="1171"/>
      <c r="D70" s="1171"/>
      <c r="E70" s="1171"/>
      <c r="F70" s="1171"/>
      <c r="G70" s="1171"/>
    </row>
    <row r="71" spans="1:8" s="1170" customFormat="1" ht="41.25" customHeight="1">
      <c r="A71" s="3067" t="str">
        <f>'Part IV-A-Uses of Funds'!$C$125</f>
        <v>&lt;&lt; Enter description here; provide detail &amp; justification in tab Part IV-b &gt;&gt;</v>
      </c>
      <c r="B71" s="3068"/>
      <c r="C71" s="3068"/>
      <c r="D71" s="3069"/>
      <c r="F71" s="3064"/>
      <c r="G71" s="1171"/>
      <c r="H71" s="3064"/>
    </row>
    <row r="72" spans="1:8" s="1170" customFormat="1" ht="41.25" customHeight="1">
      <c r="A72" s="3058"/>
      <c r="B72" s="3059"/>
      <c r="C72" s="3059"/>
      <c r="D72" s="3060"/>
      <c r="E72" s="1171"/>
      <c r="F72" s="3065"/>
      <c r="G72" s="1171"/>
      <c r="H72" s="3065"/>
    </row>
    <row r="73" spans="1:8" s="1170" customFormat="1" ht="4.5" customHeight="1">
      <c r="A73" s="1171"/>
      <c r="B73" s="1171"/>
      <c r="C73" s="1171"/>
      <c r="D73" s="1171"/>
      <c r="E73" s="1171"/>
      <c r="F73" s="3065"/>
      <c r="G73" s="1171"/>
      <c r="H73" s="3065"/>
    </row>
    <row r="74" spans="1:8" s="1170" customFormat="1" ht="12.75" customHeight="1">
      <c r="A74" s="1180" t="s">
        <v>3738</v>
      </c>
      <c r="B74" s="1179">
        <f>'Part IV-A-Uses of Funds'!$G$125</f>
        <v>0</v>
      </c>
      <c r="C74" s="1180" t="s">
        <v>1803</v>
      </c>
      <c r="D74" s="1179">
        <f>'Part IV-A-Uses of Funds'!$J$125+'Part IV-A-Uses of Funds'!$M$125+'Part IV-A-Uses of Funds'!$P$125</f>
        <v>0</v>
      </c>
      <c r="E74" s="1171"/>
      <c r="F74" s="3065"/>
      <c r="G74" s="1171"/>
      <c r="H74" s="3065"/>
    </row>
    <row r="75" spans="1:8" s="1170" customFormat="1" ht="6" customHeight="1">
      <c r="A75" s="1171"/>
      <c r="B75" s="1172"/>
      <c r="C75" s="1171"/>
      <c r="D75" s="1171"/>
      <c r="E75" s="1171"/>
      <c r="F75" s="3066"/>
      <c r="G75" s="1173"/>
      <c r="H75" s="3066"/>
    </row>
    <row r="76" spans="1:8" s="1170" customFormat="1">
      <c r="A76" s="1181" t="s">
        <v>3741</v>
      </c>
      <c r="B76" s="1172"/>
      <c r="C76" s="1171"/>
      <c r="D76" s="1171"/>
      <c r="E76" s="1171"/>
      <c r="F76" s="1171"/>
      <c r="G76" s="1173"/>
    </row>
    <row r="77" spans="1:8" s="1170" customFormat="1" ht="41.25" customHeight="1">
      <c r="A77" s="3067" t="str">
        <f>'Part IV-A-Uses of Funds'!$C$129</f>
        <v>&lt;&lt; Enter description here; provide detail &amp; justification in tab Part IV-b &gt;&gt;</v>
      </c>
      <c r="B77" s="3068"/>
      <c r="C77" s="3068"/>
      <c r="D77" s="3069"/>
      <c r="F77" s="3064"/>
      <c r="G77" s="1171"/>
      <c r="H77" s="3064"/>
    </row>
    <row r="78" spans="1:8" s="1170" customFormat="1" ht="41.25" customHeight="1">
      <c r="A78" s="3058"/>
      <c r="B78" s="3059"/>
      <c r="C78" s="3059"/>
      <c r="D78" s="3060"/>
      <c r="E78" s="1171"/>
      <c r="F78" s="3065"/>
      <c r="G78" s="1171"/>
      <c r="H78" s="3065"/>
    </row>
    <row r="79" spans="1:8" s="1170" customFormat="1" ht="4.5" customHeight="1">
      <c r="A79" s="1171"/>
      <c r="B79" s="1171"/>
      <c r="C79" s="1171"/>
      <c r="D79" s="1171"/>
      <c r="E79" s="1171"/>
      <c r="F79" s="3065"/>
      <c r="G79" s="1171"/>
      <c r="H79" s="3065"/>
    </row>
    <row r="80" spans="1:8" s="1170" customFormat="1" ht="12.75" customHeight="1">
      <c r="A80" s="1180" t="s">
        <v>3738</v>
      </c>
      <c r="B80" s="1179">
        <f>'Part IV-A-Uses of Funds'!$G$129</f>
        <v>0</v>
      </c>
      <c r="C80" s="1180" t="s">
        <v>1803</v>
      </c>
      <c r="D80" s="1179">
        <f>'Part IV-A-Uses of Funds'!$J$129+'Part IV-A-Uses of Funds'!$M$129+'Part IV-A-Uses of Funds'!$P$129</f>
        <v>0</v>
      </c>
      <c r="E80" s="1176"/>
      <c r="F80" s="3065"/>
      <c r="G80" s="1171"/>
      <c r="H80" s="3065"/>
    </row>
    <row r="81" spans="4:8" s="1170" customFormat="1" ht="6" customHeight="1">
      <c r="D81" s="1177"/>
      <c r="E81" s="1178"/>
      <c r="F81" s="3066"/>
      <c r="G81" s="1173"/>
      <c r="H81" s="3066"/>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Normal="100" workbookViewId="0">
      <selection activeCell="J28" sqref="J28"/>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70" t="str">
        <f>CONCATENATE("PART FIVE - UTILITY ALLOWANCES","  -  ",'Part I-Project Information'!$O$6," ",'Part I-Project Information'!$F$34,", ",'Part I-Project Information'!F38,", ",'Part I-Project Information'!J39," County")</f>
        <v>PART FIVE - UTILITY ALLOWANCES  -  2018-0 McIntosh Woods, Newnan, Coweta County</v>
      </c>
      <c r="B1" s="3071"/>
      <c r="C1" s="3071"/>
      <c r="D1" s="3071"/>
      <c r="E1" s="3071"/>
      <c r="F1" s="3071"/>
      <c r="G1" s="3071"/>
      <c r="H1" s="3071"/>
      <c r="I1" s="3071"/>
      <c r="J1" s="3071"/>
      <c r="K1" s="3071"/>
      <c r="L1" s="3071"/>
      <c r="M1" s="3071"/>
      <c r="N1" s="10"/>
      <c r="O1" s="10"/>
      <c r="P1" s="10"/>
      <c r="Q1" s="10"/>
      <c r="R1" s="17"/>
      <c r="S1" s="17"/>
      <c r="T1" s="17"/>
    </row>
    <row r="2" spans="1:20" s="8" customFormat="1" ht="7.5" customHeight="1"/>
    <row r="3" spans="1:20" s="8" customFormat="1" ht="12.75" customHeight="1">
      <c r="F3" s="4" t="s">
        <v>4679</v>
      </c>
      <c r="I3" s="1386" t="str">
        <f>VLOOKUP('Part I-Project Information'!$J$39,'DCA Underwriting Assumptions'!$G$155:$H$314,2)</f>
        <v>North</v>
      </c>
    </row>
    <row r="4" spans="1:20" s="8" customFormat="1" ht="6" customHeight="1"/>
    <row r="5" spans="1:20">
      <c r="A5" s="293" t="s">
        <v>3839</v>
      </c>
    </row>
    <row r="6" spans="1:20" ht="6" customHeight="1">
      <c r="A6" s="8"/>
    </row>
    <row r="7" spans="1:20" s="8" customFormat="1">
      <c r="A7" s="14" t="s">
        <v>622</v>
      </c>
      <c r="B7" s="14" t="s">
        <v>2243</v>
      </c>
      <c r="F7" s="8" t="s">
        <v>2536</v>
      </c>
      <c r="I7" s="3072" t="s">
        <v>4765</v>
      </c>
      <c r="J7" s="3073"/>
      <c r="K7" s="3073"/>
      <c r="L7" s="3073"/>
      <c r="M7" s="3074"/>
    </row>
    <row r="8" spans="1:20" s="8" customFormat="1" ht="13.15" customHeight="1">
      <c r="A8" s="14"/>
      <c r="F8" s="8" t="s">
        <v>642</v>
      </c>
      <c r="H8" s="28"/>
      <c r="I8" s="3075">
        <v>43466</v>
      </c>
      <c r="J8" s="3076"/>
      <c r="K8" s="63" t="s">
        <v>545</v>
      </c>
      <c r="L8" s="3077" t="s">
        <v>4766</v>
      </c>
      <c r="M8" s="3078"/>
    </row>
    <row r="9" spans="1:20" s="8" customFormat="1" ht="4.5" customHeight="1">
      <c r="A9" s="14"/>
    </row>
    <row r="10" spans="1:20" s="14" customFormat="1">
      <c r="B10" s="287"/>
      <c r="C10" s="287"/>
      <c r="D10" s="287"/>
      <c r="E10" s="287"/>
      <c r="F10" s="3079" t="s">
        <v>615</v>
      </c>
      <c r="G10" s="3079"/>
      <c r="I10" s="3080" t="s">
        <v>202</v>
      </c>
      <c r="J10" s="3080"/>
      <c r="K10" s="3080"/>
      <c r="L10" s="3080"/>
      <c r="M10" s="3080"/>
    </row>
    <row r="11" spans="1:20" s="14" customFormat="1">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93" t="s">
        <v>4767</v>
      </c>
      <c r="E12" s="3094"/>
      <c r="F12" s="299" t="s">
        <v>443</v>
      </c>
      <c r="G12" s="299"/>
      <c r="H12" s="1294"/>
      <c r="I12" s="294"/>
      <c r="J12" s="294"/>
      <c r="K12" s="2507">
        <v>5</v>
      </c>
      <c r="L12" s="2507">
        <v>6</v>
      </c>
      <c r="M12" s="294"/>
      <c r="O12" s="3081" t="s">
        <v>3864</v>
      </c>
      <c r="P12" s="3081"/>
    </row>
    <row r="13" spans="1:20" s="8" customFormat="1" ht="12" customHeight="1">
      <c r="B13" s="1286" t="s">
        <v>1609</v>
      </c>
      <c r="C13" s="1283"/>
      <c r="D13" s="3082" t="s">
        <v>1608</v>
      </c>
      <c r="E13" s="3083"/>
      <c r="F13" s="300" t="s">
        <v>443</v>
      </c>
      <c r="G13" s="300"/>
      <c r="H13" s="1291"/>
      <c r="I13" s="295"/>
      <c r="J13" s="295"/>
      <c r="K13" s="2508">
        <v>9</v>
      </c>
      <c r="L13" s="2509">
        <v>11</v>
      </c>
      <c r="M13" s="296"/>
      <c r="O13" s="3081"/>
      <c r="P13" s="3081"/>
    </row>
    <row r="14" spans="1:20" s="8" customFormat="1" ht="12" customHeight="1">
      <c r="B14" s="1289" t="s">
        <v>1610</v>
      </c>
      <c r="C14" s="1288"/>
      <c r="D14" s="3082" t="s">
        <v>1608</v>
      </c>
      <c r="E14" s="3083"/>
      <c r="F14" s="300" t="s">
        <v>443</v>
      </c>
      <c r="G14" s="300"/>
      <c r="H14" s="290"/>
      <c r="I14" s="295"/>
      <c r="J14" s="295"/>
      <c r="K14" s="2508">
        <v>18</v>
      </c>
      <c r="L14" s="2509">
        <v>23</v>
      </c>
      <c r="M14" s="296"/>
      <c r="O14" s="3081"/>
      <c r="P14" s="3081"/>
    </row>
    <row r="15" spans="1:20" s="8" customFormat="1" ht="12" customHeight="1">
      <c r="B15" s="1284" t="s">
        <v>471</v>
      </c>
      <c r="C15" s="291"/>
      <c r="D15" s="1284" t="s">
        <v>1608</v>
      </c>
      <c r="E15" s="291"/>
      <c r="F15" s="300" t="s">
        <v>443</v>
      </c>
      <c r="G15" s="300"/>
      <c r="H15" s="1290"/>
      <c r="I15" s="295"/>
      <c r="J15" s="295"/>
      <c r="K15" s="2508">
        <v>13</v>
      </c>
      <c r="L15" s="2509">
        <v>16</v>
      </c>
      <c r="M15" s="296"/>
      <c r="O15" s="3081"/>
      <c r="P15" s="3081"/>
    </row>
    <row r="16" spans="1:20" s="8" customFormat="1" ht="12" customHeight="1">
      <c r="B16" s="1285" t="s">
        <v>3836</v>
      </c>
      <c r="C16" s="1283"/>
      <c r="D16" s="1286" t="s">
        <v>1608</v>
      </c>
      <c r="E16" s="1283"/>
      <c r="F16" s="300"/>
      <c r="G16" s="300" t="s">
        <v>443</v>
      </c>
      <c r="H16" s="1291"/>
      <c r="I16" s="295"/>
      <c r="J16" s="295"/>
      <c r="K16" s="2508"/>
      <c r="L16" s="2509"/>
      <c r="M16" s="296"/>
      <c r="O16" s="3081"/>
      <c r="P16" s="3081"/>
    </row>
    <row r="17" spans="1:19" s="8" customFormat="1" ht="12" customHeight="1">
      <c r="B17" s="1285" t="s">
        <v>3837</v>
      </c>
      <c r="C17" s="1283"/>
      <c r="D17" s="1286" t="s">
        <v>1608</v>
      </c>
      <c r="E17" s="1283"/>
      <c r="F17" s="300"/>
      <c r="G17" s="300" t="s">
        <v>443</v>
      </c>
      <c r="H17" s="1291"/>
      <c r="I17" s="295"/>
      <c r="J17" s="295"/>
      <c r="K17" s="2508"/>
      <c r="L17" s="2509"/>
      <c r="M17" s="296"/>
      <c r="O17" s="3081"/>
      <c r="P17" s="3081"/>
    </row>
    <row r="18" spans="1:19" s="8" customFormat="1" ht="12" customHeight="1">
      <c r="B18" s="1287" t="s">
        <v>3838</v>
      </c>
      <c r="C18" s="1288"/>
      <c r="D18" s="1289" t="s">
        <v>1608</v>
      </c>
      <c r="E18" s="1283"/>
      <c r="F18" s="300" t="s">
        <v>443</v>
      </c>
      <c r="G18" s="300"/>
      <c r="H18" s="290"/>
      <c r="I18" s="295"/>
      <c r="J18" s="295"/>
      <c r="K18" s="2508">
        <v>27</v>
      </c>
      <c r="L18" s="2509">
        <v>33</v>
      </c>
      <c r="M18" s="296"/>
      <c r="O18" s="3081"/>
      <c r="P18" s="3081"/>
    </row>
    <row r="19" spans="1:19" s="8" customFormat="1" ht="12" customHeight="1">
      <c r="B19" s="1284" t="s">
        <v>1382</v>
      </c>
      <c r="C19" s="291"/>
      <c r="D19" s="784" t="s">
        <v>3492</v>
      </c>
      <c r="E19" s="80" t="s">
        <v>3011</v>
      </c>
      <c r="F19" s="300" t="s">
        <v>443</v>
      </c>
      <c r="G19" s="300"/>
      <c r="H19" s="1290"/>
      <c r="I19" s="295"/>
      <c r="J19" s="295"/>
      <c r="K19" s="2508">
        <f>23+25</f>
        <v>48</v>
      </c>
      <c r="L19" s="2509">
        <f>28+30</f>
        <v>58</v>
      </c>
      <c r="M19" s="296"/>
      <c r="O19" s="3081"/>
      <c r="P19" s="3081"/>
    </row>
    <row r="20" spans="1:19" s="8" customFormat="1" ht="12" customHeight="1">
      <c r="B20" s="1295" t="s">
        <v>1865</v>
      </c>
      <c r="C20" s="264"/>
      <c r="D20" s="292"/>
      <c r="E20" s="264"/>
      <c r="F20" s="301"/>
      <c r="G20" s="301" t="s">
        <v>443</v>
      </c>
      <c r="H20" s="1296"/>
      <c r="I20" s="297"/>
      <c r="J20" s="297"/>
      <c r="K20" s="297"/>
      <c r="L20" s="298"/>
      <c r="M20" s="298"/>
      <c r="O20" s="3081"/>
      <c r="P20" s="3081"/>
    </row>
    <row r="21" spans="1:19" s="8" customFormat="1">
      <c r="B21" s="287" t="s">
        <v>1030</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0</v>
      </c>
      <c r="K21" s="1379">
        <f>IF(SUM(K12:K20)=0,0,IF(OR($D12="&lt;&lt;Select Fuel &gt;&gt;",$D13="&lt;&lt;Select Fuel &gt;&gt;",$D14="&lt;&lt;Select Fuel &gt;&gt;"),"Select Fuel",IF($E19="&lt;Select&gt;","Submeter?",SUM(K12:K20))))</f>
        <v>120</v>
      </c>
      <c r="L21" s="1379">
        <f>IF(SUM(L12:L20)=0,0,IF(OR($D12="&lt;&lt;Select Fuel &gt;&gt;",$D13="&lt;&lt;Select Fuel &gt;&gt;",$D14="&lt;&lt;Select Fuel &gt;&gt;"),"Select Fuel",IF($E19="&lt;Select&gt;","Submeter?",SUM(L12:L20))))</f>
        <v>147</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84"/>
      <c r="J23" s="3085"/>
      <c r="K23" s="3085"/>
      <c r="L23" s="3085"/>
      <c r="M23" s="3086"/>
    </row>
    <row r="24" spans="1:19" s="8" customFormat="1" ht="13.15" customHeight="1">
      <c r="A24" s="14"/>
      <c r="B24" s="14"/>
      <c r="F24" s="8" t="s">
        <v>642</v>
      </c>
      <c r="H24" s="28"/>
      <c r="I24" s="3095"/>
      <c r="J24" s="3096"/>
      <c r="K24" s="63" t="s">
        <v>545</v>
      </c>
      <c r="L24" s="3097"/>
      <c r="M24" s="3078"/>
    </row>
    <row r="25" spans="1:19" s="8" customFormat="1" ht="4.5" customHeight="1">
      <c r="A25" s="14"/>
    </row>
    <row r="26" spans="1:19" s="14" customFormat="1">
      <c r="B26" s="287"/>
      <c r="C26" s="287"/>
      <c r="D26" s="287"/>
      <c r="E26" s="287"/>
      <c r="F26" s="3079" t="s">
        <v>615</v>
      </c>
      <c r="G26" s="3079"/>
      <c r="I26" s="3080" t="s">
        <v>202</v>
      </c>
      <c r="J26" s="3080"/>
      <c r="K26" s="3080"/>
      <c r="L26" s="3080"/>
      <c r="M26" s="3080"/>
    </row>
    <row r="27" spans="1:19" s="14" customFormat="1">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93" t="s">
        <v>1833</v>
      </c>
      <c r="E28" s="3094"/>
      <c r="F28" s="299"/>
      <c r="G28" s="299"/>
      <c r="H28" s="1294"/>
      <c r="I28" s="294"/>
      <c r="J28" s="294"/>
      <c r="K28" s="294"/>
      <c r="L28" s="294"/>
      <c r="M28" s="294"/>
      <c r="O28" s="3081" t="s">
        <v>3864</v>
      </c>
      <c r="P28" s="3081"/>
    </row>
    <row r="29" spans="1:19" s="8" customFormat="1" ht="12" customHeight="1">
      <c r="B29" s="1286" t="s">
        <v>1609</v>
      </c>
      <c r="C29" s="1283"/>
      <c r="D29" s="3082" t="s">
        <v>1833</v>
      </c>
      <c r="E29" s="3083"/>
      <c r="F29" s="300"/>
      <c r="G29" s="300"/>
      <c r="H29" s="1291"/>
      <c r="I29" s="295"/>
      <c r="J29" s="295"/>
      <c r="K29" s="295"/>
      <c r="L29" s="296"/>
      <c r="M29" s="296"/>
      <c r="O29" s="3081"/>
      <c r="P29" s="3081"/>
    </row>
    <row r="30" spans="1:19" s="8" customFormat="1" ht="12" customHeight="1">
      <c r="B30" s="1289" t="s">
        <v>1610</v>
      </c>
      <c r="C30" s="1288"/>
      <c r="D30" s="3082" t="s">
        <v>1833</v>
      </c>
      <c r="E30" s="3083"/>
      <c r="F30" s="300"/>
      <c r="G30" s="300"/>
      <c r="H30" s="290"/>
      <c r="I30" s="295"/>
      <c r="J30" s="295"/>
      <c r="K30" s="295"/>
      <c r="L30" s="296"/>
      <c r="M30" s="296"/>
      <c r="O30" s="3081"/>
      <c r="P30" s="3081"/>
    </row>
    <row r="31" spans="1:19" s="8" customFormat="1" ht="12" customHeight="1">
      <c r="B31" s="1284" t="s">
        <v>471</v>
      </c>
      <c r="C31" s="291"/>
      <c r="D31" s="1284" t="s">
        <v>1608</v>
      </c>
      <c r="E31" s="291"/>
      <c r="F31" s="300"/>
      <c r="G31" s="300"/>
      <c r="H31" s="1290"/>
      <c r="I31" s="295"/>
      <c r="J31" s="295"/>
      <c r="K31" s="295"/>
      <c r="L31" s="296"/>
      <c r="M31" s="296"/>
      <c r="O31" s="3081"/>
      <c r="P31" s="3081"/>
    </row>
    <row r="32" spans="1:19" s="8" customFormat="1" ht="12" customHeight="1">
      <c r="B32" s="1285" t="s">
        <v>3836</v>
      </c>
      <c r="C32" s="1283"/>
      <c r="D32" s="1286" t="s">
        <v>1608</v>
      </c>
      <c r="E32" s="1283"/>
      <c r="F32" s="300"/>
      <c r="G32" s="300"/>
      <c r="H32" s="1291"/>
      <c r="I32" s="295"/>
      <c r="J32" s="295"/>
      <c r="K32" s="295"/>
      <c r="L32" s="296"/>
      <c r="M32" s="296"/>
      <c r="O32" s="3081"/>
      <c r="P32" s="3081"/>
    </row>
    <row r="33" spans="1:19" s="8" customFormat="1" ht="12" customHeight="1">
      <c r="B33" s="1285" t="s">
        <v>3837</v>
      </c>
      <c r="C33" s="1283"/>
      <c r="D33" s="1286" t="s">
        <v>1608</v>
      </c>
      <c r="E33" s="1283"/>
      <c r="F33" s="300"/>
      <c r="G33" s="300"/>
      <c r="H33" s="1291"/>
      <c r="I33" s="295"/>
      <c r="J33" s="295"/>
      <c r="K33" s="295"/>
      <c r="L33" s="296"/>
      <c r="M33" s="296"/>
      <c r="O33" s="3081"/>
      <c r="P33" s="3081"/>
    </row>
    <row r="34" spans="1:19" s="8" customFormat="1" ht="12" customHeight="1">
      <c r="B34" s="1287" t="s">
        <v>3838</v>
      </c>
      <c r="C34" s="1288"/>
      <c r="D34" s="1289" t="s">
        <v>1608</v>
      </c>
      <c r="E34" s="1283"/>
      <c r="F34" s="300"/>
      <c r="G34" s="300"/>
      <c r="H34" s="290"/>
      <c r="I34" s="295"/>
      <c r="J34" s="295"/>
      <c r="K34" s="295"/>
      <c r="L34" s="296"/>
      <c r="M34" s="296"/>
      <c r="O34" s="3081"/>
      <c r="P34" s="3081"/>
    </row>
    <row r="35" spans="1:19" s="8" customFormat="1" ht="12" customHeight="1">
      <c r="B35" s="1284" t="s">
        <v>1382</v>
      </c>
      <c r="C35" s="291"/>
      <c r="D35" s="784" t="s">
        <v>3492</v>
      </c>
      <c r="E35" s="80" t="s">
        <v>203</v>
      </c>
      <c r="F35" s="300"/>
      <c r="G35" s="300"/>
      <c r="H35" s="1290"/>
      <c r="I35" s="295"/>
      <c r="J35" s="295"/>
      <c r="K35" s="295"/>
      <c r="L35" s="296"/>
      <c r="M35" s="296"/>
      <c r="O35" s="3081"/>
      <c r="P35" s="3081"/>
    </row>
    <row r="36" spans="1:19" s="8" customFormat="1" ht="12" customHeight="1">
      <c r="B36" s="1295" t="s">
        <v>1865</v>
      </c>
      <c r="C36" s="264"/>
      <c r="D36" s="292"/>
      <c r="E36" s="264"/>
      <c r="F36" s="301"/>
      <c r="G36" s="301"/>
      <c r="H36" s="1296"/>
      <c r="I36" s="297"/>
      <c r="J36" s="297"/>
      <c r="K36" s="297"/>
      <c r="L36" s="298"/>
      <c r="M36" s="298"/>
      <c r="O36" s="3081"/>
      <c r="P36" s="3081"/>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87"/>
      <c r="C41" s="3088"/>
      <c r="D41" s="3088"/>
      <c r="E41" s="3088"/>
      <c r="F41" s="3088"/>
      <c r="G41" s="3088"/>
      <c r="H41" s="3088"/>
      <c r="I41" s="3088"/>
      <c r="J41" s="3088"/>
      <c r="K41" s="3088"/>
      <c r="L41" s="3088"/>
      <c r="M41" s="3089"/>
      <c r="N41" s="28"/>
      <c r="O41" s="2511" t="s">
        <v>2710</v>
      </c>
      <c r="P41" s="2511"/>
      <c r="Q41" s="2511"/>
      <c r="R41" s="2511"/>
      <c r="S41" s="2511"/>
    </row>
    <row r="42" spans="1:19" s="8" customFormat="1" ht="3" customHeight="1">
      <c r="M42" s="28"/>
      <c r="N42" s="28"/>
      <c r="O42" s="2511"/>
      <c r="P42" s="2511"/>
      <c r="Q42" s="2511"/>
      <c r="R42" s="2511"/>
      <c r="S42" s="2511"/>
    </row>
    <row r="43" spans="1:19" s="8" customFormat="1" ht="12" customHeight="1">
      <c r="A43" s="14"/>
      <c r="B43" s="14" t="s">
        <v>1859</v>
      </c>
      <c r="M43" s="28"/>
      <c r="N43" s="28"/>
      <c r="O43" s="2511"/>
      <c r="P43" s="2511"/>
      <c r="Q43" s="2511"/>
      <c r="R43" s="2511"/>
      <c r="S43" s="2511"/>
    </row>
    <row r="44" spans="1:19" s="8" customFormat="1" ht="24.75" customHeight="1">
      <c r="B44" s="3090"/>
      <c r="C44" s="3091"/>
      <c r="D44" s="3091"/>
      <c r="E44" s="3091"/>
      <c r="F44" s="3091"/>
      <c r="G44" s="3091"/>
      <c r="H44" s="3091"/>
      <c r="I44" s="3091"/>
      <c r="J44" s="3091"/>
      <c r="K44" s="3091"/>
      <c r="L44" s="3091"/>
      <c r="M44" s="3092"/>
      <c r="N44" s="28"/>
      <c r="O44" s="2511"/>
      <c r="P44" s="2511"/>
      <c r="Q44" s="2511"/>
      <c r="R44" s="2511"/>
      <c r="S44" s="2511"/>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cp:lastModifiedBy>
  <cp:lastPrinted>2018-05-10T14:23:34Z</cp:lastPrinted>
  <dcterms:created xsi:type="dcterms:W3CDTF">2005-09-15T20:51:37Z</dcterms:created>
  <dcterms:modified xsi:type="dcterms:W3CDTF">2019-10-31T19:43:43Z</dcterms:modified>
</cp:coreProperties>
</file>