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autoCompressPictures="0"/>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0061C823-629A-42D7-8714-1784D4D4D3E3}" xr6:coauthVersionLast="31" xr6:coauthVersionMax="31" xr10:uidLastSave="{00000000-0000-0000-0000-000000000000}"/>
  <bookViews>
    <workbookView xWindow="3945" yWindow="465" windowWidth="43500" windowHeight="232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Assumptions'!$A$2:$R$314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Funds'!$A$1:$T$175</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G33" i="78" l="1"/>
  <c r="B20" i="74"/>
  <c r="P170" i="75" s="1"/>
  <c r="C68" i="84" s="1"/>
  <c r="J33" i="78"/>
  <c r="J27" i="78"/>
  <c r="P286" i="72"/>
  <c r="O286"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M1935" i="93" s="1"/>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L1941" i="93" s="1"/>
  <c r="P1920" i="93"/>
  <c r="O1920" i="93"/>
  <c r="P1919" i="93"/>
  <c r="P1918" i="93"/>
  <c r="O1919"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L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L1763" i="93" s="1"/>
  <c r="Q1763" i="93"/>
  <c r="P1762" i="93"/>
  <c r="O1762" i="93"/>
  <c r="L1762" i="93" s="1"/>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H1718" i="93"/>
  <c r="H1722" i="93" s="1"/>
  <c r="G1718" i="93"/>
  <c r="G1722" i="93" s="1"/>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23" i="93"/>
  <c r="J1916" i="93"/>
  <c r="L1910" i="93"/>
  <c r="I1910" i="93"/>
  <c r="C1910" i="93"/>
  <c r="N1901" i="93"/>
  <c r="L1901" i="93"/>
  <c r="I1891" i="93"/>
  <c r="O1879" i="93"/>
  <c r="L1859" i="93"/>
  <c r="L1858" i="93"/>
  <c r="L1849" i="93"/>
  <c r="J1849" i="93"/>
  <c r="L1848" i="93"/>
  <c r="H1827" i="93"/>
  <c r="I1769" i="93"/>
  <c r="J1767" i="93"/>
  <c r="L1766" i="93"/>
  <c r="M1764" i="93"/>
  <c r="I1764" i="93"/>
  <c r="E1764" i="93"/>
  <c r="H1732" i="93"/>
  <c r="M1723" i="93"/>
  <c r="P1723" i="93" s="1"/>
  <c r="G1723" i="93"/>
  <c r="D1723" i="93"/>
  <c r="H1721" i="93"/>
  <c r="G1721" i="93"/>
  <c r="F1714" i="93"/>
  <c r="L1691" i="93"/>
  <c r="L1673"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C969" i="93"/>
  <c r="D969" i="93" s="1"/>
  <c r="F1061" i="93"/>
  <c r="F1062" i="93"/>
  <c r="E1064" i="93"/>
  <c r="E1061" i="93"/>
  <c r="E1062" i="93"/>
  <c r="D1064" i="93"/>
  <c r="D1061" i="93"/>
  <c r="D1062" i="93"/>
  <c r="C1064" i="93"/>
  <c r="C1061" i="93"/>
  <c r="C1062" i="93"/>
  <c r="B1064" i="93"/>
  <c r="B1061" i="93"/>
  <c r="B1062" i="93"/>
  <c r="K1036" i="93"/>
  <c r="K1033" i="93"/>
  <c r="K1034" i="93"/>
  <c r="J1036" i="93"/>
  <c r="J1033" i="93"/>
  <c r="J1034" i="93"/>
  <c r="I1036" i="93"/>
  <c r="I1033" i="93"/>
  <c r="I1034" i="93"/>
  <c r="H1036" i="93"/>
  <c r="H1033" i="93"/>
  <c r="H1034" i="93"/>
  <c r="G1036" i="93"/>
  <c r="G1033" i="93"/>
  <c r="G1034" i="93"/>
  <c r="F1036" i="93"/>
  <c r="F1033" i="93"/>
  <c r="F1034" i="93"/>
  <c r="E1036" i="93"/>
  <c r="E1033" i="93"/>
  <c r="E1034" i="93"/>
  <c r="D1036" i="93"/>
  <c r="D1033" i="93"/>
  <c r="D1034" i="93"/>
  <c r="C1036" i="93"/>
  <c r="C1033" i="93"/>
  <c r="C1034" i="93"/>
  <c r="B1036" i="93"/>
  <c r="B1033" i="93"/>
  <c r="B1034" i="93"/>
  <c r="A1020" i="93"/>
  <c r="A1049" i="93" s="1"/>
  <c r="A1077" i="93" s="1"/>
  <c r="A988" i="93"/>
  <c r="A1018" i="93" s="1"/>
  <c r="A1047" i="93" s="1"/>
  <c r="A1075" i="93" s="1"/>
  <c r="A1012" i="93"/>
  <c r="A1042" i="93" s="1"/>
  <c r="A1070" i="93" s="1"/>
  <c r="A1011" i="93"/>
  <c r="A1041" i="93" s="1"/>
  <c r="A1069" i="93" s="1"/>
  <c r="A1010" i="93"/>
  <c r="A1040" i="93" s="1"/>
  <c r="A1068" i="93" s="1"/>
  <c r="A1009" i="93"/>
  <c r="A1039" i="93" s="1"/>
  <c r="A1067" i="93" s="1"/>
  <c r="K1006" i="93"/>
  <c r="K1003" i="93"/>
  <c r="K1004" i="93"/>
  <c r="J1006" i="93"/>
  <c r="J1003" i="93"/>
  <c r="J1004" i="93"/>
  <c r="I1006" i="93"/>
  <c r="I1003" i="93"/>
  <c r="I1004" i="93"/>
  <c r="H1006" i="93"/>
  <c r="H1003" i="93"/>
  <c r="H1004" i="93"/>
  <c r="G1006" i="93"/>
  <c r="G1003" i="93"/>
  <c r="G1004" i="93"/>
  <c r="F1006" i="93"/>
  <c r="F1003" i="93"/>
  <c r="F1004" i="93"/>
  <c r="E1006" i="93"/>
  <c r="E1003" i="93"/>
  <c r="E1004" i="93"/>
  <c r="D1006" i="93"/>
  <c r="D1003" i="93"/>
  <c r="D1004" i="93"/>
  <c r="C1006" i="93"/>
  <c r="C1003" i="93"/>
  <c r="C1004" i="93"/>
  <c r="B1006" i="93"/>
  <c r="B1003" i="93"/>
  <c r="B1004" i="93"/>
  <c r="A989" i="93"/>
  <c r="A1019" i="93" s="1"/>
  <c r="A1048" i="93" s="1"/>
  <c r="A1076" i="93" s="1"/>
  <c r="A987" i="93"/>
  <c r="A1017" i="93" s="1"/>
  <c r="A1046" i="93" s="1"/>
  <c r="A1074" i="93" s="1"/>
  <c r="K976" i="93"/>
  <c r="K973" i="93"/>
  <c r="K974" i="93"/>
  <c r="J976" i="93"/>
  <c r="J973" i="93"/>
  <c r="J974" i="93"/>
  <c r="I976" i="93"/>
  <c r="I973" i="93"/>
  <c r="I974" i="93"/>
  <c r="H976" i="93"/>
  <c r="H973" i="93"/>
  <c r="H974" i="93"/>
  <c r="G976" i="93"/>
  <c r="G973" i="93"/>
  <c r="G974" i="93"/>
  <c r="F976" i="93"/>
  <c r="F973" i="93"/>
  <c r="F974" i="93"/>
  <c r="E976" i="93"/>
  <c r="E973" i="93"/>
  <c r="E974" i="93"/>
  <c r="D976" i="93"/>
  <c r="D973" i="93"/>
  <c r="D974" i="93"/>
  <c r="C976" i="93"/>
  <c r="C970" i="93"/>
  <c r="C971" i="93"/>
  <c r="C973" i="93"/>
  <c r="C974" i="93"/>
  <c r="C975" i="93"/>
  <c r="C977" i="93"/>
  <c r="B976" i="93"/>
  <c r="B974" i="93"/>
  <c r="B973"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4" i="93"/>
  <c r="I916" i="93"/>
  <c r="H915" i="93"/>
  <c r="G915" i="93"/>
  <c r="K914" i="93"/>
  <c r="J914" i="93"/>
  <c r="H914" i="93"/>
  <c r="G914" i="93"/>
  <c r="H910" i="93"/>
  <c r="I910" i="93"/>
  <c r="J910" i="93"/>
  <c r="K910" i="93"/>
  <c r="K912" i="93" s="1"/>
  <c r="H911" i="93"/>
  <c r="H912" i="93" s="1"/>
  <c r="I911" i="93"/>
  <c r="J911" i="93"/>
  <c r="K911" i="93"/>
  <c r="G911" i="93"/>
  <c r="P906" i="93"/>
  <c r="O906" i="93"/>
  <c r="N906" i="93"/>
  <c r="N905" i="93"/>
  <c r="M906" i="93"/>
  <c r="M907" i="93" s="1"/>
  <c r="L906" i="93"/>
  <c r="L907" i="93" s="1"/>
  <c r="K906" i="93"/>
  <c r="J906" i="93"/>
  <c r="J905" i="93"/>
  <c r="J907" i="93" s="1"/>
  <c r="I906" i="93"/>
  <c r="H906" i="93"/>
  <c r="G906" i="93"/>
  <c r="P905" i="93"/>
  <c r="O905" i="93"/>
  <c r="M905" i="93"/>
  <c r="L905" i="93"/>
  <c r="K905" i="93"/>
  <c r="I905" i="93"/>
  <c r="I907" i="93" s="1"/>
  <c r="H905" i="93"/>
  <c r="G905" i="93"/>
  <c r="G907" i="93" s="1"/>
  <c r="P902" i="93"/>
  <c r="O902" i="93"/>
  <c r="N902" i="93"/>
  <c r="M902" i="93"/>
  <c r="L902" i="93"/>
  <c r="K902" i="93"/>
  <c r="J902" i="93"/>
  <c r="J903" i="93" s="1"/>
  <c r="I902" i="93"/>
  <c r="H902" i="93"/>
  <c r="H903" i="93" s="1"/>
  <c r="G902" i="93"/>
  <c r="P901" i="93"/>
  <c r="O901" i="93"/>
  <c r="N901" i="93"/>
  <c r="N903" i="93" s="1"/>
  <c r="M901" i="93"/>
  <c r="M903" i="93" s="1"/>
  <c r="L901" i="93"/>
  <c r="K901" i="93"/>
  <c r="J901" i="93"/>
  <c r="I901" i="93"/>
  <c r="H901" i="93"/>
  <c r="G901" i="93"/>
  <c r="P897" i="93"/>
  <c r="O897" i="93"/>
  <c r="O898" i="93" s="1"/>
  <c r="N897" i="93"/>
  <c r="M897" i="93"/>
  <c r="L897" i="93"/>
  <c r="K897" i="93"/>
  <c r="J897" i="93"/>
  <c r="I897" i="93"/>
  <c r="H897" i="93"/>
  <c r="G897" i="93"/>
  <c r="G898" i="93" s="1"/>
  <c r="P896" i="93"/>
  <c r="O896" i="93"/>
  <c r="N896" i="93"/>
  <c r="M896" i="93"/>
  <c r="L896" i="93"/>
  <c r="K896" i="93"/>
  <c r="K898" i="93" s="1"/>
  <c r="J896" i="93"/>
  <c r="I896" i="93"/>
  <c r="H896" i="93"/>
  <c r="G896" i="93"/>
  <c r="P893" i="93"/>
  <c r="O893" i="93"/>
  <c r="N893" i="93"/>
  <c r="M893" i="93"/>
  <c r="L893" i="93"/>
  <c r="K893" i="93"/>
  <c r="K894" i="93" s="1"/>
  <c r="J893" i="93"/>
  <c r="I893" i="93"/>
  <c r="H893" i="93"/>
  <c r="G893" i="93"/>
  <c r="P892" i="93"/>
  <c r="O892" i="93"/>
  <c r="O894" i="93" s="1"/>
  <c r="N892" i="93"/>
  <c r="N894" i="93" s="1"/>
  <c r="M892" i="93"/>
  <c r="L892" i="93"/>
  <c r="K892" i="93"/>
  <c r="J892" i="93"/>
  <c r="I892" i="93"/>
  <c r="H892" i="93"/>
  <c r="G892" i="93"/>
  <c r="P888" i="93"/>
  <c r="O888" i="93"/>
  <c r="N888" i="93"/>
  <c r="M888" i="93"/>
  <c r="L888" i="93"/>
  <c r="L889" i="93" s="1"/>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O884" i="93"/>
  <c r="P883" i="93"/>
  <c r="H884" i="93"/>
  <c r="I884" i="93"/>
  <c r="J884" i="93"/>
  <c r="K884" i="93"/>
  <c r="L884" i="93"/>
  <c r="L885" i="93" s="1"/>
  <c r="M884" i="93"/>
  <c r="N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C773" i="93"/>
  <c r="N773" i="93"/>
  <c r="IC773" i="93" s="1"/>
  <c r="P772" i="93"/>
  <c r="P771" i="93"/>
  <c r="P770" i="93"/>
  <c r="P769" i="93"/>
  <c r="C769" i="93"/>
  <c r="N769" i="93"/>
  <c r="P768" i="93"/>
  <c r="P767" i="93"/>
  <c r="O804" i="93"/>
  <c r="JE804" i="93" s="1"/>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IZ773" i="93" s="1"/>
  <c r="O772" i="93"/>
  <c r="O771" i="93"/>
  <c r="C771" i="93"/>
  <c r="E771" i="93"/>
  <c r="N771" i="93"/>
  <c r="O770" i="93"/>
  <c r="O769" i="93"/>
  <c r="IV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2" i="93"/>
  <c r="N770" i="93"/>
  <c r="N768" i="93"/>
  <c r="N767" i="93"/>
  <c r="M804" i="93"/>
  <c r="M803" i="93"/>
  <c r="M802" i="93"/>
  <c r="M801" i="93"/>
  <c r="EC801" i="93" s="1"/>
  <c r="M800" i="93"/>
  <c r="M799" i="93"/>
  <c r="M798" i="93"/>
  <c r="M797" i="93"/>
  <c r="M796" i="93"/>
  <c r="M795" i="93"/>
  <c r="M794" i="93"/>
  <c r="M793" i="93"/>
  <c r="M792" i="93"/>
  <c r="M791" i="93"/>
  <c r="M790" i="93"/>
  <c r="M789" i="93"/>
  <c r="M788" i="93"/>
  <c r="M787" i="93"/>
  <c r="M786" i="93"/>
  <c r="AP786" i="93" s="1"/>
  <c r="M785" i="93"/>
  <c r="M784" i="93"/>
  <c r="M783" i="93"/>
  <c r="M782" i="93"/>
  <c r="M781" i="93"/>
  <c r="M780" i="93"/>
  <c r="M779" i="93"/>
  <c r="M778" i="93"/>
  <c r="M777" i="93"/>
  <c r="M776" i="93"/>
  <c r="M775" i="93"/>
  <c r="M774" i="93"/>
  <c r="M773" i="93"/>
  <c r="M772" i="93"/>
  <c r="M771" i="93"/>
  <c r="M770" i="93"/>
  <c r="M769" i="93"/>
  <c r="M768" i="93"/>
  <c r="M767" i="93"/>
  <c r="C767" i="93"/>
  <c r="B767" i="93"/>
  <c r="J804" i="93"/>
  <c r="J803" i="93"/>
  <c r="J802" i="93"/>
  <c r="J801" i="93"/>
  <c r="BS801" i="93" s="1"/>
  <c r="J800" i="93"/>
  <c r="J799" i="93"/>
  <c r="J798" i="93"/>
  <c r="J797" i="93"/>
  <c r="J796" i="93"/>
  <c r="J795" i="93"/>
  <c r="J794" i="93"/>
  <c r="J793" i="93"/>
  <c r="J792" i="93"/>
  <c r="J791" i="93"/>
  <c r="J790" i="93"/>
  <c r="J789" i="93"/>
  <c r="J788" i="93"/>
  <c r="J787" i="93"/>
  <c r="J786" i="93"/>
  <c r="J785" i="93"/>
  <c r="J784" i="93"/>
  <c r="J783" i="93"/>
  <c r="C783" i="93"/>
  <c r="J782" i="93"/>
  <c r="J781" i="93"/>
  <c r="J780" i="93"/>
  <c r="J779" i="93"/>
  <c r="C779" i="93"/>
  <c r="CU779" i="93" s="1"/>
  <c r="J778" i="93"/>
  <c r="J777" i="93"/>
  <c r="J776" i="93"/>
  <c r="J775" i="93"/>
  <c r="C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C768" i="93"/>
  <c r="JO768" i="93" s="1"/>
  <c r="E768" i="93"/>
  <c r="F767" i="93"/>
  <c r="E804" i="93"/>
  <c r="E803" i="93"/>
  <c r="E802" i="93"/>
  <c r="E801" i="93"/>
  <c r="E800" i="93"/>
  <c r="E799" i="93"/>
  <c r="JM799" i="93" s="1"/>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JN776" i="93" s="1"/>
  <c r="E775" i="93"/>
  <c r="E774" i="93"/>
  <c r="E773" i="93"/>
  <c r="E772" i="93"/>
  <c r="E770" i="93"/>
  <c r="E769"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B802" i="93"/>
  <c r="C801" i="93"/>
  <c r="C800" i="93"/>
  <c r="C799" i="93"/>
  <c r="C798" i="93"/>
  <c r="C797" i="93"/>
  <c r="HT797" i="93" s="1"/>
  <c r="C796" i="93"/>
  <c r="C795" i="93"/>
  <c r="EY795" i="93" s="1"/>
  <c r="C794" i="93"/>
  <c r="C793" i="93"/>
  <c r="C792" i="93"/>
  <c r="C791" i="93"/>
  <c r="C790" i="93"/>
  <c r="C789" i="93"/>
  <c r="C788" i="93"/>
  <c r="C787" i="93"/>
  <c r="GX787" i="93" s="1"/>
  <c r="C786" i="93"/>
  <c r="C785" i="93"/>
  <c r="C784" i="93"/>
  <c r="C782" i="93"/>
  <c r="C781" i="93"/>
  <c r="C780" i="93"/>
  <c r="C778" i="93"/>
  <c r="C777" i="93"/>
  <c r="C776" i="93"/>
  <c r="C774" i="93"/>
  <c r="C772" i="93"/>
  <c r="C770"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IH797" i="93" s="1"/>
  <c r="B798" i="93"/>
  <c r="B799" i="93"/>
  <c r="B800" i="93"/>
  <c r="B801" i="93"/>
  <c r="B803" i="93"/>
  <c r="B804" i="93"/>
  <c r="EI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F763" i="93"/>
  <c r="G762" i="93"/>
  <c r="R918" i="93"/>
  <c r="H916" i="93"/>
  <c r="G916" i="93"/>
  <c r="R913" i="93"/>
  <c r="J912" i="93"/>
  <c r="S909" i="93"/>
  <c r="O907" i="93"/>
  <c r="K907" i="93"/>
  <c r="R904" i="93"/>
  <c r="S900" i="93"/>
  <c r="R895" i="93"/>
  <c r="G894" i="93"/>
  <c r="S891" i="93"/>
  <c r="R886" i="93"/>
  <c r="P885" i="93"/>
  <c r="R882" i="93"/>
  <c r="R881" i="93"/>
  <c r="R879" i="93"/>
  <c r="R869" i="93"/>
  <c r="R860" i="93"/>
  <c r="R842" i="93"/>
  <c r="R828" i="93"/>
  <c r="R824" i="93"/>
  <c r="R820" i="93"/>
  <c r="R810" i="93"/>
  <c r="JR805" i="93"/>
  <c r="JN804" i="93"/>
  <c r="JM804" i="93"/>
  <c r="HY804" i="93"/>
  <c r="HX804" i="93"/>
  <c r="HP804" i="93"/>
  <c r="HI804" i="93"/>
  <c r="HH804" i="93"/>
  <c r="GZ804" i="93"/>
  <c r="GS804" i="93"/>
  <c r="GR804" i="93"/>
  <c r="GJ804" i="93"/>
  <c r="GC804" i="93"/>
  <c r="GB804" i="93"/>
  <c r="FT804" i="93"/>
  <c r="FM804" i="93"/>
  <c r="FL804" i="93"/>
  <c r="FD804" i="93"/>
  <c r="EW804" i="93"/>
  <c r="JL803" i="93"/>
  <c r="JI803" i="93"/>
  <c r="EW803" i="93"/>
  <c r="DD803" i="93"/>
  <c r="DA803" i="93"/>
  <c r="CY803" i="93"/>
  <c r="CT803" i="93"/>
  <c r="BY803" i="93"/>
  <c r="BV803" i="93"/>
  <c r="AC803" i="93"/>
  <c r="HX801" i="93"/>
  <c r="HE801" i="93"/>
  <c r="GU801" i="93"/>
  <c r="GF801" i="93"/>
  <c r="FT801" i="93"/>
  <c r="FK801" i="93"/>
  <c r="EY801" i="93"/>
  <c r="AX801"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A800" i="93"/>
  <c r="CU800" i="93"/>
  <c r="BX800" i="93"/>
  <c r="BW800" i="93"/>
  <c r="IY799" i="93"/>
  <c r="EQ799" i="93"/>
  <c r="DP799" i="93"/>
  <c r="DG799" i="93"/>
  <c r="CY799" i="93"/>
  <c r="CI799" i="93"/>
  <c r="BY799" i="93"/>
  <c r="BD799" i="93"/>
  <c r="X799" i="93"/>
  <c r="JN797" i="93"/>
  <c r="IM797" i="93"/>
  <c r="IL797" i="93"/>
  <c r="IF797" i="93"/>
  <c r="IB797" i="93"/>
  <c r="IA797" i="93"/>
  <c r="HZ797" i="93"/>
  <c r="HX797" i="93"/>
  <c r="HW797" i="93"/>
  <c r="HV797" i="93"/>
  <c r="HS797" i="93"/>
  <c r="HR797" i="93"/>
  <c r="HP797" i="93"/>
  <c r="HO797" i="93"/>
  <c r="HN797" i="93"/>
  <c r="HL797" i="93"/>
  <c r="HK797" i="93"/>
  <c r="HH797" i="93"/>
  <c r="HG797" i="93"/>
  <c r="HF797" i="93"/>
  <c r="HD797" i="93"/>
  <c r="HC797" i="93"/>
  <c r="HB797" i="93"/>
  <c r="GZ797" i="93"/>
  <c r="GX797" i="93"/>
  <c r="GV797" i="93"/>
  <c r="GU797" i="93"/>
  <c r="GT797" i="93"/>
  <c r="GR797" i="93"/>
  <c r="GQ797" i="93"/>
  <c r="GP797" i="93"/>
  <c r="GM797" i="93"/>
  <c r="GL797" i="93"/>
  <c r="GJ797" i="93"/>
  <c r="GI797" i="93"/>
  <c r="GH797" i="93"/>
  <c r="GF797" i="93"/>
  <c r="GE797" i="93"/>
  <c r="GB797" i="93"/>
  <c r="GA797" i="93"/>
  <c r="FZ797" i="93"/>
  <c r="FX797" i="93"/>
  <c r="FW797" i="93"/>
  <c r="FV797" i="93"/>
  <c r="FT797" i="93"/>
  <c r="FR797" i="93"/>
  <c r="FP797" i="93"/>
  <c r="FO797" i="93"/>
  <c r="FN797" i="93"/>
  <c r="FL797" i="93"/>
  <c r="FK797" i="93"/>
  <c r="FJ797" i="93"/>
  <c r="FG797" i="93"/>
  <c r="FF797" i="93"/>
  <c r="FD797" i="93"/>
  <c r="FC797" i="93"/>
  <c r="FB797" i="93"/>
  <c r="EZ797" i="93"/>
  <c r="EY797" i="93"/>
  <c r="EP797" i="93"/>
  <c r="DC797" i="93"/>
  <c r="CY797" i="93"/>
  <c r="CX797" i="93"/>
  <c r="CT797" i="93"/>
  <c r="CR797" i="93"/>
  <c r="CN797" i="93"/>
  <c r="CM797" i="93"/>
  <c r="CH797" i="93"/>
  <c r="CD797" i="93"/>
  <c r="CB797" i="93"/>
  <c r="BX797" i="93"/>
  <c r="BW797" i="93"/>
  <c r="BS797" i="93"/>
  <c r="BR797" i="93"/>
  <c r="BL797" i="93"/>
  <c r="BH797" i="93"/>
  <c r="BG797" i="93"/>
  <c r="BC797" i="93"/>
  <c r="BB797" i="93"/>
  <c r="AX797" i="93"/>
  <c r="AV797" i="93"/>
  <c r="AR797" i="93"/>
  <c r="AO797" i="93"/>
  <c r="AN797" i="93"/>
  <c r="AK797" i="93"/>
  <c r="AJ797" i="93"/>
  <c r="AG797" i="93"/>
  <c r="AF797" i="93"/>
  <c r="AB797" i="93"/>
  <c r="Y797" i="93"/>
  <c r="X797" i="93"/>
  <c r="JQ796" i="93"/>
  <c r="JN796" i="93"/>
  <c r="JM796" i="93"/>
  <c r="JK796" i="93"/>
  <c r="JI796" i="93"/>
  <c r="JF796" i="93"/>
  <c r="JE796" i="93"/>
  <c r="JC796" i="93"/>
  <c r="IC796" i="93"/>
  <c r="HZ796" i="93"/>
  <c r="HY796" i="93"/>
  <c r="HW796" i="93"/>
  <c r="HU796" i="93"/>
  <c r="HR796" i="93"/>
  <c r="HQ796" i="93"/>
  <c r="HO796" i="93"/>
  <c r="HM796" i="93"/>
  <c r="HJ796" i="93"/>
  <c r="HI796" i="93"/>
  <c r="HG796" i="93"/>
  <c r="HE796" i="93"/>
  <c r="HB796" i="93"/>
  <c r="HA796" i="93"/>
  <c r="GY796" i="93"/>
  <c r="GW796" i="93"/>
  <c r="GT796" i="93"/>
  <c r="GS796" i="93"/>
  <c r="GQ796" i="93"/>
  <c r="GO796" i="93"/>
  <c r="GL796" i="93"/>
  <c r="GK796" i="93"/>
  <c r="GI796" i="93"/>
  <c r="GG796" i="93"/>
  <c r="GD796" i="93"/>
  <c r="GC796" i="93"/>
  <c r="GA796" i="93"/>
  <c r="FY796" i="93"/>
  <c r="FV796" i="93"/>
  <c r="FU796" i="93"/>
  <c r="FS796" i="93"/>
  <c r="FQ796" i="93"/>
  <c r="FN796" i="93"/>
  <c r="FM796" i="93"/>
  <c r="FK796" i="93"/>
  <c r="FI796" i="93"/>
  <c r="FF796" i="93"/>
  <c r="FE796" i="93"/>
  <c r="FC796" i="93"/>
  <c r="FA796" i="93"/>
  <c r="EX796" i="93"/>
  <c r="EW796" i="93"/>
  <c r="CY796" i="93"/>
  <c r="HB795" i="93"/>
  <c r="BS795" i="93"/>
  <c r="EW794" i="93"/>
  <c r="JO793" i="93"/>
  <c r="JC793" i="93"/>
  <c r="IX793" i="93"/>
  <c r="IR793" i="93"/>
  <c r="IN793" i="93"/>
  <c r="IK793" i="93"/>
  <c r="IH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P793" i="93"/>
  <c r="EL793" i="93"/>
  <c r="EK793" i="93"/>
  <c r="EG793" i="93"/>
  <c r="EB793" i="93"/>
  <c r="DU793" i="93"/>
  <c r="DQ793" i="93"/>
  <c r="DP793" i="93"/>
  <c r="DL793" i="93"/>
  <c r="DF793" i="93"/>
  <c r="DA793" i="93"/>
  <c r="CZ793" i="93"/>
  <c r="CX793" i="93"/>
  <c r="CW793" i="93"/>
  <c r="CT793" i="93"/>
  <c r="CP793" i="93"/>
  <c r="CO793" i="93"/>
  <c r="CN793" i="93"/>
  <c r="CL793" i="93"/>
  <c r="CJ793" i="93"/>
  <c r="CF793" i="93"/>
  <c r="CD793" i="93"/>
  <c r="CC793" i="93"/>
  <c r="CB793" i="93"/>
  <c r="BY793" i="93"/>
  <c r="BU793" i="93"/>
  <c r="BT793" i="93"/>
  <c r="BR793" i="93"/>
  <c r="BQ793" i="93"/>
  <c r="BN793" i="93"/>
  <c r="BJ793" i="93"/>
  <c r="BI793" i="93"/>
  <c r="BH793" i="93"/>
  <c r="BF793" i="93"/>
  <c r="BD793" i="93"/>
  <c r="AZ793" i="93"/>
  <c r="AX793" i="93"/>
  <c r="AW793" i="93"/>
  <c r="AV793" i="93"/>
  <c r="AS793" i="93"/>
  <c r="AO793" i="93"/>
  <c r="AN793" i="93"/>
  <c r="AL793" i="93"/>
  <c r="AK793" i="93"/>
  <c r="AH793" i="93"/>
  <c r="AE793" i="93"/>
  <c r="AD793" i="93"/>
  <c r="AC793" i="93"/>
  <c r="AB793" i="93"/>
  <c r="Z793" i="93"/>
  <c r="W793"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B792" i="93"/>
  <c r="DA792" i="93"/>
  <c r="CZ792" i="93"/>
  <c r="CY792" i="93"/>
  <c r="CX792" i="93"/>
  <c r="CW792" i="93"/>
  <c r="CA792" i="93"/>
  <c r="BY792" i="93"/>
  <c r="BX792" i="93"/>
  <c r="BW792" i="93"/>
  <c r="BV792" i="93"/>
  <c r="BU792" i="93"/>
  <c r="JB791" i="93"/>
  <c r="IN791" i="93"/>
  <c r="IM791" i="93"/>
  <c r="IH791" i="93"/>
  <c r="IF791" i="93"/>
  <c r="GF791" i="93"/>
  <c r="FH791" i="93"/>
  <c r="EV791" i="93"/>
  <c r="ET791" i="93"/>
  <c r="EN791" i="93"/>
  <c r="EM791" i="93"/>
  <c r="EH791" i="93"/>
  <c r="DX791" i="93"/>
  <c r="DS791" i="93"/>
  <c r="DR791" i="93"/>
  <c r="DL791" i="93"/>
  <c r="DK791" i="93"/>
  <c r="DF791" i="93"/>
  <c r="DA791" i="93"/>
  <c r="CZ791" i="93"/>
  <c r="CY791" i="93"/>
  <c r="CW791" i="93"/>
  <c r="CV791" i="93"/>
  <c r="CP791" i="93"/>
  <c r="CH791" i="93"/>
  <c r="CB791" i="93"/>
  <c r="BZ791" i="93"/>
  <c r="BY791" i="93"/>
  <c r="BX791" i="93"/>
  <c r="BW791" i="93"/>
  <c r="BU791" i="93"/>
  <c r="BP791" i="93"/>
  <c r="BK791" i="93"/>
  <c r="BB791" i="93"/>
  <c r="AV791" i="93"/>
  <c r="AP791" i="93"/>
  <c r="AN791" i="93"/>
  <c r="AI791" i="93"/>
  <c r="AF791" i="93"/>
  <c r="AA791" i="93"/>
  <c r="Z791" i="93"/>
  <c r="HS790" i="93"/>
  <c r="FW790" i="93"/>
  <c r="FG790" i="93"/>
  <c r="BX790" i="93"/>
  <c r="JP789" i="93"/>
  <c r="IX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M789" i="93"/>
  <c r="DW789" i="93"/>
  <c r="DG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A788" i="93"/>
  <c r="BY788" i="93"/>
  <c r="HN787" i="93"/>
  <c r="GH787" i="93"/>
  <c r="FR787" i="93"/>
  <c r="CP787" i="93"/>
  <c r="AU787" i="93"/>
  <c r="Z787" i="93"/>
  <c r="HY786" i="93"/>
  <c r="GS786" i="93"/>
  <c r="FB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E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N783" i="93"/>
  <c r="JD783" i="93"/>
  <c r="JB783" i="93"/>
  <c r="JA783" i="93"/>
  <c r="IW783" i="93"/>
  <c r="IV783" i="93"/>
  <c r="IR783" i="93"/>
  <c r="IP783" i="93"/>
  <c r="IL783" i="93"/>
  <c r="IK783" i="93"/>
  <c r="IG783" i="93"/>
  <c r="IF783" i="93"/>
  <c r="HX783" i="93"/>
  <c r="HN783" i="93"/>
  <c r="HF783" i="93"/>
  <c r="GX783" i="93"/>
  <c r="GP783" i="93"/>
  <c r="GH783" i="93"/>
  <c r="FJ783" i="93"/>
  <c r="FB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IU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R781" i="93"/>
  <c r="EQ781" i="93"/>
  <c r="EF781" i="93"/>
  <c r="DW781" i="93"/>
  <c r="DV781" i="93"/>
  <c r="DL781" i="93"/>
  <c r="DK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N779" i="93"/>
  <c r="JM779" i="93"/>
  <c r="JL779" i="93"/>
  <c r="JK779" i="93"/>
  <c r="JJ779" i="93"/>
  <c r="JI779" i="93"/>
  <c r="JH779" i="93"/>
  <c r="JF779" i="93"/>
  <c r="JE779" i="93"/>
  <c r="IO779" i="93"/>
  <c r="IM779" i="93"/>
  <c r="HZ779" i="93"/>
  <c r="HY779" i="93"/>
  <c r="HR779" i="93"/>
  <c r="HQ779" i="93"/>
  <c r="HJ779" i="93"/>
  <c r="HI779" i="93"/>
  <c r="HB779" i="93"/>
  <c r="HA779" i="93"/>
  <c r="GT779" i="93"/>
  <c r="GS779" i="93"/>
  <c r="GL779" i="93"/>
  <c r="GK779" i="93"/>
  <c r="GD779" i="93"/>
  <c r="GC779" i="93"/>
  <c r="FV779" i="93"/>
  <c r="FU779" i="93"/>
  <c r="FN779" i="93"/>
  <c r="FM779" i="93"/>
  <c r="FF779" i="93"/>
  <c r="FE779" i="93"/>
  <c r="FA779" i="93"/>
  <c r="EZ779" i="93"/>
  <c r="EY779" i="93"/>
  <c r="EX779" i="93"/>
  <c r="EW779" i="93"/>
  <c r="EC779" i="93"/>
  <c r="DQ779" i="93"/>
  <c r="DG779" i="93"/>
  <c r="DF779" i="93"/>
  <c r="DC779" i="93"/>
  <c r="DB779" i="93"/>
  <c r="DA779" i="93"/>
  <c r="CZ779" i="93"/>
  <c r="CY779" i="93"/>
  <c r="CW779" i="93"/>
  <c r="CT779" i="93"/>
  <c r="CI779" i="93"/>
  <c r="CH779" i="93"/>
  <c r="BY779" i="93"/>
  <c r="BX779" i="93"/>
  <c r="BW779" i="93"/>
  <c r="BV779" i="93"/>
  <c r="BU779" i="93"/>
  <c r="BS779" i="93"/>
  <c r="BI779" i="93"/>
  <c r="AH779" i="93"/>
  <c r="Y779" i="93"/>
  <c r="HH778" i="93"/>
  <c r="FT778" i="93"/>
  <c r="CZ778" i="93"/>
  <c r="IZ777" i="93"/>
  <c r="IW777" i="93"/>
  <c r="IU777" i="93"/>
  <c r="IS777" i="93"/>
  <c r="IO777" i="93"/>
  <c r="IK777" i="93"/>
  <c r="IG777" i="93"/>
  <c r="IF777" i="93"/>
  <c r="IE777" i="93"/>
  <c r="IC777" i="93"/>
  <c r="HX777" i="93"/>
  <c r="HU777" i="93"/>
  <c r="HT777" i="93"/>
  <c r="HQ777" i="93"/>
  <c r="HP777" i="93"/>
  <c r="HL777" i="93"/>
  <c r="HH777" i="93"/>
  <c r="HG777" i="93"/>
  <c r="HE777" i="93"/>
  <c r="HD777" i="93"/>
  <c r="GY777" i="93"/>
  <c r="GV777" i="93"/>
  <c r="GU777" i="93"/>
  <c r="GT777" i="93"/>
  <c r="GS777" i="93"/>
  <c r="GO777" i="93"/>
  <c r="GM777" i="93"/>
  <c r="GL777" i="93"/>
  <c r="GK777" i="93"/>
  <c r="GJ777" i="93"/>
  <c r="GG777" i="93"/>
  <c r="GE777" i="93"/>
  <c r="GD777" i="93"/>
  <c r="GC777" i="93"/>
  <c r="GB777" i="93"/>
  <c r="FY777" i="93"/>
  <c r="FW777" i="93"/>
  <c r="FV777" i="93"/>
  <c r="FU777" i="93"/>
  <c r="FT777" i="93"/>
  <c r="FQ777" i="93"/>
  <c r="FO777" i="93"/>
  <c r="FN777" i="93"/>
  <c r="FM777" i="93"/>
  <c r="FL777" i="93"/>
  <c r="FI777" i="93"/>
  <c r="FG777" i="93"/>
  <c r="FF777" i="93"/>
  <c r="FE777" i="93"/>
  <c r="FD777" i="93"/>
  <c r="FA777" i="93"/>
  <c r="EY777" i="93"/>
  <c r="EX777" i="93"/>
  <c r="EW777" i="93"/>
  <c r="EV777" i="93"/>
  <c r="ER777" i="93"/>
  <c r="EO777" i="93"/>
  <c r="EN777" i="93"/>
  <c r="EM777" i="93"/>
  <c r="EK777" i="93"/>
  <c r="EG777" i="93"/>
  <c r="EE777" i="93"/>
  <c r="EC777" i="93"/>
  <c r="EB777" i="93"/>
  <c r="EA777" i="93"/>
  <c r="DW777" i="93"/>
  <c r="DT777" i="93"/>
  <c r="DS777" i="93"/>
  <c r="DQ777" i="93"/>
  <c r="DP777" i="93"/>
  <c r="DL777" i="93"/>
  <c r="DI777" i="93"/>
  <c r="DH777" i="93"/>
  <c r="DG777" i="93"/>
  <c r="DF777" i="93"/>
  <c r="DC777" i="93"/>
  <c r="DA777" i="93"/>
  <c r="CZ777" i="93"/>
  <c r="CY777" i="93"/>
  <c r="CV777" i="93"/>
  <c r="CQ777" i="93"/>
  <c r="CO777" i="93"/>
  <c r="CN777" i="93"/>
  <c r="CM777" i="93"/>
  <c r="CL777" i="93"/>
  <c r="CI777" i="93"/>
  <c r="CG777" i="93"/>
  <c r="CF777" i="93"/>
  <c r="CE777" i="93"/>
  <c r="CD777" i="93"/>
  <c r="CA777" i="93"/>
  <c r="BY777" i="93"/>
  <c r="BX777" i="93"/>
  <c r="BW777" i="93"/>
  <c r="BV777" i="93"/>
  <c r="BP777" i="93"/>
  <c r="BH777" i="93"/>
  <c r="BD777" i="93"/>
  <c r="AZ777" i="93"/>
  <c r="AV777" i="93"/>
  <c r="AO777" i="93"/>
  <c r="AM777" i="93"/>
  <c r="AL777" i="93"/>
  <c r="AK777" i="93"/>
  <c r="AJ777" i="93"/>
  <c r="AG777" i="93"/>
  <c r="AE777" i="93"/>
  <c r="AD777" i="93"/>
  <c r="AC777" i="93"/>
  <c r="AB777" i="93"/>
  <c r="Y777" i="93"/>
  <c r="W777" i="93"/>
  <c r="JQ776" i="93"/>
  <c r="JP776" i="93"/>
  <c r="JO776" i="93"/>
  <c r="JL776" i="93"/>
  <c r="JJ776" i="93"/>
  <c r="JI776" i="93"/>
  <c r="JH776" i="93"/>
  <c r="JG776" i="93"/>
  <c r="JD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HR774" i="93"/>
  <c r="HL774" i="93"/>
  <c r="GQ774" i="93"/>
  <c r="GL774" i="93"/>
  <c r="FP774" i="93"/>
  <c r="FF774" i="93"/>
  <c r="AQ774" i="93"/>
  <c r="JN773" i="93"/>
  <c r="JJ773" i="93"/>
  <c r="JA773" i="93"/>
  <c r="IW773" i="93"/>
  <c r="IS773" i="93"/>
  <c r="IO773" i="93"/>
  <c r="IK773" i="93"/>
  <c r="IG773" i="93"/>
  <c r="HZ773" i="93"/>
  <c r="HV773" i="93"/>
  <c r="HR773" i="93"/>
  <c r="HN773" i="93"/>
  <c r="HJ773" i="93"/>
  <c r="HF773" i="93"/>
  <c r="HB773" i="93"/>
  <c r="GX773" i="93"/>
  <c r="GT773" i="93"/>
  <c r="GP773" i="93"/>
  <c r="GL773" i="93"/>
  <c r="GH773" i="93"/>
  <c r="GD773" i="93"/>
  <c r="FZ773" i="93"/>
  <c r="FV773" i="93"/>
  <c r="FR773" i="93"/>
  <c r="FN773" i="93"/>
  <c r="FJ773" i="93"/>
  <c r="FF773" i="93"/>
  <c r="FB773" i="93"/>
  <c r="FA773" i="93"/>
  <c r="EZ773" i="93"/>
  <c r="EY773" i="93"/>
  <c r="EX773" i="93"/>
  <c r="EW773" i="93"/>
  <c r="ES773" i="93"/>
  <c r="EO773" i="93"/>
  <c r="EK773" i="93"/>
  <c r="EG773" i="93"/>
  <c r="EC773" i="93"/>
  <c r="DY773" i="93"/>
  <c r="DU773" i="93"/>
  <c r="DQ773" i="93"/>
  <c r="DM773" i="93"/>
  <c r="DI773" i="93"/>
  <c r="DE773" i="93"/>
  <c r="DC773" i="93"/>
  <c r="DB773" i="93"/>
  <c r="DA773" i="93"/>
  <c r="CZ773" i="93"/>
  <c r="CY773" i="93"/>
  <c r="CX773" i="93"/>
  <c r="CW773" i="93"/>
  <c r="CV773" i="93"/>
  <c r="CU773" i="93"/>
  <c r="CT773" i="93"/>
  <c r="CS773" i="93"/>
  <c r="CO773" i="93"/>
  <c r="CK773" i="93"/>
  <c r="CG773" i="93"/>
  <c r="CC773" i="93"/>
  <c r="BY773" i="93"/>
  <c r="BX773" i="93"/>
  <c r="BW773" i="93"/>
  <c r="BV773" i="93"/>
  <c r="BU773" i="93"/>
  <c r="BQ773" i="93"/>
  <c r="BM773" i="93"/>
  <c r="BI773" i="93"/>
  <c r="BE773" i="93"/>
  <c r="BA773" i="93"/>
  <c r="AW773" i="93"/>
  <c r="AS773" i="93"/>
  <c r="AO773" i="93"/>
  <c r="AK773" i="93"/>
  <c r="AG773" i="93"/>
  <c r="AC773" i="93"/>
  <c r="Y773" i="93"/>
  <c r="JG772" i="93"/>
  <c r="IZ772" i="93"/>
  <c r="IJ772" i="93"/>
  <c r="IB772" i="93"/>
  <c r="HX772" i="93"/>
  <c r="HT772" i="93"/>
  <c r="HP772" i="93"/>
  <c r="HL772" i="93"/>
  <c r="HH772" i="93"/>
  <c r="HD772" i="93"/>
  <c r="GZ772" i="93"/>
  <c r="GV772" i="93"/>
  <c r="GR772" i="93"/>
  <c r="GN772" i="93"/>
  <c r="GJ772" i="93"/>
  <c r="GF772" i="93"/>
  <c r="GB772" i="93"/>
  <c r="FX772" i="93"/>
  <c r="FT772" i="93"/>
  <c r="FP772" i="93"/>
  <c r="FL772" i="93"/>
  <c r="FH772" i="93"/>
  <c r="FD772" i="93"/>
  <c r="EZ772" i="93"/>
  <c r="ER772" i="93"/>
  <c r="EB772" i="93"/>
  <c r="DL772" i="93"/>
  <c r="DC772" i="93"/>
  <c r="DB772" i="93"/>
  <c r="DA772" i="93"/>
  <c r="CZ772" i="93"/>
  <c r="CY772" i="93"/>
  <c r="CX772" i="93"/>
  <c r="CW772" i="93"/>
  <c r="CU772" i="93"/>
  <c r="CT772" i="93"/>
  <c r="CF772" i="93"/>
  <c r="BY772" i="93"/>
  <c r="BX772" i="93"/>
  <c r="BW772" i="93"/>
  <c r="BV772" i="93"/>
  <c r="BU772" i="93"/>
  <c r="BP772" i="93"/>
  <c r="AZ772" i="93"/>
  <c r="AJ772" i="93"/>
  <c r="JN771" i="93"/>
  <c r="JJ771" i="93"/>
  <c r="IX771" i="93"/>
  <c r="IP771" i="93"/>
  <c r="IL771" i="93"/>
  <c r="IK771" i="93"/>
  <c r="IH771" i="93"/>
  <c r="IG771" i="93"/>
  <c r="ID771" i="93"/>
  <c r="HZ771" i="93"/>
  <c r="HV771" i="93"/>
  <c r="HR771" i="93"/>
  <c r="HN771" i="93"/>
  <c r="HJ771" i="93"/>
  <c r="HF771" i="93"/>
  <c r="HB771" i="93"/>
  <c r="GX771" i="93"/>
  <c r="GT771" i="93"/>
  <c r="GP771" i="93"/>
  <c r="GL771" i="93"/>
  <c r="GH771" i="93"/>
  <c r="GD771" i="93"/>
  <c r="FZ771" i="93"/>
  <c r="FV771" i="93"/>
  <c r="FR771" i="93"/>
  <c r="FN771" i="93"/>
  <c r="FJ771" i="93"/>
  <c r="FF771" i="93"/>
  <c r="FB771" i="93"/>
  <c r="EX771" i="93"/>
  <c r="ET771" i="93"/>
  <c r="EL771" i="93"/>
  <c r="ED771" i="93"/>
  <c r="DV771" i="93"/>
  <c r="DN771" i="93"/>
  <c r="DF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JM770" i="93"/>
  <c r="HF770" i="93"/>
  <c r="FZ770" i="93"/>
  <c r="EY770" i="93"/>
  <c r="ES770" i="93"/>
  <c r="CI770" i="93"/>
  <c r="AM770" i="93"/>
  <c r="IZ769" i="93"/>
  <c r="IJ769" i="93"/>
  <c r="IF769" i="93"/>
  <c r="GO769" i="93"/>
  <c r="FO769" i="93"/>
  <c r="FG769" i="93"/>
  <c r="FA769" i="93"/>
  <c r="EZ769" i="93"/>
  <c r="EY769" i="93"/>
  <c r="EX769" i="93"/>
  <c r="EW769" i="93"/>
  <c r="EN769" i="93"/>
  <c r="DX769" i="93"/>
  <c r="DH769" i="93"/>
  <c r="DC769" i="93"/>
  <c r="DB769" i="93"/>
  <c r="DA769" i="93"/>
  <c r="CZ769" i="93"/>
  <c r="CY769" i="93"/>
  <c r="CX769" i="93"/>
  <c r="CW769" i="93"/>
  <c r="CV769" i="93"/>
  <c r="CU769" i="93"/>
  <c r="CT769" i="93"/>
  <c r="CR769" i="93"/>
  <c r="CN769" i="93"/>
  <c r="CJ769" i="93"/>
  <c r="CF769" i="93"/>
  <c r="CB769" i="93"/>
  <c r="BY769" i="93"/>
  <c r="BX769" i="93"/>
  <c r="BW769" i="93"/>
  <c r="BV769" i="93"/>
  <c r="BU769" i="93"/>
  <c r="BT769" i="93"/>
  <c r="BP769" i="93"/>
  <c r="BL769" i="93"/>
  <c r="BH769" i="93"/>
  <c r="BD769" i="93"/>
  <c r="AZ769" i="93"/>
  <c r="AV769" i="93"/>
  <c r="AR769" i="93"/>
  <c r="AN769" i="93"/>
  <c r="AJ769" i="93"/>
  <c r="AF769" i="93"/>
  <c r="AB769" i="93"/>
  <c r="X769" i="93"/>
  <c r="JQ768" i="93"/>
  <c r="JP768" i="93"/>
  <c r="JM768" i="93"/>
  <c r="JL768" i="93"/>
  <c r="JI768" i="93"/>
  <c r="JH768" i="93"/>
  <c r="JE768" i="93"/>
  <c r="JD768" i="93"/>
  <c r="IB768" i="93"/>
  <c r="IA768" i="93"/>
  <c r="HX768" i="93"/>
  <c r="HW768" i="93"/>
  <c r="HT768" i="93"/>
  <c r="HS768" i="93"/>
  <c r="HP768" i="93"/>
  <c r="HO768" i="93"/>
  <c r="HL768" i="93"/>
  <c r="HK768" i="93"/>
  <c r="HH768" i="93"/>
  <c r="HG768" i="93"/>
  <c r="HD768" i="93"/>
  <c r="HC768" i="93"/>
  <c r="GZ768" i="93"/>
  <c r="GY768" i="93"/>
  <c r="GV768" i="93"/>
  <c r="GU768" i="93"/>
  <c r="GR768" i="93"/>
  <c r="GQ768" i="93"/>
  <c r="GN768" i="93"/>
  <c r="GM768" i="93"/>
  <c r="GJ768" i="93"/>
  <c r="GI768" i="93"/>
  <c r="GF768" i="93"/>
  <c r="GE768" i="93"/>
  <c r="GB768" i="93"/>
  <c r="GA768" i="93"/>
  <c r="FX768" i="93"/>
  <c r="FW768" i="93"/>
  <c r="FT768" i="93"/>
  <c r="FS768" i="93"/>
  <c r="FP768" i="93"/>
  <c r="FO768" i="93"/>
  <c r="FL768" i="93"/>
  <c r="FK768" i="93"/>
  <c r="FH768" i="93"/>
  <c r="FG768" i="93"/>
  <c r="FD768" i="93"/>
  <c r="FC768" i="93"/>
  <c r="EZ768" i="93"/>
  <c r="EY768" i="93"/>
  <c r="DC768" i="93"/>
  <c r="CY768" i="93"/>
  <c r="BX768" i="93"/>
  <c r="JQ767" i="93"/>
  <c r="JO767" i="93"/>
  <c r="JN767" i="93"/>
  <c r="JM767" i="93"/>
  <c r="JK767" i="93"/>
  <c r="JJ767" i="93"/>
  <c r="JI767" i="93"/>
  <c r="JG767" i="93"/>
  <c r="JF767" i="93"/>
  <c r="JE767" i="93"/>
  <c r="JC767" i="93"/>
  <c r="JA767" i="93"/>
  <c r="IU767" i="93"/>
  <c r="IP767" i="93"/>
  <c r="IK767" i="93"/>
  <c r="IE767" i="93"/>
  <c r="IC767" i="93"/>
  <c r="IA767" i="93"/>
  <c r="HZ767" i="93"/>
  <c r="HY767" i="93"/>
  <c r="HW767" i="93"/>
  <c r="HV767" i="93"/>
  <c r="HU767" i="93"/>
  <c r="HS767" i="93"/>
  <c r="HR767" i="93"/>
  <c r="HQ767" i="93"/>
  <c r="HO767" i="93"/>
  <c r="HN767" i="93"/>
  <c r="HM767" i="93"/>
  <c r="HK767" i="93"/>
  <c r="HJ767" i="93"/>
  <c r="HI767" i="93"/>
  <c r="HG767" i="93"/>
  <c r="HF767" i="93"/>
  <c r="HE767" i="93"/>
  <c r="HC767" i="93"/>
  <c r="HB767" i="93"/>
  <c r="HA767" i="93"/>
  <c r="GY767" i="93"/>
  <c r="GX767" i="93"/>
  <c r="GW767" i="93"/>
  <c r="GU767" i="93"/>
  <c r="GT767" i="93"/>
  <c r="GS767" i="93"/>
  <c r="GQ767" i="93"/>
  <c r="GP767" i="93"/>
  <c r="GO767" i="93"/>
  <c r="GM767" i="93"/>
  <c r="GL767" i="93"/>
  <c r="GK767" i="93"/>
  <c r="GI767" i="93"/>
  <c r="GH767" i="93"/>
  <c r="GG767" i="93"/>
  <c r="GE767" i="93"/>
  <c r="GD767" i="93"/>
  <c r="GC767" i="93"/>
  <c r="GA767" i="93"/>
  <c r="FZ767" i="93"/>
  <c r="FY767" i="93"/>
  <c r="FW767" i="93"/>
  <c r="FV767" i="93"/>
  <c r="FU767" i="93"/>
  <c r="FS767" i="93"/>
  <c r="FR767" i="93"/>
  <c r="FQ767" i="93"/>
  <c r="FO767" i="93"/>
  <c r="FN767" i="93"/>
  <c r="FM767" i="93"/>
  <c r="FK767" i="93"/>
  <c r="FJ767" i="93"/>
  <c r="FI767" i="93"/>
  <c r="FG767" i="93"/>
  <c r="FF767" i="93"/>
  <c r="FE767" i="93"/>
  <c r="FC767" i="93"/>
  <c r="FB767" i="93"/>
  <c r="FA767" i="93"/>
  <c r="EY767" i="93"/>
  <c r="EX767" i="93"/>
  <c r="EW767" i="93"/>
  <c r="ES767" i="93"/>
  <c r="EM767" i="93"/>
  <c r="EH767" i="93"/>
  <c r="EC767" i="93"/>
  <c r="DW767" i="93"/>
  <c r="DR767" i="93"/>
  <c r="DM767" i="93"/>
  <c r="DG767" i="93"/>
  <c r="DB767" i="93"/>
  <c r="CQ767" i="93"/>
  <c r="CL767" i="93"/>
  <c r="CF767" i="93"/>
  <c r="CA767" i="93"/>
  <c r="BV767" i="93"/>
  <c r="U760" i="93"/>
  <c r="A758" i="93"/>
  <c r="U758" i="93" s="1"/>
  <c r="JO771" i="93"/>
  <c r="FV774" i="93"/>
  <c r="GV774" i="93"/>
  <c r="IB774" i="93"/>
  <c r="EZ774" i="93"/>
  <c r="GA774" i="93"/>
  <c r="HG774" i="93"/>
  <c r="FC773" i="93"/>
  <c r="FG773" i="93"/>
  <c r="FK773" i="93"/>
  <c r="FO773" i="93"/>
  <c r="FS773" i="93"/>
  <c r="FW773" i="93"/>
  <c r="GA773" i="93"/>
  <c r="GE773" i="93"/>
  <c r="GI773" i="93"/>
  <c r="GM773" i="93"/>
  <c r="GQ773" i="93"/>
  <c r="GU773" i="93"/>
  <c r="GY773" i="93"/>
  <c r="HC773" i="93"/>
  <c r="HG773" i="93"/>
  <c r="HK773" i="93"/>
  <c r="HO773" i="93"/>
  <c r="HS773" i="93"/>
  <c r="HW773" i="93"/>
  <c r="IA773" i="93"/>
  <c r="FD773" i="93"/>
  <c r="FH773" i="93"/>
  <c r="FL773" i="93"/>
  <c r="FP773" i="93"/>
  <c r="FT773" i="93"/>
  <c r="FX773" i="93"/>
  <c r="GB773" i="93"/>
  <c r="GF773" i="93"/>
  <c r="GJ773" i="93"/>
  <c r="GN773" i="93"/>
  <c r="GR773" i="93"/>
  <c r="GV773" i="93"/>
  <c r="GZ773" i="93"/>
  <c r="HD773" i="93"/>
  <c r="HH773" i="93"/>
  <c r="HL773" i="93"/>
  <c r="HP773" i="93"/>
  <c r="HT773" i="93"/>
  <c r="HX773" i="93"/>
  <c r="IB773" i="93"/>
  <c r="JF773" i="93"/>
  <c r="FE773" i="93"/>
  <c r="FI773" i="93"/>
  <c r="FM773" i="93"/>
  <c r="FQ773" i="93"/>
  <c r="FU773" i="93"/>
  <c r="FY773" i="93"/>
  <c r="GC773" i="93"/>
  <c r="GG773" i="93"/>
  <c r="GK773" i="93"/>
  <c r="GO773" i="93"/>
  <c r="GS773" i="93"/>
  <c r="GW773" i="93"/>
  <c r="HA773" i="93"/>
  <c r="HE773" i="93"/>
  <c r="HI773" i="93"/>
  <c r="HM773" i="93"/>
  <c r="HQ773" i="93"/>
  <c r="HU773" i="93"/>
  <c r="HY773" i="93"/>
  <c r="AD773" i="93"/>
  <c r="AL773" i="93"/>
  <c r="AP773" i="93"/>
  <c r="BB773" i="93"/>
  <c r="BJ773" i="93"/>
  <c r="BR773" i="93"/>
  <c r="CD773" i="93"/>
  <c r="CL773" i="93"/>
  <c r="DJ773" i="93"/>
  <c r="DR773" i="93"/>
  <c r="DZ773" i="93"/>
  <c r="EH773" i="93"/>
  <c r="EP773" i="93"/>
  <c r="ID773" i="93"/>
  <c r="IL773" i="93"/>
  <c r="IT773" i="93"/>
  <c r="JB773" i="93"/>
  <c r="W773" i="93"/>
  <c r="AA773" i="93"/>
  <c r="AE773" i="93"/>
  <c r="AI773" i="93"/>
  <c r="AM773" i="93"/>
  <c r="AQ773" i="93"/>
  <c r="AU773" i="93"/>
  <c r="AY773" i="93"/>
  <c r="BC773" i="93"/>
  <c r="BG773" i="93"/>
  <c r="BK773" i="93"/>
  <c r="BO773" i="93"/>
  <c r="BS773" i="93"/>
  <c r="CA773" i="93"/>
  <c r="CE773" i="93"/>
  <c r="CI773" i="93"/>
  <c r="CM773" i="93"/>
  <c r="CQ773" i="93"/>
  <c r="DG773" i="93"/>
  <c r="DK773" i="93"/>
  <c r="DO773" i="93"/>
  <c r="DS773" i="93"/>
  <c r="DW773" i="93"/>
  <c r="EA773" i="93"/>
  <c r="EE773" i="93"/>
  <c r="EI773" i="93"/>
  <c r="EM773" i="93"/>
  <c r="EQ773" i="93"/>
  <c r="EU773" i="93"/>
  <c r="IE773" i="93"/>
  <c r="II773" i="93"/>
  <c r="IM773" i="93"/>
  <c r="IQ773" i="93"/>
  <c r="IU773" i="93"/>
  <c r="IY773" i="93"/>
  <c r="Z773" i="93"/>
  <c r="AH773" i="93"/>
  <c r="AT773" i="93"/>
  <c r="AX773" i="93"/>
  <c r="BF773" i="93"/>
  <c r="BN773" i="93"/>
  <c r="BZ773" i="93"/>
  <c r="CH773" i="93"/>
  <c r="CP773" i="93"/>
  <c r="DF773" i="93"/>
  <c r="DN773" i="93"/>
  <c r="DV773" i="93"/>
  <c r="ED773" i="93"/>
  <c r="EL773" i="93"/>
  <c r="ET773" i="93"/>
  <c r="IH773" i="93"/>
  <c r="IP773" i="93"/>
  <c r="IX773" i="93"/>
  <c r="X773" i="93"/>
  <c r="AB773" i="93"/>
  <c r="AF773" i="93"/>
  <c r="AJ773" i="93"/>
  <c r="AN773" i="93"/>
  <c r="AR773" i="93"/>
  <c r="AV773" i="93"/>
  <c r="AZ773" i="93"/>
  <c r="BD773" i="93"/>
  <c r="BH773" i="93"/>
  <c r="BL773" i="93"/>
  <c r="BP773" i="93"/>
  <c r="BT773" i="93"/>
  <c r="CB773" i="93"/>
  <c r="CF773" i="93"/>
  <c r="CJ773" i="93"/>
  <c r="CN773" i="93"/>
  <c r="CR773" i="93"/>
  <c r="DD773" i="93"/>
  <c r="DH773" i="93"/>
  <c r="DL773" i="93"/>
  <c r="DP773" i="93"/>
  <c r="DT773" i="93"/>
  <c r="DX773" i="93"/>
  <c r="EB773" i="93"/>
  <c r="EF773" i="93"/>
  <c r="EJ773" i="93"/>
  <c r="EN773" i="93"/>
  <c r="ER773" i="93"/>
  <c r="EV773" i="93"/>
  <c r="IF773" i="93"/>
  <c r="IJ773" i="93"/>
  <c r="IN773" i="93"/>
  <c r="IR773" i="93"/>
  <c r="IV773"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Q772" i="93"/>
  <c r="FC772" i="93"/>
  <c r="FG772" i="93"/>
  <c r="FK772" i="93"/>
  <c r="FO772" i="93"/>
  <c r="FS772" i="93"/>
  <c r="FW772" i="93"/>
  <c r="GA772" i="93"/>
  <c r="GE772" i="93"/>
  <c r="GI772" i="93"/>
  <c r="GM772" i="93"/>
  <c r="GQ772" i="93"/>
  <c r="GU772" i="93"/>
  <c r="GY772" i="93"/>
  <c r="HC772" i="93"/>
  <c r="HG772" i="93"/>
  <c r="HK772" i="93"/>
  <c r="HO772" i="93"/>
  <c r="HS772" i="93"/>
  <c r="HW772" i="93"/>
  <c r="IA772" i="93"/>
  <c r="DQ771" i="93"/>
  <c r="EO771" i="93"/>
  <c r="IS771" i="93"/>
  <c r="DJ771" i="93"/>
  <c r="DR771" i="93"/>
  <c r="DZ771" i="93"/>
  <c r="EH771" i="93"/>
  <c r="EP771" i="93"/>
  <c r="IT771" i="93"/>
  <c r="JB771" i="93"/>
  <c r="IZ771" i="93"/>
  <c r="DI771" i="93"/>
  <c r="DY771" i="93"/>
  <c r="EG771" i="93"/>
  <c r="JA771" i="93"/>
  <c r="DE771" i="93"/>
  <c r="DM771" i="93"/>
  <c r="DU771" i="93"/>
  <c r="EC771" i="93"/>
  <c r="EK771" i="93"/>
  <c r="ES771" i="93"/>
  <c r="IO771" i="93"/>
  <c r="IW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JD771" i="93"/>
  <c r="JH771" i="93"/>
  <c r="JL771" i="93"/>
  <c r="JP771" i="93"/>
  <c r="A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E771" i="93"/>
  <c r="JI771" i="93"/>
  <c r="JM771" i="93"/>
  <c r="JQ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JC771" i="93"/>
  <c r="JG771" i="93"/>
  <c r="JK771" i="93"/>
  <c r="CX771" i="93"/>
  <c r="FJ769" i="93"/>
  <c r="HA769" i="93"/>
  <c r="FY769" i="93"/>
  <c r="FB769" i="93"/>
  <c r="FU769" i="93"/>
  <c r="FC769" i="93"/>
  <c r="FK769" i="93"/>
  <c r="HE769" i="93"/>
  <c r="FF769" i="93"/>
  <c r="FN769" i="93"/>
  <c r="GK769" i="93"/>
  <c r="HQ769" i="93"/>
  <c r="HU769" i="93"/>
  <c r="FD769" i="93"/>
  <c r="FH769" i="93"/>
  <c r="FL769" i="93"/>
  <c r="FP769" i="93"/>
  <c r="GC769" i="93"/>
  <c r="GS769" i="93"/>
  <c r="HI769" i="93"/>
  <c r="HY769" i="93"/>
  <c r="FE769" i="93"/>
  <c r="FI769" i="93"/>
  <c r="FM769" i="93"/>
  <c r="FQ769" i="93"/>
  <c r="GG769" i="93"/>
  <c r="GW769" i="93"/>
  <c r="HM769" i="93"/>
  <c r="FR769" i="93"/>
  <c r="FV769" i="93"/>
  <c r="FZ769" i="93"/>
  <c r="GD769" i="93"/>
  <c r="GH769" i="93"/>
  <c r="GL769" i="93"/>
  <c r="GP769" i="93"/>
  <c r="GT769" i="93"/>
  <c r="GX769" i="93"/>
  <c r="HB769" i="93"/>
  <c r="HF769" i="93"/>
  <c r="HJ769" i="93"/>
  <c r="HN769" i="93"/>
  <c r="HR769" i="93"/>
  <c r="HV769" i="93"/>
  <c r="HZ769" i="93"/>
  <c r="FS769" i="93"/>
  <c r="FW769" i="93"/>
  <c r="GA769" i="93"/>
  <c r="GE769" i="93"/>
  <c r="GI769" i="93"/>
  <c r="GM769" i="93"/>
  <c r="GQ769" i="93"/>
  <c r="GU769" i="93"/>
  <c r="GY769" i="93"/>
  <c r="HC769" i="93"/>
  <c r="HG769" i="93"/>
  <c r="HK769" i="93"/>
  <c r="HO769" i="93"/>
  <c r="HS769" i="93"/>
  <c r="HW769" i="93"/>
  <c r="IA769" i="93"/>
  <c r="JQ769" i="93"/>
  <c r="FT769" i="93"/>
  <c r="FX769" i="93"/>
  <c r="GB769" i="93"/>
  <c r="GF769" i="93"/>
  <c r="GJ769" i="93"/>
  <c r="GN769" i="93"/>
  <c r="GR769" i="93"/>
  <c r="GV769" i="93"/>
  <c r="GZ769" i="93"/>
  <c r="HD769" i="93"/>
  <c r="HH769" i="93"/>
  <c r="HL769" i="93"/>
  <c r="HP769" i="93"/>
  <c r="HT769" i="93"/>
  <c r="HX769" i="93"/>
  <c r="IB769" i="93"/>
  <c r="Y769" i="93"/>
  <c r="AC769" i="93"/>
  <c r="AG769" i="93"/>
  <c r="AK769" i="93"/>
  <c r="AO769" i="93"/>
  <c r="AS769" i="93"/>
  <c r="AW769" i="93"/>
  <c r="BA769" i="93"/>
  <c r="BE769" i="93"/>
  <c r="BI769" i="93"/>
  <c r="BM769" i="93"/>
  <c r="BQ769" i="93"/>
  <c r="CC769" i="93"/>
  <c r="CG769" i="93"/>
  <c r="CK769" i="93"/>
  <c r="CO769" i="93"/>
  <c r="CS769" i="93"/>
  <c r="DQ769" i="93"/>
  <c r="EG769" i="93"/>
  <c r="IG769" i="93"/>
  <c r="IK769" i="93"/>
  <c r="IW769" i="93"/>
  <c r="Z769" i="93"/>
  <c r="AL769" i="93"/>
  <c r="AP769" i="93"/>
  <c r="BB769" i="93"/>
  <c r="BN769" i="93"/>
  <c r="BZ769" i="93"/>
  <c r="CH769" i="93"/>
  <c r="CP769" i="93"/>
  <c r="DV769" i="93"/>
  <c r="ID769" i="93"/>
  <c r="IH769" i="93"/>
  <c r="IL769" i="93"/>
  <c r="IT769" i="93"/>
  <c r="AD769" i="93"/>
  <c r="AH769" i="93"/>
  <c r="AT769" i="93"/>
  <c r="AX769" i="93"/>
  <c r="BF769" i="93"/>
  <c r="BJ769" i="93"/>
  <c r="BR769" i="93"/>
  <c r="CD769" i="93"/>
  <c r="CL769" i="93"/>
  <c r="DJ769" i="93"/>
  <c r="EP769" i="93"/>
  <c r="W769" i="93"/>
  <c r="AA769" i="93"/>
  <c r="AE769" i="93"/>
  <c r="AI769" i="93"/>
  <c r="AM769" i="93"/>
  <c r="AQ769" i="93"/>
  <c r="AU769" i="93"/>
  <c r="AY769" i="93"/>
  <c r="BC769" i="93"/>
  <c r="BG769" i="93"/>
  <c r="BK769" i="93"/>
  <c r="BO769" i="93"/>
  <c r="BS769" i="93"/>
  <c r="CA769" i="93"/>
  <c r="CE769" i="93"/>
  <c r="CI769" i="93"/>
  <c r="CM769" i="93"/>
  <c r="CQ769" i="93"/>
  <c r="DK769" i="93"/>
  <c r="EA769" i="93"/>
  <c r="EQ769" i="93"/>
  <c r="IE769" i="93"/>
  <c r="II769" i="93"/>
  <c r="IM769" i="93"/>
  <c r="CV768" i="93"/>
  <c r="BW768" i="93"/>
  <c r="CT768" i="93"/>
  <c r="CX768" i="93"/>
  <c r="DB768" i="93"/>
  <c r="BU768" i="93"/>
  <c r="CZ768" i="93"/>
  <c r="BY768" i="93"/>
  <c r="BV768" i="93"/>
  <c r="CW768" i="93"/>
  <c r="DA768" i="93"/>
  <c r="BW767" i="93"/>
  <c r="CB767" i="93"/>
  <c r="CH767" i="93"/>
  <c r="CM767" i="93"/>
  <c r="CR767" i="93"/>
  <c r="DC767" i="93"/>
  <c r="DI767" i="93"/>
  <c r="DN767" i="93"/>
  <c r="DS767" i="93"/>
  <c r="DY767" i="93"/>
  <c r="ED767" i="93"/>
  <c r="EI767" i="93"/>
  <c r="EO767" i="93"/>
  <c r="ET767" i="93"/>
  <c r="IG767" i="93"/>
  <c r="IL767" i="93"/>
  <c r="IQ767" i="93"/>
  <c r="IW767" i="93"/>
  <c r="JB767" i="93"/>
  <c r="BX767" i="93"/>
  <c r="CD767" i="93"/>
  <c r="CI767" i="93"/>
  <c r="CN767" i="93"/>
  <c r="CY767" i="93"/>
  <c r="DE767" i="93"/>
  <c r="DJ767" i="93"/>
  <c r="DO767" i="93"/>
  <c r="DU767" i="93"/>
  <c r="DZ767" i="93"/>
  <c r="EE767" i="93"/>
  <c r="EK767" i="93"/>
  <c r="EP767" i="93"/>
  <c r="EU767" i="93"/>
  <c r="IH767" i="93"/>
  <c r="IM767" i="93"/>
  <c r="IS767" i="93"/>
  <c r="IX767" i="93"/>
  <c r="BP767" i="93"/>
  <c r="BL767" i="93"/>
  <c r="BZ767" i="93"/>
  <c r="CE767" i="93"/>
  <c r="CJ767" i="93"/>
  <c r="CP767" i="93"/>
  <c r="DA767" i="93"/>
  <c r="DF767" i="93"/>
  <c r="DK767" i="93"/>
  <c r="DQ767" i="93"/>
  <c r="DV767" i="93"/>
  <c r="EA767" i="93"/>
  <c r="EG767" i="93"/>
  <c r="EL767" i="93"/>
  <c r="EQ767" i="93"/>
  <c r="ID767" i="93"/>
  <c r="II767" i="93"/>
  <c r="IO767" i="93"/>
  <c r="IT767" i="93"/>
  <c r="BH767" i="93"/>
  <c r="BQ767" i="93"/>
  <c r="CV767" i="93"/>
  <c r="BI767" i="93"/>
  <c r="BT767" i="93"/>
  <c r="CW767" i="93"/>
  <c r="BD767" i="93"/>
  <c r="CU76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JD767" i="93"/>
  <c r="JH767" i="93"/>
  <c r="JL767" i="93"/>
  <c r="JH770" i="93"/>
  <c r="JI774" i="93"/>
  <c r="CV787" i="93"/>
  <c r="CX791" i="93"/>
  <c r="CX795" i="93"/>
  <c r="CX799" i="93"/>
  <c r="CU803" i="93"/>
  <c r="K923" i="93"/>
  <c r="P924" i="93"/>
  <c r="X767" i="93"/>
  <c r="AB767" i="93"/>
  <c r="AF767" i="93"/>
  <c r="AJ767" i="93"/>
  <c r="AN767" i="93"/>
  <c r="AR767" i="93"/>
  <c r="AV767" i="93"/>
  <c r="AZ767" i="93"/>
  <c r="AD767" i="93"/>
  <c r="AL767" i="93"/>
  <c r="AP767" i="93"/>
  <c r="AT767" i="93"/>
  <c r="BB767" i="93"/>
  <c r="AA767" i="93"/>
  <c r="AI767" i="93"/>
  <c r="AQ767" i="93"/>
  <c r="AY767" i="93"/>
  <c r="Y767" i="93"/>
  <c r="AC767" i="93"/>
  <c r="AG767" i="93"/>
  <c r="AK767" i="93"/>
  <c r="AO767" i="93"/>
  <c r="AS767" i="93"/>
  <c r="AW767" i="93"/>
  <c r="BA767" i="93"/>
  <c r="Z767" i="93"/>
  <c r="AH767" i="93"/>
  <c r="AX767" i="93"/>
  <c r="W767" i="93"/>
  <c r="AE767" i="93"/>
  <c r="AM767" i="93"/>
  <c r="AU767" i="93"/>
  <c r="CV788" i="93"/>
  <c r="CU792" i="93"/>
  <c r="CU796" i="93"/>
  <c r="CW800" i="93"/>
  <c r="CW804" i="93"/>
  <c r="DB770" i="93"/>
  <c r="CY774" i="93"/>
  <c r="DR778" i="93"/>
  <c r="ER782" i="93"/>
  <c r="IM786" i="93"/>
  <c r="EH790" i="93"/>
  <c r="AB794" i="93"/>
  <c r="JP800" i="93"/>
  <c r="JP804" i="93"/>
  <c r="DQ770" i="93"/>
  <c r="DL782" i="93"/>
  <c r="IP790" i="93"/>
  <c r="AT768" i="93"/>
  <c r="AB768" i="93"/>
  <c r="AI768" i="93"/>
  <c r="AY768" i="93"/>
  <c r="HL801" i="93"/>
  <c r="O839" i="93"/>
  <c r="O838" i="93"/>
  <c r="HW774" i="93"/>
  <c r="GU782" i="93"/>
  <c r="FP802" i="93"/>
  <c r="G885" i="93"/>
  <c r="K916" i="93"/>
  <c r="J889" i="93"/>
  <c r="N889" i="93"/>
  <c r="H894" i="93"/>
  <c r="L894" i="93"/>
  <c r="P894" i="93"/>
  <c r="J898" i="93"/>
  <c r="N898" i="93"/>
  <c r="H898" i="93"/>
  <c r="L898" i="93"/>
  <c r="P898" i="93"/>
  <c r="I912" i="93"/>
  <c r="F934" i="93"/>
  <c r="J885" i="93"/>
  <c r="K885" i="93"/>
  <c r="G889" i="93"/>
  <c r="K889" i="93"/>
  <c r="O889" i="93"/>
  <c r="I894" i="93"/>
  <c r="M894" i="93"/>
  <c r="I898" i="93"/>
  <c r="M898" i="93"/>
  <c r="G903" i="93"/>
  <c r="K903" i="93"/>
  <c r="O903" i="93"/>
  <c r="F925" i="93"/>
  <c r="K942" i="93"/>
  <c r="O1583" i="93"/>
  <c r="P1567" i="93" s="1"/>
  <c r="F1569" i="93"/>
  <c r="P1564" i="93"/>
  <c r="O1569" i="93"/>
  <c r="P1566" i="93" s="1"/>
  <c r="J1569" i="93"/>
  <c r="P1565" i="93" s="1"/>
  <c r="F945" i="93"/>
  <c r="G912" i="93"/>
  <c r="HC786" i="93"/>
  <c r="FM786" i="93"/>
  <c r="HN786" i="93"/>
  <c r="FW786" i="93"/>
  <c r="GM790" i="93"/>
  <c r="HC790" i="93"/>
  <c r="GC794" i="93"/>
  <c r="HI794" i="93"/>
  <c r="GC798" i="93"/>
  <c r="HT798" i="93"/>
  <c r="GE770" i="93"/>
  <c r="FK774" i="93"/>
  <c r="GF774" i="93"/>
  <c r="HB774"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Q773" i="93"/>
  <c r="JQ777" i="93"/>
  <c r="JN781" i="93"/>
  <c r="JO785" i="93"/>
  <c r="JO789" i="93"/>
  <c r="JN793" i="93"/>
  <c r="JL797" i="93"/>
  <c r="JG801" i="93"/>
  <c r="A777" i="93"/>
  <c r="A801" i="93"/>
  <c r="DW770" i="93"/>
  <c r="BS774" i="93"/>
  <c r="Z778" i="93"/>
  <c r="DI778" i="93"/>
  <c r="ET778" i="93"/>
  <c r="IU778" i="93"/>
  <c r="DY782" i="93"/>
  <c r="EL786" i="93"/>
  <c r="CZ790" i="93"/>
  <c r="AK798" i="93"/>
  <c r="BV770" i="93"/>
  <c r="ED770" i="93"/>
  <c r="IO770" i="93"/>
  <c r="BY774" i="93"/>
  <c r="IT774" i="93"/>
  <c r="AE770" i="93"/>
  <c r="CC770" i="93"/>
  <c r="DI770" i="93"/>
  <c r="EL770" i="93"/>
  <c r="IU770" i="93"/>
  <c r="DD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K778" i="93"/>
  <c r="CM778" i="93"/>
  <c r="CQ782" i="93"/>
  <c r="CP786" i="93"/>
  <c r="CR794" i="93"/>
  <c r="BO770" i="93"/>
  <c r="BE774"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N769" i="93"/>
  <c r="JC773" i="93"/>
  <c r="JC777" i="93"/>
  <c r="JG777" i="93"/>
  <c r="JK777" i="93"/>
  <c r="JO777" i="93"/>
  <c r="JD781" i="93"/>
  <c r="JL781" i="93"/>
  <c r="JP781" i="93"/>
  <c r="JE785" i="93"/>
  <c r="JI785" i="93"/>
  <c r="JM785" i="93"/>
  <c r="JE789" i="93"/>
  <c r="JI789" i="93"/>
  <c r="JM789" i="93"/>
  <c r="JD793" i="93"/>
  <c r="JH793" i="93"/>
  <c r="JL793" i="93"/>
  <c r="JP793" i="93"/>
  <c r="JJ797" i="93"/>
  <c r="JO769" i="93"/>
  <c r="JH773" i="93"/>
  <c r="JL773" i="93"/>
  <c r="JC774" i="93"/>
  <c r="JH777" i="93"/>
  <c r="JE773" i="93"/>
  <c r="JI773" i="93"/>
  <c r="JM773" i="93"/>
  <c r="JE777" i="93"/>
  <c r="JI777" i="93"/>
  <c r="JM777" i="93"/>
  <c r="JF781" i="93"/>
  <c r="JJ781" i="93"/>
  <c r="A785" i="93"/>
  <c r="JC785" i="93"/>
  <c r="JG785" i="93"/>
  <c r="JK785" i="93"/>
  <c r="JC789" i="93"/>
  <c r="JG789" i="93"/>
  <c r="JK789" i="93"/>
  <c r="JF793" i="93"/>
  <c r="JJ793" i="93"/>
  <c r="JG797" i="93"/>
  <c r="JN770" i="93"/>
  <c r="JJ770" i="93"/>
  <c r="JB770" i="93"/>
  <c r="IW770" i="93"/>
  <c r="IQ770" i="93"/>
  <c r="IL770" i="93"/>
  <c r="IG770" i="93"/>
  <c r="IB770" i="93"/>
  <c r="HL770" i="93"/>
  <c r="GV770" i="93"/>
  <c r="GF770" i="93"/>
  <c r="FP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DU774" i="93"/>
  <c r="DA774" i="93"/>
  <c r="CW774" i="93"/>
  <c r="CI774" i="93"/>
  <c r="BX774" i="93"/>
  <c r="BO774" i="93"/>
  <c r="AS774" i="93"/>
  <c r="X774" i="93"/>
  <c r="IX778" i="93"/>
  <c r="FU778" i="93"/>
  <c r="JI778" i="93"/>
  <c r="IY778" i="93"/>
  <c r="IS778" i="93"/>
  <c r="IK778" i="93"/>
  <c r="ID778" i="93"/>
  <c r="HR778" i="93"/>
  <c r="HB778" i="93"/>
  <c r="GL778" i="93"/>
  <c r="FV778" i="93"/>
  <c r="FF778" i="93"/>
  <c r="EQ778" i="93"/>
  <c r="EI778" i="93"/>
  <c r="EC778" i="93"/>
  <c r="DV778" i="93"/>
  <c r="DN778" i="93"/>
  <c r="DG778" i="93"/>
  <c r="DA778" i="93"/>
  <c r="CW778" i="93"/>
  <c r="CS778" i="93"/>
  <c r="CK778" i="93"/>
  <c r="CD778" i="93"/>
  <c r="BX778" i="93"/>
  <c r="BS778" i="93"/>
  <c r="BK778" i="93"/>
  <c r="BE778" i="93"/>
  <c r="AX778" i="93"/>
  <c r="AP778" i="93"/>
  <c r="AI778" i="93"/>
  <c r="AC778" i="93"/>
  <c r="JH778" i="93"/>
  <c r="IP778" i="93"/>
  <c r="II778" i="93"/>
  <c r="IC778" i="93"/>
  <c r="HI778" i="93"/>
  <c r="GK778" i="93"/>
  <c r="FQ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GA770" i="93"/>
  <c r="HG770" i="93"/>
  <c r="II770" i="93"/>
  <c r="IX770" i="93"/>
  <c r="JI770" i="93"/>
  <c r="AE774" i="93"/>
  <c r="BM774" i="93"/>
  <c r="CU774" i="93"/>
  <c r="CZ774" i="93"/>
  <c r="ET774" i="93"/>
  <c r="FG774" i="93"/>
  <c r="FL774" i="93"/>
  <c r="FW774" i="93"/>
  <c r="GH774" i="93"/>
  <c r="GM774" i="93"/>
  <c r="GX774" i="93"/>
  <c r="HC774" i="93"/>
  <c r="HN774" i="93"/>
  <c r="JE774" i="93"/>
  <c r="JJ774" i="93"/>
  <c r="AM778" i="93"/>
  <c r="AU778" i="93"/>
  <c r="BO778" i="93"/>
  <c r="BW778" i="93"/>
  <c r="CO778" i="93"/>
  <c r="CV778" i="93"/>
  <c r="DK778" i="93"/>
  <c r="DS778" i="93"/>
  <c r="EM778" i="93"/>
  <c r="FO778" i="93"/>
  <c r="HK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W770" i="93"/>
  <c r="GS770" i="93"/>
  <c r="HN770" i="93"/>
  <c r="IK770" i="93"/>
  <c r="IS770" i="93"/>
  <c r="IY770" i="93"/>
  <c r="JK770" i="93"/>
  <c r="JP770" i="93"/>
  <c r="BA774" i="93"/>
  <c r="BV774" i="93"/>
  <c r="CJ774" i="93"/>
  <c r="CV774" i="93"/>
  <c r="DO774" i="93"/>
  <c r="EX774" i="93"/>
  <c r="FC774" i="93"/>
  <c r="FH774" i="93"/>
  <c r="FN774" i="93"/>
  <c r="FX774" i="93"/>
  <c r="GD774" i="93"/>
  <c r="GI774" i="93"/>
  <c r="GN774" i="93"/>
  <c r="GT774" i="93"/>
  <c r="GY774" i="93"/>
  <c r="HD774" i="93"/>
  <c r="HJ774" i="93"/>
  <c r="HT774" i="93"/>
  <c r="HZ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EX770" i="93"/>
  <c r="FI770" i="93"/>
  <c r="GD770" i="93"/>
  <c r="GY770" i="93"/>
  <c r="HU770" i="93"/>
  <c r="IE770" i="93"/>
  <c r="IM770" i="93"/>
  <c r="IT770" i="93"/>
  <c r="JA770" i="93"/>
  <c r="JL770" i="93"/>
  <c r="JQ770" i="93"/>
  <c r="AO774" i="93"/>
  <c r="BQ774" i="93"/>
  <c r="BW774" i="93"/>
  <c r="CR774" i="93"/>
  <c r="CX774" i="93"/>
  <c r="DC774" i="93"/>
  <c r="DQ774" i="93"/>
  <c r="EY774" i="93"/>
  <c r="FD774" i="93"/>
  <c r="FJ774" i="93"/>
  <c r="FO774" i="93"/>
  <c r="FT774" i="93"/>
  <c r="FZ774" i="93"/>
  <c r="GE774" i="93"/>
  <c r="GJ774" i="93"/>
  <c r="GP774" i="93"/>
  <c r="GU774" i="93"/>
  <c r="GZ774" i="93"/>
  <c r="HF774" i="93"/>
  <c r="HK774" i="93"/>
  <c r="HP774" i="93"/>
  <c r="HV774" i="93"/>
  <c r="IA774" i="93"/>
  <c r="IH774" i="93"/>
  <c r="JG774" i="93"/>
  <c r="JM774" i="93"/>
  <c r="Y778" i="93"/>
  <c r="AH778" i="93"/>
  <c r="AS778" i="93"/>
  <c r="BA778" i="93"/>
  <c r="BJ778" i="93"/>
  <c r="BU778" i="93"/>
  <c r="BZ778" i="93"/>
  <c r="CI778" i="93"/>
  <c r="CT778" i="93"/>
  <c r="CY778" i="93"/>
  <c r="DF778" i="93"/>
  <c r="DQ778" i="93"/>
  <c r="DY778" i="93"/>
  <c r="EH778" i="93"/>
  <c r="ES778" i="93"/>
  <c r="FC778" i="93"/>
  <c r="GI778" i="93"/>
  <c r="HO778" i="93"/>
  <c r="IE778" i="93"/>
  <c r="IT778" i="93"/>
  <c r="JF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V770" i="93"/>
  <c r="IC770" i="93"/>
  <c r="IP770" i="93"/>
  <c r="BU774" i="93"/>
  <c r="FB774" i="93"/>
  <c r="FR774" i="93"/>
  <c r="GB774" i="93"/>
  <c r="GR774" i="93"/>
  <c r="HH774" i="93"/>
  <c r="HS774" i="93"/>
  <c r="HX774" i="93"/>
  <c r="JO774" i="93"/>
  <c r="AD778" i="93"/>
  <c r="BF778" i="93"/>
  <c r="CE778" i="93"/>
  <c r="DB778" i="93"/>
  <c r="ED778" i="93"/>
  <c r="EY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DB774" i="93"/>
  <c r="FS774" i="93"/>
  <c r="HO774" i="93"/>
  <c r="W778" i="93"/>
  <c r="AE778" i="93"/>
  <c r="AO778" i="93"/>
  <c r="AY778" i="93"/>
  <c r="BI778" i="93"/>
  <c r="BQ778" i="93"/>
  <c r="BY778" i="93"/>
  <c r="CH778" i="93"/>
  <c r="CP778" i="93"/>
  <c r="CX778" i="93"/>
  <c r="DC778" i="93"/>
  <c r="DM778" i="93"/>
  <c r="DW778" i="93"/>
  <c r="EG778" i="93"/>
  <c r="EO778" i="93"/>
  <c r="FX778" i="93"/>
  <c r="HD778" i="93"/>
  <c r="IO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Q805" i="93" s="1"/>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IT768" i="93"/>
  <c r="IP768" i="93"/>
  <c r="ID768" i="93"/>
  <c r="ET768" i="93"/>
  <c r="EH768" i="93"/>
  <c r="ED768" i="93"/>
  <c r="DR768" i="93"/>
  <c r="DN768" i="93"/>
  <c r="CP768" i="93"/>
  <c r="CL768" i="93"/>
  <c r="BZ768" i="93"/>
  <c r="BR768" i="93"/>
  <c r="BF768" i="93"/>
  <c r="JA768" i="93"/>
  <c r="IO768" i="93"/>
  <c r="IK768" i="93"/>
  <c r="EO768" i="93"/>
  <c r="EK768" i="93"/>
  <c r="DY768" i="93"/>
  <c r="DU768" i="93"/>
  <c r="DI768" i="93"/>
  <c r="DE768" i="93"/>
  <c r="CK768" i="93"/>
  <c r="CG768" i="93"/>
  <c r="BM768" i="93"/>
  <c r="BI768" i="93"/>
  <c r="IV768" i="93"/>
  <c r="IR768" i="93"/>
  <c r="IF768" i="93"/>
  <c r="EV768" i="93"/>
  <c r="EJ768" i="93"/>
  <c r="EF768" i="93"/>
  <c r="DT768" i="93"/>
  <c r="DP768" i="93"/>
  <c r="DD768" i="93"/>
  <c r="CR768" i="93"/>
  <c r="CF768" i="93"/>
  <c r="CB768" i="93"/>
  <c r="BL768" i="93"/>
  <c r="BH768" i="93"/>
  <c r="CA768" i="93"/>
  <c r="CQ768" i="93"/>
  <c r="EQ768" i="93"/>
  <c r="II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DS768" i="93"/>
  <c r="EI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N774" i="93"/>
  <c r="ER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P774" i="93"/>
  <c r="BF774" i="93"/>
  <c r="BZ774" i="93"/>
  <c r="CP774" i="93"/>
  <c r="DR774" i="93"/>
  <c r="EK774" i="93"/>
  <c r="IL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BO805" i="93" s="1"/>
  <c r="N826" i="93" s="1"/>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L737" i="93"/>
  <c r="K738" i="93"/>
  <c r="J738" i="93"/>
  <c r="I738" i="93"/>
  <c r="M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S556" i="93"/>
  <c r="T556" i="93"/>
  <c r="H557" i="93"/>
  <c r="H558" i="93"/>
  <c r="G559" i="93"/>
  <c r="H559" i="93"/>
  <c r="G560" i="93"/>
  <c r="H560" i="93"/>
  <c r="G561" i="93"/>
  <c r="U561" i="93" s="1"/>
  <c r="H561" i="93"/>
  <c r="K560" i="93"/>
  <c r="J560" i="93"/>
  <c r="T553" i="93"/>
  <c r="T552" i="93"/>
  <c r="S552" i="93"/>
  <c r="T551" i="93"/>
  <c r="S551" i="93"/>
  <c r="Q553" i="93"/>
  <c r="P553" i="93"/>
  <c r="Q552" i="93"/>
  <c r="P552" i="93"/>
  <c r="Q551" i="93"/>
  <c r="P551" i="93"/>
  <c r="N553" i="93"/>
  <c r="M553" i="93"/>
  <c r="N552" i="93"/>
  <c r="M552" i="93"/>
  <c r="N551" i="93"/>
  <c r="M551" i="93"/>
  <c r="K553" i="93"/>
  <c r="K552" i="93"/>
  <c r="J552" i="93"/>
  <c r="K551" i="93"/>
  <c r="J551" i="93"/>
  <c r="G552" i="93"/>
  <c r="H552"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T536" i="93"/>
  <c r="S536" i="93"/>
  <c r="T535" i="93"/>
  <c r="S535" i="93"/>
  <c r="T534" i="93"/>
  <c r="S534" i="93"/>
  <c r="T533" i="93"/>
  <c r="S533" i="93"/>
  <c r="T532" i="93"/>
  <c r="S532" i="93"/>
  <c r="G533" i="93"/>
  <c r="H533" i="93"/>
  <c r="G534" i="93"/>
  <c r="H534" i="93"/>
  <c r="H535" i="93"/>
  <c r="G536" i="93"/>
  <c r="H536" i="93"/>
  <c r="H537" i="93"/>
  <c r="G538" i="93"/>
  <c r="H538" i="93"/>
  <c r="G539" i="93"/>
  <c r="U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J519"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S513" i="93" s="1"/>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A498" i="93" s="1"/>
  <c r="H498" i="93"/>
  <c r="G499" i="93"/>
  <c r="H499" i="93"/>
  <c r="H556" i="93"/>
  <c r="G556" i="93"/>
  <c r="H551" i="93"/>
  <c r="G551" i="93"/>
  <c r="H549" i="93"/>
  <c r="G549" i="93"/>
  <c r="H543" i="93"/>
  <c r="G543" i="93"/>
  <c r="G547" i="93" s="1"/>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J473" i="93"/>
  <c r="K472" i="93"/>
  <c r="K471" i="93"/>
  <c r="J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M457" i="93"/>
  <c r="N457"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c r="H461" i="93"/>
  <c r="G461"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53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F552" i="93"/>
  <c r="F549" i="93"/>
  <c r="F553" i="93"/>
  <c r="A206" i="85"/>
  <c r="A10" i="83"/>
  <c r="I9" i="92"/>
  <c r="G11" i="91"/>
  <c r="F197" i="90"/>
  <c r="D101" i="90"/>
  <c r="E163" i="90"/>
  <c r="C16" i="90"/>
  <c r="A206" i="90"/>
  <c r="A200" i="90"/>
  <c r="C5" i="90"/>
  <c r="C8" i="84"/>
  <c r="B1" i="87" s="1"/>
  <c r="E8" i="84"/>
  <c r="E9" i="89"/>
  <c r="H7" i="92" s="1"/>
  <c r="E50" i="89"/>
  <c r="G49" i="89"/>
  <c r="E49" i="89"/>
  <c r="C21" i="90" s="1"/>
  <c r="E24" i="89"/>
  <c r="E23" i="89"/>
  <c r="E21" i="89"/>
  <c r="E17" i="89"/>
  <c r="C31" i="90" s="1"/>
  <c r="E16" i="89"/>
  <c r="C30" i="90" s="1"/>
  <c r="F48" i="92" s="1"/>
  <c r="E13" i="89"/>
  <c r="E11" i="89"/>
  <c r="C25" i="90"/>
  <c r="E47" i="89"/>
  <c r="E22" i="89"/>
  <c r="E20" i="89"/>
  <c r="E19" i="89"/>
  <c r="C137" i="90" s="1"/>
  <c r="E12" i="89"/>
  <c r="C23" i="90" s="1"/>
  <c r="E10" i="89"/>
  <c r="C15" i="90" s="1"/>
  <c r="E8" i="89"/>
  <c r="C19" i="90" s="1"/>
  <c r="C142" i="90" s="1"/>
  <c r="E7" i="89"/>
  <c r="C18" i="90" s="1"/>
  <c r="C141" i="90" s="1"/>
  <c r="K7" i="88"/>
  <c r="A2" i="88"/>
  <c r="D54" i="86"/>
  <c r="E54" i="86"/>
  <c r="F54" i="86"/>
  <c r="G54" i="86"/>
  <c r="H54" i="86"/>
  <c r="C1" i="86"/>
  <c r="H49" i="86"/>
  <c r="E6" i="86"/>
  <c r="K5" i="86" s="1"/>
  <c r="E4" i="86"/>
  <c r="G49" i="86"/>
  <c r="F49" i="86"/>
  <c r="E49" i="86"/>
  <c r="D49" i="86"/>
  <c r="O61" i="85"/>
  <c r="F73" i="89"/>
  <c r="E170" i="90" s="1"/>
  <c r="Q61" i="85"/>
  <c r="N61" i="85"/>
  <c r="L61" i="85"/>
  <c r="F103" i="92"/>
  <c r="E96" i="90"/>
  <c r="E92" i="90"/>
  <c r="F39" i="89"/>
  <c r="D79" i="90" s="1"/>
  <c r="H4" i="86"/>
  <c r="G56" i="86" s="1"/>
  <c r="E171" i="90"/>
  <c r="H1" i="91"/>
  <c r="E28" i="89"/>
  <c r="E15" i="89"/>
  <c r="O6" i="86"/>
  <c r="O22" i="86" s="1"/>
  <c r="A2" i="83"/>
  <c r="P1840" i="93"/>
  <c r="O1840" i="93"/>
  <c r="C30" i="84"/>
  <c r="C32" i="84"/>
  <c r="B32" i="84"/>
  <c r="C31" i="84"/>
  <c r="B31" i="84"/>
  <c r="C25" i="84"/>
  <c r="F15" i="85"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D14" i="84"/>
  <c r="F102" i="78"/>
  <c r="F101" i="78"/>
  <c r="G6" i="74"/>
  <c r="E56"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B40" i="74"/>
  <c r="B996" i="93" s="1"/>
  <c r="E36" i="72"/>
  <c r="E1590" i="93"/>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c r="O1562" i="93" s="1"/>
  <c r="O29" i="72"/>
  <c r="P13" i="72" s="1"/>
  <c r="L137" i="72"/>
  <c r="L119" i="72"/>
  <c r="Q137" i="72"/>
  <c r="Q119" i="72"/>
  <c r="Q126" i="72"/>
  <c r="Q127" i="72"/>
  <c r="Q128" i="72"/>
  <c r="Q125" i="72"/>
  <c r="J113" i="72"/>
  <c r="H83" i="72"/>
  <c r="K71" i="74"/>
  <c r="K1027" i="93" s="1"/>
  <c r="J71" i="74"/>
  <c r="J1027" i="93" s="1"/>
  <c r="I71" i="74"/>
  <c r="I1027" i="93" s="1"/>
  <c r="H71" i="74"/>
  <c r="H1027" i="93" s="1"/>
  <c r="M441" i="72"/>
  <c r="P362" i="72"/>
  <c r="P1916" i="93" s="1"/>
  <c r="O362" i="72"/>
  <c r="L362" i="72"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c r="P324" i="72"/>
  <c r="P1878" i="93" s="1"/>
  <c r="P1997" i="93" s="1"/>
  <c r="G330" i="72"/>
  <c r="G1884" i="93" s="1"/>
  <c r="O325" i="72"/>
  <c r="K308" i="72"/>
  <c r="E35" i="72"/>
  <c r="E1589" i="93" s="1"/>
  <c r="P207" i="72"/>
  <c r="P1761" i="93" s="1"/>
  <c r="O207" i="72"/>
  <c r="O189" i="72" s="1"/>
  <c r="O1743" i="93" s="1"/>
  <c r="J180" i="72"/>
  <c r="J1734" i="93" s="1"/>
  <c r="J181" i="72"/>
  <c r="I181" i="72"/>
  <c r="I1735" i="93" s="1"/>
  <c r="I180" i="72"/>
  <c r="I1734" i="93" s="1"/>
  <c r="O95" i="72"/>
  <c r="K102" i="72"/>
  <c r="P94" i="72"/>
  <c r="P1648" i="93" s="1"/>
  <c r="O94" i="72"/>
  <c r="E31" i="72"/>
  <c r="E1585" i="93" s="1"/>
  <c r="O1648" i="93"/>
  <c r="P57" i="72"/>
  <c r="P1611" i="93" s="1"/>
  <c r="O57" i="72"/>
  <c r="E30" i="72" s="1"/>
  <c r="E1584" i="93" s="1"/>
  <c r="B96" i="78"/>
  <c r="O383" i="73"/>
  <c r="N383" i="73"/>
  <c r="F378" i="73"/>
  <c r="J182" i="72"/>
  <c r="J1736" i="93" s="1"/>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M167" i="72"/>
  <c r="M165" i="72"/>
  <c r="M164" i="72"/>
  <c r="O164" i="72" s="1"/>
  <c r="M163" i="72"/>
  <c r="O163" i="72" s="1"/>
  <c r="V17" i="78"/>
  <c r="I215" i="72"/>
  <c r="E68" i="78"/>
  <c r="F68" i="78" s="1"/>
  <c r="U3" i="75"/>
  <c r="O115" i="72"/>
  <c r="O111" i="72" s="1"/>
  <c r="P115" i="72"/>
  <c r="G325" i="72"/>
  <c r="G1879" i="93" s="1"/>
  <c r="O1669" i="93"/>
  <c r="L1669" i="93" s="1"/>
  <c r="I47" i="75"/>
  <c r="I46" i="75"/>
  <c r="I803" i="93" s="1"/>
  <c r="K803" i="93" s="1"/>
  <c r="L803" i="93" s="1"/>
  <c r="I45" i="75"/>
  <c r="I44" i="75"/>
  <c r="I801" i="93" s="1"/>
  <c r="K801" i="93" s="1"/>
  <c r="L801" i="93" s="1"/>
  <c r="I43" i="75"/>
  <c r="I42" i="75"/>
  <c r="I799" i="93" s="1"/>
  <c r="K799" i="93" s="1"/>
  <c r="L799" i="93" s="1"/>
  <c r="I41" i="75"/>
  <c r="I40" i="75"/>
  <c r="I797" i="93" s="1"/>
  <c r="K797" i="93" s="1"/>
  <c r="L797" i="93" s="1"/>
  <c r="I39" i="75"/>
  <c r="I38" i="75"/>
  <c r="I795" i="93" s="1"/>
  <c r="K795" i="93" s="1"/>
  <c r="L795" i="93" s="1"/>
  <c r="I37" i="75"/>
  <c r="I36" i="75"/>
  <c r="I793" i="93" s="1"/>
  <c r="K793" i="93" s="1"/>
  <c r="L793" i="93" s="1"/>
  <c r="I35" i="75"/>
  <c r="I34" i="75"/>
  <c r="I791" i="93" s="1"/>
  <c r="K791" i="93" s="1"/>
  <c r="L791" i="93" s="1"/>
  <c r="I33" i="75"/>
  <c r="I32" i="75"/>
  <c r="I789" i="93" s="1"/>
  <c r="K789" i="93" s="1"/>
  <c r="L789" i="93" s="1"/>
  <c r="I31" i="75"/>
  <c r="I30" i="75"/>
  <c r="I787" i="93" s="1"/>
  <c r="K787" i="93" s="1"/>
  <c r="L787" i="93" s="1"/>
  <c r="I29" i="75"/>
  <c r="I28" i="75"/>
  <c r="I785" i="93" s="1"/>
  <c r="K785" i="93" s="1"/>
  <c r="L785" i="93" s="1"/>
  <c r="I27" i="75"/>
  <c r="I26" i="75"/>
  <c r="I783" i="93" s="1"/>
  <c r="K783" i="93" s="1"/>
  <c r="L783" i="93" s="1"/>
  <c r="I25" i="75"/>
  <c r="I24" i="75"/>
  <c r="I781" i="93" s="1"/>
  <c r="K781" i="93" s="1"/>
  <c r="L781" i="93" s="1"/>
  <c r="I23" i="75"/>
  <c r="I22" i="75"/>
  <c r="I779" i="93" s="1"/>
  <c r="K779" i="93" s="1"/>
  <c r="L779" i="93" s="1"/>
  <c r="I21" i="75"/>
  <c r="I778" i="93" s="1"/>
  <c r="K778" i="93" s="1"/>
  <c r="L778" i="93" s="1"/>
  <c r="I775" i="93"/>
  <c r="K775" i="93" s="1"/>
  <c r="L775" i="93" s="1"/>
  <c r="K21" i="76"/>
  <c r="I20" i="75" s="1"/>
  <c r="M21" i="76"/>
  <c r="I17" i="75" s="1"/>
  <c r="I16" i="75"/>
  <c r="I773" i="93"/>
  <c r="K773" i="93" s="1"/>
  <c r="L773" i="93" s="1"/>
  <c r="L21" i="76"/>
  <c r="I15" i="75"/>
  <c r="I770" i="93"/>
  <c r="K770" i="93" s="1"/>
  <c r="L770" i="93" s="1"/>
  <c r="I769" i="93"/>
  <c r="K769" i="93" s="1"/>
  <c r="J21" i="76"/>
  <c r="I768" i="93"/>
  <c r="K768" i="93" s="1"/>
  <c r="L768" i="93" s="1"/>
  <c r="H86" i="66"/>
  <c r="H84" i="66"/>
  <c r="H83" i="66"/>
  <c r="N84" i="66" s="1"/>
  <c r="C13" i="74"/>
  <c r="D13" i="74" s="1"/>
  <c r="K46" i="75"/>
  <c r="L46" i="75" s="1"/>
  <c r="K40" i="75"/>
  <c r="L40" i="75" s="1"/>
  <c r="K38" i="75"/>
  <c r="L38" i="75"/>
  <c r="K30" i="75"/>
  <c r="L30" i="75" s="1"/>
  <c r="K26" i="75"/>
  <c r="L26" i="75" s="1"/>
  <c r="K22" i="75"/>
  <c r="L22" i="75" s="1"/>
  <c r="K18" i="75"/>
  <c r="L18" i="75" s="1"/>
  <c r="K13" i="75"/>
  <c r="L13" i="75"/>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C43" i="90" s="1"/>
  <c r="B97" i="78"/>
  <c r="D37" i="78"/>
  <c r="D36" i="78"/>
  <c r="D35" i="78"/>
  <c r="R47" i="75"/>
  <c r="R804" i="93" s="1"/>
  <c r="R46" i="75"/>
  <c r="R803" i="93" s="1"/>
  <c r="R45" i="75"/>
  <c r="R802" i="93"/>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c r="R28" i="75"/>
  <c r="R785" i="93" s="1"/>
  <c r="R27" i="75"/>
  <c r="R784" i="93" s="1"/>
  <c r="R26" i="75"/>
  <c r="R783" i="93" s="1"/>
  <c r="R25" i="75"/>
  <c r="R782" i="93"/>
  <c r="R24" i="75"/>
  <c r="R781" i="93" s="1"/>
  <c r="R23" i="75"/>
  <c r="R780" i="93" s="1"/>
  <c r="R22" i="75"/>
  <c r="R779" i="93" s="1"/>
  <c r="R18" i="75"/>
  <c r="R775"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c r="E124" i="74"/>
  <c r="E1080" i="93" s="1"/>
  <c r="D124" i="74"/>
  <c r="D1080" i="93" s="1"/>
  <c r="C124" i="74"/>
  <c r="C1080" i="93" s="1"/>
  <c r="B124" i="74"/>
  <c r="B1080" i="93" s="1"/>
  <c r="K99" i="74"/>
  <c r="K1055" i="93" s="1"/>
  <c r="J99" i="74"/>
  <c r="J1055" i="93"/>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c r="F97" i="74"/>
  <c r="F1053" i="93"/>
  <c r="E97" i="74"/>
  <c r="E1053" i="93" s="1"/>
  <c r="D97" i="74"/>
  <c r="D1053" i="93" s="1"/>
  <c r="C97" i="74"/>
  <c r="C1053" i="93" s="1"/>
  <c r="B97" i="74"/>
  <c r="B1053" i="93" s="1"/>
  <c r="K96" i="74"/>
  <c r="K1052" i="93" s="1"/>
  <c r="J96" i="74"/>
  <c r="J1052" i="93" s="1"/>
  <c r="I96" i="74"/>
  <c r="I1052" i="93"/>
  <c r="H96" i="74"/>
  <c r="H1052" i="93" s="1"/>
  <c r="G96" i="74"/>
  <c r="G1052" i="93" s="1"/>
  <c r="F96" i="74"/>
  <c r="F1052" i="93"/>
  <c r="E96" i="74"/>
  <c r="E1052" i="93" s="1"/>
  <c r="D96" i="74"/>
  <c r="D1052" i="93" s="1"/>
  <c r="C96" i="74"/>
  <c r="C1052" i="93" s="1"/>
  <c r="B96" i="74"/>
  <c r="B1052" i="93" s="1"/>
  <c r="K70" i="74"/>
  <c r="K1026" i="93" s="1"/>
  <c r="J70" i="74"/>
  <c r="J1026" i="93"/>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I32" i="86" s="1"/>
  <c r="C69" i="74"/>
  <c r="B69" i="74"/>
  <c r="G32" i="86" s="1"/>
  <c r="K68" i="74"/>
  <c r="K1024" i="93" s="1"/>
  <c r="J68" i="74"/>
  <c r="I68" i="74"/>
  <c r="H68" i="74"/>
  <c r="G68" i="74"/>
  <c r="F68" i="74"/>
  <c r="E68" i="74"/>
  <c r="D68" i="74"/>
  <c r="C68" i="74"/>
  <c r="B68" i="74"/>
  <c r="K67" i="74"/>
  <c r="J67" i="74"/>
  <c r="I67" i="74"/>
  <c r="H67" i="74"/>
  <c r="G67" i="74"/>
  <c r="F67" i="74"/>
  <c r="E67" i="74"/>
  <c r="D67" i="74"/>
  <c r="D1023" i="93" s="1"/>
  <c r="C67" i="74"/>
  <c r="B67" i="74"/>
  <c r="K40" i="74"/>
  <c r="K996" i="93" s="1"/>
  <c r="J40" i="74"/>
  <c r="J996" i="93" s="1"/>
  <c r="I40" i="74"/>
  <c r="I996" i="93" s="1"/>
  <c r="H40" i="74"/>
  <c r="H996" i="93"/>
  <c r="G40" i="74"/>
  <c r="G996" i="93" s="1"/>
  <c r="F40" i="74"/>
  <c r="F996" i="93" s="1"/>
  <c r="E40" i="74"/>
  <c r="E996" i="93" s="1"/>
  <c r="D40" i="74"/>
  <c r="D996" i="93"/>
  <c r="C40" i="74"/>
  <c r="C996" i="93" s="1"/>
  <c r="K39" i="74"/>
  <c r="J39" i="74"/>
  <c r="I39" i="74"/>
  <c r="H39" i="74"/>
  <c r="C32" i="86" s="1"/>
  <c r="G39" i="74"/>
  <c r="F39" i="74"/>
  <c r="E39" i="74"/>
  <c r="D39" i="74"/>
  <c r="C39" i="74"/>
  <c r="B39" i="74"/>
  <c r="K38" i="74"/>
  <c r="J38" i="74"/>
  <c r="I38" i="74"/>
  <c r="H38" i="74"/>
  <c r="G38" i="74"/>
  <c r="F38" i="74"/>
  <c r="E38" i="74"/>
  <c r="D38" i="74"/>
  <c r="C38" i="74"/>
  <c r="B38" i="74"/>
  <c r="K37" i="74"/>
  <c r="J37" i="74"/>
  <c r="I37" i="74"/>
  <c r="H37" i="74"/>
  <c r="H993" i="93"/>
  <c r="G37" i="74"/>
  <c r="F37" i="74"/>
  <c r="E37" i="74"/>
  <c r="D37" i="74"/>
  <c r="C37" i="74"/>
  <c r="B37" i="74"/>
  <c r="A33" i="74"/>
  <c r="A63" i="74"/>
  <c r="A92" i="74" s="1"/>
  <c r="A120" i="74" s="1"/>
  <c r="A32" i="74"/>
  <c r="A62" i="74" s="1"/>
  <c r="A91" i="74" s="1"/>
  <c r="A119" i="74" s="1"/>
  <c r="A31" i="74"/>
  <c r="A61" i="74"/>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H169" i="72"/>
  <c r="G169" i="72"/>
  <c r="D169" i="72"/>
  <c r="P168" i="72"/>
  <c r="H168" i="72"/>
  <c r="G168" i="72"/>
  <c r="D168" i="72"/>
  <c r="P167" i="72"/>
  <c r="H167" i="72"/>
  <c r="G167" i="72"/>
  <c r="D167" i="72"/>
  <c r="O165"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N11" i="74"/>
  <c r="N3" i="74"/>
  <c r="F188" i="75"/>
  <c r="C59" i="84"/>
  <c r="K185" i="75"/>
  <c r="C60" i="84" s="1"/>
  <c r="F177" i="75"/>
  <c r="K175" i="75"/>
  <c r="F168" i="75"/>
  <c r="P167" i="75"/>
  <c r="C61" i="84" s="1"/>
  <c r="K166" i="75"/>
  <c r="C58" i="84" s="1"/>
  <c r="R161" i="75"/>
  <c r="K159" i="75"/>
  <c r="F106" i="74" s="1"/>
  <c r="J159" i="75"/>
  <c r="E106" i="74" s="1"/>
  <c r="I159" i="75"/>
  <c r="D106" i="74"/>
  <c r="H159" i="75"/>
  <c r="C106" i="74" s="1"/>
  <c r="G159" i="75"/>
  <c r="B106" i="74" s="1"/>
  <c r="R156" i="75"/>
  <c r="K155" i="75"/>
  <c r="F105" i="74" s="1"/>
  <c r="J155" i="75"/>
  <c r="E105" i="74" s="1"/>
  <c r="I155" i="75"/>
  <c r="D105" i="74"/>
  <c r="H155" i="75"/>
  <c r="C105" i="74" s="1"/>
  <c r="G155" i="75"/>
  <c r="B105" i="74" s="1"/>
  <c r="S152" i="75"/>
  <c r="P150" i="75"/>
  <c r="K78" i="74" s="1"/>
  <c r="O150" i="75"/>
  <c r="J78" i="74" s="1"/>
  <c r="N150" i="75"/>
  <c r="I78" i="74"/>
  <c r="M150" i="75"/>
  <c r="H78" i="74" s="1"/>
  <c r="L150" i="75"/>
  <c r="G78" i="74" s="1"/>
  <c r="K150" i="75"/>
  <c r="F78" i="74" s="1"/>
  <c r="J150" i="75"/>
  <c r="E78" i="74"/>
  <c r="I150" i="75"/>
  <c r="D78" i="74" s="1"/>
  <c r="H150" i="75"/>
  <c r="C78" i="74" s="1"/>
  <c r="G150" i="75"/>
  <c r="B78" i="74" s="1"/>
  <c r="R147" i="75"/>
  <c r="P146" i="75"/>
  <c r="K77" i="74" s="1"/>
  <c r="O146" i="75"/>
  <c r="J77" i="74"/>
  <c r="N146" i="75"/>
  <c r="I77" i="74" s="1"/>
  <c r="M146" i="75"/>
  <c r="H77" i="74" s="1"/>
  <c r="L146" i="75"/>
  <c r="G77" i="74" s="1"/>
  <c r="K146" i="75"/>
  <c r="F77" i="74" s="1"/>
  <c r="J146" i="75"/>
  <c r="E77" i="74" s="1"/>
  <c r="I146" i="75"/>
  <c r="D77" i="74"/>
  <c r="H146" i="75"/>
  <c r="C77" i="74" s="1"/>
  <c r="G146" i="75"/>
  <c r="B77" i="74" s="1"/>
  <c r="S143" i="75"/>
  <c r="P141" i="75"/>
  <c r="K48" i="74" s="1"/>
  <c r="O141" i="75"/>
  <c r="J48" i="74"/>
  <c r="N141" i="75"/>
  <c r="I48" i="74" s="1"/>
  <c r="M141" i="75"/>
  <c r="H48" i="74" s="1"/>
  <c r="L141" i="75"/>
  <c r="G48" i="74" s="1"/>
  <c r="K141" i="75"/>
  <c r="F48" i="74"/>
  <c r="J141" i="75"/>
  <c r="E48" i="74" s="1"/>
  <c r="I141" i="75"/>
  <c r="D48" i="74" s="1"/>
  <c r="H141" i="75"/>
  <c r="C48" i="74" s="1"/>
  <c r="G141" i="75"/>
  <c r="B48" i="74" s="1"/>
  <c r="R138" i="75"/>
  <c r="P137" i="75"/>
  <c r="K47" i="74" s="1"/>
  <c r="O137" i="75"/>
  <c r="J47" i="74"/>
  <c r="N137" i="75"/>
  <c r="I47" i="74"/>
  <c r="M137" i="75"/>
  <c r="H47" i="74" s="1"/>
  <c r="L137" i="75"/>
  <c r="G47" i="74" s="1"/>
  <c r="K137" i="75"/>
  <c r="F47" i="74"/>
  <c r="J137" i="75"/>
  <c r="E47" i="74" s="1"/>
  <c r="I137" i="75"/>
  <c r="D47" i="74" s="1"/>
  <c r="H137" i="75"/>
  <c r="C47" i="74" s="1"/>
  <c r="G137" i="75"/>
  <c r="B47" i="74" s="1"/>
  <c r="S134" i="75"/>
  <c r="P132" i="75"/>
  <c r="K18" i="74" s="1"/>
  <c r="O132" i="75"/>
  <c r="J18" i="74" s="1"/>
  <c r="N132" i="75"/>
  <c r="I18" i="74" s="1"/>
  <c r="M132" i="75"/>
  <c r="H18" i="74" s="1"/>
  <c r="L132" i="75"/>
  <c r="G18" i="74"/>
  <c r="K132" i="75"/>
  <c r="F18" i="74" s="1"/>
  <c r="J132" i="75"/>
  <c r="E18" i="74" s="1"/>
  <c r="I132" i="75"/>
  <c r="D18" i="74" s="1"/>
  <c r="H132" i="75"/>
  <c r="C18" i="74"/>
  <c r="G132" i="75"/>
  <c r="B18" i="74" s="1"/>
  <c r="R129" i="75"/>
  <c r="P128" i="75"/>
  <c r="K17" i="74"/>
  <c r="O128" i="75"/>
  <c r="J17" i="74" s="1"/>
  <c r="N128" i="75"/>
  <c r="I17" i="74" s="1"/>
  <c r="M128" i="75"/>
  <c r="H17" i="74"/>
  <c r="L128" i="75"/>
  <c r="G17" i="74" s="1"/>
  <c r="K128" i="75"/>
  <c r="F17" i="74" s="1"/>
  <c r="J128" i="75"/>
  <c r="E17" i="74" s="1"/>
  <c r="I128" i="75"/>
  <c r="D17" i="74" s="1"/>
  <c r="H128" i="75"/>
  <c r="C17" i="74" s="1"/>
  <c r="G128" i="75"/>
  <c r="B17" i="74"/>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M48" i="75" s="1"/>
  <c r="JL17" i="75"/>
  <c r="JK17" i="75"/>
  <c r="JJ17" i="75"/>
  <c r="JI17" i="75"/>
  <c r="JH17" i="75"/>
  <c r="JG17" i="75"/>
  <c r="JF17" i="75"/>
  <c r="JE17" i="75"/>
  <c r="JD17" i="75"/>
  <c r="JC17" i="75"/>
  <c r="JB17" i="75"/>
  <c r="JA17" i="75"/>
  <c r="IZ17" i="75"/>
  <c r="IY17" i="75"/>
  <c r="IX17" i="75"/>
  <c r="IW17" i="75"/>
  <c r="IW48" i="75" s="1"/>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I48" i="75" s="1"/>
  <c r="N90" i="75" s="1"/>
  <c r="N111" i="75" s="1"/>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K48" i="75" s="1"/>
  <c r="J98" i="75" s="1"/>
  <c r="GJ17" i="75"/>
  <c r="GI17" i="75"/>
  <c r="GH17" i="75"/>
  <c r="GG17" i="75"/>
  <c r="GF17" i="75"/>
  <c r="GE17" i="75"/>
  <c r="GD17" i="75"/>
  <c r="GC17" i="75"/>
  <c r="GC48" i="75" s="1"/>
  <c r="L100" i="75" s="1"/>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W48" i="75" s="1"/>
  <c r="EV17" i="75"/>
  <c r="EU17" i="75"/>
  <c r="ET17" i="75"/>
  <c r="ES17" i="75"/>
  <c r="ER17" i="75"/>
  <c r="EQ17" i="75"/>
  <c r="EP17" i="75"/>
  <c r="EO17" i="75"/>
  <c r="EO48" i="75" s="1"/>
  <c r="L79" i="75" s="1"/>
  <c r="EN17" i="75"/>
  <c r="EM17" i="75"/>
  <c r="EL17" i="75"/>
  <c r="EK17" i="75"/>
  <c r="EJ17" i="75"/>
  <c r="EI17" i="75"/>
  <c r="EH17" i="75"/>
  <c r="EG17" i="75"/>
  <c r="EF17" i="75"/>
  <c r="EE17" i="75"/>
  <c r="ED17" i="75"/>
  <c r="EC17" i="75"/>
  <c r="EB17" i="75"/>
  <c r="EA17" i="75"/>
  <c r="DZ17" i="75"/>
  <c r="DY17" i="75"/>
  <c r="DY48" i="75" s="1"/>
  <c r="K76" i="75" s="1"/>
  <c r="DX17" i="75"/>
  <c r="DW17" i="75"/>
  <c r="DV17" i="75"/>
  <c r="DU17" i="75"/>
  <c r="DT17" i="75"/>
  <c r="DS17" i="75"/>
  <c r="DR17" i="75"/>
  <c r="DQ17" i="75"/>
  <c r="DP17" i="75"/>
  <c r="DO17" i="75"/>
  <c r="DN17" i="75"/>
  <c r="DM17" i="75"/>
  <c r="DL17" i="75"/>
  <c r="DK17" i="75"/>
  <c r="DJ17" i="75"/>
  <c r="DI17" i="75"/>
  <c r="DI48" i="75" s="1"/>
  <c r="J73" i="75" s="1"/>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K48" i="75" s="1"/>
  <c r="CJ17" i="75"/>
  <c r="CI17" i="75"/>
  <c r="CH17" i="75"/>
  <c r="CG17" i="75"/>
  <c r="CF17" i="75"/>
  <c r="CE17" i="75"/>
  <c r="CD17" i="75"/>
  <c r="CC17" i="75"/>
  <c r="CC48" i="75" s="1"/>
  <c r="M113" i="75" s="1"/>
  <c r="CB17" i="75"/>
  <c r="CA17" i="75"/>
  <c r="BZ17" i="75"/>
  <c r="BY17" i="75"/>
  <c r="BX17" i="75"/>
  <c r="BW17" i="75"/>
  <c r="BV17" i="75"/>
  <c r="BU17" i="75"/>
  <c r="BT17" i="75"/>
  <c r="BS17" i="75"/>
  <c r="BR17" i="75"/>
  <c r="BQ17" i="75"/>
  <c r="BP17" i="75"/>
  <c r="BO17" i="75"/>
  <c r="BN17" i="75"/>
  <c r="BM17" i="75"/>
  <c r="BM48" i="75" s="1"/>
  <c r="L69" i="75" s="1"/>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G48" i="75" s="1"/>
  <c r="AF17" i="75"/>
  <c r="AE17" i="75"/>
  <c r="AD17" i="75"/>
  <c r="AC17" i="75"/>
  <c r="AB17" i="75"/>
  <c r="AA17" i="75"/>
  <c r="Z17" i="75"/>
  <c r="Y17" i="75"/>
  <c r="X17" i="75"/>
  <c r="W17" i="75"/>
  <c r="Q17" i="75"/>
  <c r="Q774" i="93" s="1"/>
  <c r="A17" i="75"/>
  <c r="JQ16" i="75"/>
  <c r="JP16" i="75"/>
  <c r="JO16" i="75"/>
  <c r="JN16" i="75"/>
  <c r="JN48" i="75" s="1"/>
  <c r="JM16" i="75"/>
  <c r="JL16" i="75"/>
  <c r="JK16" i="75"/>
  <c r="JJ16" i="75"/>
  <c r="JI16" i="75"/>
  <c r="JH16" i="75"/>
  <c r="JG16" i="75"/>
  <c r="JF16" i="75"/>
  <c r="JF48" i="75" s="1"/>
  <c r="JE16" i="75"/>
  <c r="JD16" i="75"/>
  <c r="JC16" i="75"/>
  <c r="JB16" i="75"/>
  <c r="JA16" i="75"/>
  <c r="IZ16" i="75"/>
  <c r="IY16" i="75"/>
  <c r="IX16" i="75"/>
  <c r="IW16" i="75"/>
  <c r="IV16" i="75"/>
  <c r="IU16" i="75"/>
  <c r="IT16" i="75"/>
  <c r="IS16" i="75"/>
  <c r="IR16" i="75"/>
  <c r="IQ16" i="75"/>
  <c r="IP16" i="75"/>
  <c r="IP48" i="75" s="1"/>
  <c r="IO16" i="75"/>
  <c r="IN16" i="75"/>
  <c r="IM16" i="75"/>
  <c r="IL16" i="75"/>
  <c r="IK16" i="75"/>
  <c r="IJ16" i="75"/>
  <c r="II16" i="75"/>
  <c r="IH16" i="75"/>
  <c r="IG16" i="75"/>
  <c r="IF16" i="75"/>
  <c r="IE16" i="75"/>
  <c r="ID16" i="75"/>
  <c r="IC16" i="75"/>
  <c r="IB16" i="75"/>
  <c r="IA16" i="75"/>
  <c r="HZ16" i="75"/>
  <c r="HZ48" i="75" s="1"/>
  <c r="K94" i="75" s="1"/>
  <c r="HY16" i="75"/>
  <c r="HX16" i="75"/>
  <c r="HW16" i="75"/>
  <c r="HV16" i="75"/>
  <c r="HU16" i="75"/>
  <c r="HT16" i="75"/>
  <c r="HS16" i="75"/>
  <c r="HR16" i="75"/>
  <c r="HR48" i="75" s="1"/>
  <c r="M92" i="75" s="1"/>
  <c r="M109" i="75" s="1"/>
  <c r="HQ16" i="75"/>
  <c r="HP16" i="75"/>
  <c r="HO16" i="75"/>
  <c r="HN16" i="75"/>
  <c r="HM16" i="75"/>
  <c r="HL16" i="75"/>
  <c r="HK16" i="75"/>
  <c r="HJ16" i="75"/>
  <c r="HI16" i="75"/>
  <c r="HH16" i="75"/>
  <c r="HG16" i="75"/>
  <c r="HF16" i="75"/>
  <c r="HE16" i="75"/>
  <c r="HD16" i="75"/>
  <c r="HC16" i="75"/>
  <c r="HB16" i="75"/>
  <c r="HB48" i="75" s="1"/>
  <c r="L89" i="75" s="1"/>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F48" i="75" s="1"/>
  <c r="N95" i="75" s="1"/>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H48" i="75" s="1"/>
  <c r="J78" i="75" s="1"/>
  <c r="EG16" i="75"/>
  <c r="EF16" i="75"/>
  <c r="EE16" i="75"/>
  <c r="ED16" i="75"/>
  <c r="EC16" i="75"/>
  <c r="EB16" i="75"/>
  <c r="EA16" i="75"/>
  <c r="DZ16" i="75"/>
  <c r="DZ48" i="75" s="1"/>
  <c r="L76" i="75" s="1"/>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B48" i="75" s="1"/>
  <c r="M118" i="75" s="1"/>
  <c r="DA16" i="75"/>
  <c r="CZ16" i="75"/>
  <c r="CY16" i="75"/>
  <c r="CX16" i="75"/>
  <c r="CW16" i="75"/>
  <c r="CV16" i="75"/>
  <c r="CU16" i="75"/>
  <c r="CT16" i="75"/>
  <c r="CS16" i="75"/>
  <c r="CR16" i="75"/>
  <c r="CQ16" i="75"/>
  <c r="CP16" i="75"/>
  <c r="CO16" i="75"/>
  <c r="CN16" i="75"/>
  <c r="CM16" i="75"/>
  <c r="CL16" i="75"/>
  <c r="CL48" i="75" s="1"/>
  <c r="CK16" i="75"/>
  <c r="CJ16" i="75"/>
  <c r="CI16" i="75"/>
  <c r="CH16" i="75"/>
  <c r="CG16" i="75"/>
  <c r="CF16" i="75"/>
  <c r="CE16" i="75"/>
  <c r="CD16" i="75"/>
  <c r="CD48" i="75" s="1"/>
  <c r="N113" i="75" s="1"/>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X48" i="75" s="1"/>
  <c r="L65" i="75" s="1"/>
  <c r="AW16" i="75"/>
  <c r="AV16" i="75"/>
  <c r="AU16" i="75"/>
  <c r="AT16" i="75"/>
  <c r="AS16" i="75"/>
  <c r="AR16" i="75"/>
  <c r="AQ16" i="75"/>
  <c r="AP16" i="75"/>
  <c r="AO16" i="75"/>
  <c r="AN16" i="75"/>
  <c r="AM16" i="75"/>
  <c r="AL16" i="75"/>
  <c r="AK16" i="75"/>
  <c r="AJ16" i="75"/>
  <c r="AI16" i="75"/>
  <c r="AH16" i="75"/>
  <c r="AH48" i="75" s="1"/>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G48" i="75" s="1"/>
  <c r="JF15" i="75"/>
  <c r="JE15" i="75"/>
  <c r="JD15" i="75"/>
  <c r="JC15" i="75"/>
  <c r="JB15" i="75"/>
  <c r="JA15" i="75"/>
  <c r="IZ15" i="75"/>
  <c r="IY15" i="75"/>
  <c r="IY48" i="75" s="1"/>
  <c r="IX15" i="75"/>
  <c r="IW15" i="75"/>
  <c r="IV15" i="75"/>
  <c r="IU15" i="75"/>
  <c r="IT15" i="75"/>
  <c r="IS15" i="75"/>
  <c r="IR15" i="75"/>
  <c r="IQ15" i="75"/>
  <c r="IP15" i="75"/>
  <c r="IO15" i="75"/>
  <c r="IN15" i="75"/>
  <c r="IM15" i="75"/>
  <c r="IL15" i="75"/>
  <c r="IK15" i="75"/>
  <c r="IJ15" i="75"/>
  <c r="II15" i="75"/>
  <c r="II48" i="75" s="1"/>
  <c r="IH15" i="75"/>
  <c r="IG15" i="75"/>
  <c r="IF15" i="75"/>
  <c r="IE15" i="75"/>
  <c r="ID15" i="75"/>
  <c r="IC15" i="75"/>
  <c r="IB15" i="75"/>
  <c r="IA15" i="75"/>
  <c r="HZ15" i="75"/>
  <c r="HY15" i="75"/>
  <c r="HX15" i="75"/>
  <c r="HW15" i="75"/>
  <c r="HV15" i="75"/>
  <c r="HU15" i="75"/>
  <c r="HT15" i="75"/>
  <c r="HS15" i="75"/>
  <c r="HS48" i="75" s="1"/>
  <c r="N92" i="75" s="1"/>
  <c r="N109" i="75" s="1"/>
  <c r="HR15" i="75"/>
  <c r="HQ15" i="75"/>
  <c r="HP15" i="75"/>
  <c r="HO15" i="75"/>
  <c r="HN15" i="75"/>
  <c r="HM15" i="75"/>
  <c r="HL15" i="75"/>
  <c r="HK15" i="75"/>
  <c r="HK48" i="75" s="1"/>
  <c r="K91" i="75" s="1"/>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M48" i="75" s="1"/>
  <c r="L98" i="75" s="1"/>
  <c r="GL15" i="75"/>
  <c r="GK15" i="75"/>
  <c r="GJ15" i="75"/>
  <c r="GI15" i="75"/>
  <c r="GH15" i="75"/>
  <c r="GG15" i="75"/>
  <c r="GF15" i="75"/>
  <c r="GE15" i="75"/>
  <c r="GD15" i="75"/>
  <c r="GC15" i="75"/>
  <c r="GB15" i="75"/>
  <c r="GA15" i="75"/>
  <c r="FZ15" i="75"/>
  <c r="FY15" i="75"/>
  <c r="FX15" i="75"/>
  <c r="FW15" i="75"/>
  <c r="FW48" i="75" s="1"/>
  <c r="K99" i="75" s="1"/>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I48" i="75" s="1"/>
  <c r="K78" i="75" s="1"/>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E48" i="75" s="1"/>
  <c r="J114" i="75" s="1"/>
  <c r="CD15" i="75"/>
  <c r="CC15" i="75"/>
  <c r="CB15" i="75"/>
  <c r="CA15" i="75"/>
  <c r="BZ15" i="75"/>
  <c r="BY15" i="75"/>
  <c r="BX15" i="75"/>
  <c r="BW15" i="75"/>
  <c r="BV15" i="75"/>
  <c r="BU15" i="75"/>
  <c r="BT15" i="75"/>
  <c r="BS15" i="75"/>
  <c r="BR15" i="75"/>
  <c r="BQ15" i="75"/>
  <c r="BP15" i="75"/>
  <c r="BO15" i="75"/>
  <c r="BO48" i="75" s="1"/>
  <c r="N69" i="75" s="1"/>
  <c r="BN15" i="75"/>
  <c r="BM15" i="75"/>
  <c r="BL15" i="75"/>
  <c r="BK15" i="75"/>
  <c r="BJ15" i="75"/>
  <c r="BI15" i="75"/>
  <c r="BH15" i="75"/>
  <c r="BG15" i="75"/>
  <c r="BG48" i="75" s="1"/>
  <c r="BF15" i="75"/>
  <c r="BE15" i="75"/>
  <c r="BD15" i="75"/>
  <c r="BC15" i="75"/>
  <c r="BB15" i="75"/>
  <c r="BA15" i="75"/>
  <c r="AZ15" i="75"/>
  <c r="AY15" i="75"/>
  <c r="AX15" i="75"/>
  <c r="AW15" i="75"/>
  <c r="AV15" i="75"/>
  <c r="AU15" i="75"/>
  <c r="AT15" i="75"/>
  <c r="AS15" i="75"/>
  <c r="AR15" i="75"/>
  <c r="AQ15" i="75"/>
  <c r="AQ48" i="75" s="1"/>
  <c r="AP15" i="75"/>
  <c r="AO15" i="75"/>
  <c r="AN15" i="75"/>
  <c r="AM15" i="75"/>
  <c r="AL15" i="75"/>
  <c r="AK15" i="75"/>
  <c r="AJ15" i="75"/>
  <c r="AI15" i="75"/>
  <c r="AI48" i="75" s="1"/>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J48" i="75" s="1"/>
  <c r="II14" i="75"/>
  <c r="IH14" i="75"/>
  <c r="IG14" i="75"/>
  <c r="IF14" i="75"/>
  <c r="IE14" i="75"/>
  <c r="ID14" i="75"/>
  <c r="IC14" i="75"/>
  <c r="IB14" i="75"/>
  <c r="IB48" i="75" s="1"/>
  <c r="M94" i="75" s="1"/>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D48" i="75" s="1"/>
  <c r="N89" i="75" s="1"/>
  <c r="HC14" i="75"/>
  <c r="HB14" i="75"/>
  <c r="HA14" i="75"/>
  <c r="GZ14" i="75"/>
  <c r="GY14" i="75"/>
  <c r="GX14" i="75"/>
  <c r="GW14" i="75"/>
  <c r="GV14" i="75"/>
  <c r="GU14" i="75"/>
  <c r="GT14" i="75"/>
  <c r="GS14" i="75"/>
  <c r="GR14" i="75"/>
  <c r="GQ14" i="75"/>
  <c r="GP14" i="75"/>
  <c r="GO14" i="75"/>
  <c r="GN14" i="75"/>
  <c r="GN48" i="75" s="1"/>
  <c r="M98" i="75" s="1"/>
  <c r="GM14" i="75"/>
  <c r="GL14" i="75"/>
  <c r="GK14" i="75"/>
  <c r="GJ14" i="75"/>
  <c r="GI14" i="75"/>
  <c r="GH14" i="75"/>
  <c r="GG14" i="75"/>
  <c r="GF14" i="75"/>
  <c r="GF48" i="75" s="1"/>
  <c r="J97" i="75" s="1"/>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Z48" i="75" s="1"/>
  <c r="EY14" i="75"/>
  <c r="EX14" i="75"/>
  <c r="EW14" i="75"/>
  <c r="EV14" i="75"/>
  <c r="EU14" i="75"/>
  <c r="ET14" i="75"/>
  <c r="ES14" i="75"/>
  <c r="ER14" i="75"/>
  <c r="EQ14" i="75"/>
  <c r="EP14" i="75"/>
  <c r="EO14" i="75"/>
  <c r="EN14" i="75"/>
  <c r="EM14" i="75"/>
  <c r="EL14" i="75"/>
  <c r="EK14" i="75"/>
  <c r="EJ14" i="75"/>
  <c r="EJ48" i="75" s="1"/>
  <c r="L78" i="75" s="1"/>
  <c r="EI14" i="75"/>
  <c r="EH14" i="75"/>
  <c r="EG14" i="75"/>
  <c r="EF14" i="75"/>
  <c r="EE14" i="75"/>
  <c r="ED14" i="75"/>
  <c r="EC14" i="75"/>
  <c r="EB14" i="75"/>
  <c r="EA14" i="75"/>
  <c r="DZ14" i="75"/>
  <c r="DY14" i="75"/>
  <c r="DX14" i="75"/>
  <c r="DW14" i="75"/>
  <c r="DV14" i="75"/>
  <c r="DU14" i="75"/>
  <c r="DT14" i="75"/>
  <c r="DT48" i="75" s="1"/>
  <c r="K75" i="75" s="1"/>
  <c r="DS14" i="75"/>
  <c r="DR14" i="75"/>
  <c r="DQ14" i="75"/>
  <c r="DP14" i="75"/>
  <c r="DO14" i="75"/>
  <c r="DN14" i="75"/>
  <c r="DM14" i="75"/>
  <c r="DL14" i="75"/>
  <c r="DL48" i="75" s="1"/>
  <c r="M73" i="75" s="1"/>
  <c r="DK14" i="75"/>
  <c r="DJ14" i="75"/>
  <c r="DI14" i="75"/>
  <c r="DH14" i="75"/>
  <c r="DG14" i="75"/>
  <c r="DF14" i="75"/>
  <c r="DE14" i="75"/>
  <c r="DD14" i="75"/>
  <c r="DD48" i="75" s="1"/>
  <c r="J72" i="75" s="1"/>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X48" i="75" s="1"/>
  <c r="M61" i="75" s="1"/>
  <c r="BW14" i="75"/>
  <c r="BV14" i="75"/>
  <c r="BU14" i="75"/>
  <c r="BT14" i="75"/>
  <c r="BS14" i="75"/>
  <c r="BR14" i="75"/>
  <c r="BQ14" i="75"/>
  <c r="BP14" i="75"/>
  <c r="BP48" i="75" s="1"/>
  <c r="J68" i="75" s="1"/>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R48" i="75" s="1"/>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Q48" i="75" s="1"/>
  <c r="JP13" i="75"/>
  <c r="JO13" i="75"/>
  <c r="JN13" i="75"/>
  <c r="JM13" i="75"/>
  <c r="JL13" i="75"/>
  <c r="JK13" i="75"/>
  <c r="JJ13" i="75"/>
  <c r="JI13" i="75"/>
  <c r="JI48" i="75" s="1"/>
  <c r="JH13" i="75"/>
  <c r="JG13" i="75"/>
  <c r="JF13" i="75"/>
  <c r="JE13" i="75"/>
  <c r="JD13" i="75"/>
  <c r="JC13" i="75"/>
  <c r="JB13" i="75"/>
  <c r="JA13" i="75"/>
  <c r="JA48" i="75" s="1"/>
  <c r="IZ13" i="75"/>
  <c r="IY13" i="75"/>
  <c r="IX13" i="75"/>
  <c r="IW13" i="75"/>
  <c r="IV13" i="75"/>
  <c r="IU13" i="75"/>
  <c r="IT13" i="75"/>
  <c r="IS13" i="75"/>
  <c r="IS48" i="75" s="1"/>
  <c r="IR13" i="75"/>
  <c r="IQ13" i="75"/>
  <c r="IP13" i="75"/>
  <c r="IO13" i="75"/>
  <c r="IN13" i="75"/>
  <c r="IM13" i="75"/>
  <c r="IL13" i="75"/>
  <c r="IK13" i="75"/>
  <c r="IK48" i="75" s="1"/>
  <c r="IJ13" i="75"/>
  <c r="II13" i="75"/>
  <c r="IH13" i="75"/>
  <c r="IG13" i="75"/>
  <c r="IF13" i="75"/>
  <c r="IE13" i="75"/>
  <c r="ID13" i="75"/>
  <c r="IC13" i="75"/>
  <c r="IC48" i="75" s="1"/>
  <c r="N94" i="75" s="1"/>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E48" i="75" s="1"/>
  <c r="J90" i="75" s="1"/>
  <c r="HD13" i="75"/>
  <c r="HC13" i="75"/>
  <c r="HB13" i="75"/>
  <c r="HA13" i="75"/>
  <c r="GZ13" i="75"/>
  <c r="GY13" i="75"/>
  <c r="GX13" i="75"/>
  <c r="GW13" i="75"/>
  <c r="GW48" i="75" s="1"/>
  <c r="L88" i="75" s="1"/>
  <c r="GV13" i="75"/>
  <c r="GU13" i="75"/>
  <c r="GT13" i="75"/>
  <c r="GS13" i="75"/>
  <c r="GR13" i="75"/>
  <c r="GQ13" i="75"/>
  <c r="GP13" i="75"/>
  <c r="GO13" i="75"/>
  <c r="GN13" i="75"/>
  <c r="GM13" i="75"/>
  <c r="GL13" i="75"/>
  <c r="GK13" i="75"/>
  <c r="GJ13" i="75"/>
  <c r="GI13" i="75"/>
  <c r="GH13" i="75"/>
  <c r="GG13" i="75"/>
  <c r="GG48" i="75" s="1"/>
  <c r="K97" i="75" s="1"/>
  <c r="GF13" i="75"/>
  <c r="GE13" i="75"/>
  <c r="GD13" i="75"/>
  <c r="GC13" i="75"/>
  <c r="GB13" i="75"/>
  <c r="GA13" i="75"/>
  <c r="FZ13" i="75"/>
  <c r="FY13" i="75"/>
  <c r="FY48" i="75" s="1"/>
  <c r="M99" i="75" s="1"/>
  <c r="FX13" i="75"/>
  <c r="FW13" i="75"/>
  <c r="FV13" i="75"/>
  <c r="FU13" i="75"/>
  <c r="FT13" i="75"/>
  <c r="FS13" i="75"/>
  <c r="FR13" i="75"/>
  <c r="FQ13" i="75"/>
  <c r="FP13" i="75"/>
  <c r="FO13" i="75"/>
  <c r="FN13" i="75"/>
  <c r="FM13" i="75"/>
  <c r="FL13" i="75"/>
  <c r="FK13" i="75"/>
  <c r="FJ13" i="75"/>
  <c r="FI13" i="75"/>
  <c r="FI48" i="75" s="1"/>
  <c r="L96" i="75" s="1"/>
  <c r="FH13" i="75"/>
  <c r="FG13" i="75"/>
  <c r="FF13" i="75"/>
  <c r="FE13" i="75"/>
  <c r="FD13" i="75"/>
  <c r="FC13" i="75"/>
  <c r="FB13" i="75"/>
  <c r="FA13" i="75"/>
  <c r="EZ13" i="75"/>
  <c r="EY13" i="75"/>
  <c r="EX13" i="75"/>
  <c r="EW13" i="75"/>
  <c r="EV13" i="75"/>
  <c r="EU13" i="75"/>
  <c r="ET13" i="75"/>
  <c r="ES13" i="75"/>
  <c r="ES48" i="75" s="1"/>
  <c r="ER13" i="75"/>
  <c r="EQ13" i="75"/>
  <c r="EP13" i="75"/>
  <c r="EO13" i="75"/>
  <c r="EN13" i="75"/>
  <c r="EM13" i="75"/>
  <c r="EL13" i="75"/>
  <c r="EK13" i="75"/>
  <c r="EK48" i="75" s="1"/>
  <c r="M78" i="75" s="1"/>
  <c r="EJ13" i="75"/>
  <c r="EI13" i="75"/>
  <c r="EH13" i="75"/>
  <c r="EG13" i="75"/>
  <c r="EF13" i="75"/>
  <c r="EE13" i="75"/>
  <c r="ED13" i="75"/>
  <c r="EC13" i="75"/>
  <c r="EC48" i="75" s="1"/>
  <c r="EB13" i="75"/>
  <c r="EA13" i="75"/>
  <c r="DZ13" i="75"/>
  <c r="DY13" i="75"/>
  <c r="DX13" i="75"/>
  <c r="DW13" i="75"/>
  <c r="DV13" i="75"/>
  <c r="DU13" i="75"/>
  <c r="DU48" i="75" s="1"/>
  <c r="L75" i="75" s="1"/>
  <c r="DT13" i="75"/>
  <c r="DS13" i="75"/>
  <c r="DR13" i="75"/>
  <c r="DQ13" i="75"/>
  <c r="DP13" i="75"/>
  <c r="DO13" i="75"/>
  <c r="DN13" i="75"/>
  <c r="DM13" i="75"/>
  <c r="DM48" i="75" s="1"/>
  <c r="N73" i="75" s="1"/>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O48" i="75" s="1"/>
  <c r="J116" i="75" s="1"/>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Q48" i="75" s="1"/>
  <c r="K68" i="75" s="1"/>
  <c r="BP13" i="75"/>
  <c r="BO13" i="75"/>
  <c r="BN13" i="75"/>
  <c r="BM13" i="75"/>
  <c r="BL13" i="75"/>
  <c r="BK13" i="75"/>
  <c r="BJ13" i="75"/>
  <c r="BI13" i="75"/>
  <c r="BH13" i="75"/>
  <c r="BG13" i="75"/>
  <c r="BF13" i="75"/>
  <c r="BE13" i="75"/>
  <c r="BD13" i="75"/>
  <c r="BC13" i="75"/>
  <c r="BB13" i="75"/>
  <c r="BA13" i="75"/>
  <c r="BA48" i="75" s="1"/>
  <c r="J64" i="75" s="1"/>
  <c r="AZ13" i="75"/>
  <c r="AY13" i="75"/>
  <c r="AX13" i="75"/>
  <c r="AW13" i="75"/>
  <c r="AV13" i="75"/>
  <c r="AU13" i="75"/>
  <c r="AT13" i="75"/>
  <c r="AS13" i="75"/>
  <c r="AR13" i="75"/>
  <c r="AQ13" i="75"/>
  <c r="AP13" i="75"/>
  <c r="AO13" i="75"/>
  <c r="AN13" i="75"/>
  <c r="AM13" i="75"/>
  <c r="AL13" i="75"/>
  <c r="AK13" i="75"/>
  <c r="AK48" i="75" s="1"/>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T48" i="75" s="1"/>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F48" i="75" s="1"/>
  <c r="K90" i="75" s="1"/>
  <c r="HE12" i="75"/>
  <c r="HD12" i="75"/>
  <c r="HC12" i="75"/>
  <c r="HB12" i="75"/>
  <c r="HA12" i="75"/>
  <c r="GZ12" i="75"/>
  <c r="GY12" i="75"/>
  <c r="GX12" i="75"/>
  <c r="GW12" i="75"/>
  <c r="GV12" i="75"/>
  <c r="GU12" i="75"/>
  <c r="GT12" i="75"/>
  <c r="GS12" i="75"/>
  <c r="GR12" i="75"/>
  <c r="GQ12" i="75"/>
  <c r="GP12" i="75"/>
  <c r="GP48" i="75" s="1"/>
  <c r="J87" i="75" s="1"/>
  <c r="GO12" i="75"/>
  <c r="GN12" i="75"/>
  <c r="GM12" i="75"/>
  <c r="GL12" i="75"/>
  <c r="GK12" i="75"/>
  <c r="GJ12" i="75"/>
  <c r="GI12" i="75"/>
  <c r="GH12" i="75"/>
  <c r="GG12" i="75"/>
  <c r="GF12" i="75"/>
  <c r="GE12" i="75"/>
  <c r="GD12" i="75"/>
  <c r="GC12" i="75"/>
  <c r="GB12" i="75"/>
  <c r="GA12" i="75"/>
  <c r="FZ12" i="75"/>
  <c r="FZ48" i="75" s="1"/>
  <c r="N99" i="75" s="1"/>
  <c r="FY12" i="75"/>
  <c r="FX12" i="75"/>
  <c r="FW12" i="75"/>
  <c r="FV12" i="75"/>
  <c r="FU12" i="75"/>
  <c r="FT12" i="75"/>
  <c r="FS12" i="75"/>
  <c r="FR12" i="75"/>
  <c r="FQ12" i="75"/>
  <c r="FP12" i="75"/>
  <c r="FO12" i="75"/>
  <c r="FN12" i="75"/>
  <c r="FM12" i="75"/>
  <c r="FL12" i="75"/>
  <c r="FK12" i="75"/>
  <c r="FJ12" i="75"/>
  <c r="FJ48" i="75" s="1"/>
  <c r="M96" i="75" s="1"/>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H48" i="75" s="1"/>
  <c r="M114" i="75" s="1"/>
  <c r="M115" i="75" s="1"/>
  <c r="CG12" i="75"/>
  <c r="CF12" i="75"/>
  <c r="CE12" i="75"/>
  <c r="CD12" i="75"/>
  <c r="CC12" i="75"/>
  <c r="CB12" i="75"/>
  <c r="CA12" i="75"/>
  <c r="BZ12" i="75"/>
  <c r="BY12" i="75"/>
  <c r="BX12" i="75"/>
  <c r="BW12" i="75"/>
  <c r="BV12" i="75"/>
  <c r="BU12" i="75"/>
  <c r="BT12" i="75"/>
  <c r="BS12" i="75"/>
  <c r="BR12" i="75"/>
  <c r="BR48" i="75" s="1"/>
  <c r="L68" i="75" s="1"/>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D48" i="75" s="1"/>
  <c r="L57" i="75" s="1"/>
  <c r="AC12" i="75"/>
  <c r="AB12" i="75"/>
  <c r="AA12" i="75"/>
  <c r="Z12" i="75"/>
  <c r="Y12" i="75"/>
  <c r="X12" i="75"/>
  <c r="W12" i="75"/>
  <c r="Q12" i="75"/>
  <c r="Q769" i="93" s="1"/>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G48" i="75" s="1"/>
  <c r="L90" i="75" s="1"/>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M48" i="75" s="1"/>
  <c r="J79" i="75" s="1"/>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O48" i="75" s="1"/>
  <c r="DN11" i="75"/>
  <c r="DM11" i="75"/>
  <c r="DL11" i="75"/>
  <c r="DK11" i="75"/>
  <c r="DJ11" i="75"/>
  <c r="DI11" i="75"/>
  <c r="DH11" i="75"/>
  <c r="DG11" i="75"/>
  <c r="DG48" i="75" s="1"/>
  <c r="M72" i="75" s="1"/>
  <c r="DF11" i="75"/>
  <c r="DE11" i="75"/>
  <c r="DD11" i="75"/>
  <c r="DC11" i="75"/>
  <c r="DB11" i="75"/>
  <c r="DA11" i="75"/>
  <c r="CZ11" i="75"/>
  <c r="CY11" i="75"/>
  <c r="CY48" i="75" s="1"/>
  <c r="J118" i="75" s="1"/>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W48" i="75" s="1"/>
  <c r="J56" i="75" s="1"/>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F48" i="75" s="1"/>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I10" i="75"/>
  <c r="K10" i="75" s="1"/>
  <c r="L10" i="75"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P118" i="78"/>
  <c r="M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J86" i="74" s="1"/>
  <c r="N39" i="68"/>
  <c r="D25" i="74" s="1"/>
  <c r="N38" i="68"/>
  <c r="N37" i="68"/>
  <c r="C111" i="74" s="1"/>
  <c r="S34" i="68"/>
  <c r="S16" i="68"/>
  <c r="S3" i="68"/>
  <c r="L151" i="67"/>
  <c r="P171" i="66"/>
  <c r="H72" i="66"/>
  <c r="H13" i="84" s="1"/>
  <c r="L38" i="66"/>
  <c r="G61" i="84"/>
  <c r="I61" i="84"/>
  <c r="I60" i="84"/>
  <c r="G60" i="84"/>
  <c r="C993" i="93"/>
  <c r="E10" i="86"/>
  <c r="G993" i="93"/>
  <c r="I10" i="86"/>
  <c r="K993" i="93"/>
  <c r="F30" i="86"/>
  <c r="I994" i="93"/>
  <c r="D31" i="86"/>
  <c r="E12" i="86"/>
  <c r="G995" i="93"/>
  <c r="I12" i="86"/>
  <c r="C1023" i="93"/>
  <c r="H30" i="86"/>
  <c r="G1023" i="93"/>
  <c r="E50" i="86"/>
  <c r="K1023" i="93"/>
  <c r="C85" i="90"/>
  <c r="O8" i="86"/>
  <c r="L93" i="85"/>
  <c r="L63" i="85"/>
  <c r="E1024" i="93"/>
  <c r="I1024" i="93"/>
  <c r="G51" i="86"/>
  <c r="G1025" i="93"/>
  <c r="E52" i="86"/>
  <c r="Q770" i="93"/>
  <c r="K59" i="84"/>
  <c r="B53" i="82"/>
  <c r="B984" i="93"/>
  <c r="D993" i="93"/>
  <c r="F10" i="86"/>
  <c r="C11" i="86"/>
  <c r="F994" i="93"/>
  <c r="D995" i="93"/>
  <c r="H995" i="93"/>
  <c r="I30" i="86"/>
  <c r="B1024" i="93"/>
  <c r="F1024" i="93"/>
  <c r="J1024" i="93"/>
  <c r="H51" i="86"/>
  <c r="D1025" i="93"/>
  <c r="H1025" i="93"/>
  <c r="F52" i="86"/>
  <c r="F1910" i="93"/>
  <c r="A623" i="93"/>
  <c r="P66" i="93"/>
  <c r="E993" i="93"/>
  <c r="G10" i="86"/>
  <c r="I993" i="93"/>
  <c r="C994" i="93"/>
  <c r="E11" i="86"/>
  <c r="K994" i="93"/>
  <c r="G12" i="86"/>
  <c r="I995" i="93"/>
  <c r="D32" i="86"/>
  <c r="E1023" i="93"/>
  <c r="I1023" i="93"/>
  <c r="G50" i="86"/>
  <c r="C1024" i="93"/>
  <c r="G1024" i="93"/>
  <c r="E51" i="86"/>
  <c r="E1025" i="93"/>
  <c r="C52" i="86"/>
  <c r="I1025" i="93"/>
  <c r="D10" i="86"/>
  <c r="F993" i="93"/>
  <c r="H10" i="86"/>
  <c r="J993" i="93"/>
  <c r="E30" i="86"/>
  <c r="D994" i="93"/>
  <c r="H994" i="93"/>
  <c r="C31" i="86"/>
  <c r="B995" i="93"/>
  <c r="C12" i="86"/>
  <c r="F995" i="93"/>
  <c r="H12" i="86"/>
  <c r="J995" i="93"/>
  <c r="B1023" i="93"/>
  <c r="G30" i="86"/>
  <c r="J1023" i="93"/>
  <c r="H50" i="86"/>
  <c r="H1024" i="93"/>
  <c r="F51" i="86"/>
  <c r="F1025" i="93"/>
  <c r="O1870" i="93"/>
  <c r="G101" i="90"/>
  <c r="E41" i="72"/>
  <c r="E1595" i="93" s="1"/>
  <c r="O1968" i="93"/>
  <c r="A839" i="93"/>
  <c r="A3" i="93"/>
  <c r="P84" i="72"/>
  <c r="P1638" i="93" s="1"/>
  <c r="O80" i="72"/>
  <c r="O1634" i="93" s="1"/>
  <c r="O84" i="72"/>
  <c r="E59" i="74"/>
  <c r="E29" i="74"/>
  <c r="R28" i="74" s="1"/>
  <c r="I29" i="74"/>
  <c r="I985" i="93" s="1"/>
  <c r="D59" i="74"/>
  <c r="F29" i="74"/>
  <c r="G14" i="86" s="1"/>
  <c r="J29" i="74"/>
  <c r="J985" i="93" s="1"/>
  <c r="C59" i="74"/>
  <c r="G34" i="86" s="1"/>
  <c r="G29" i="74"/>
  <c r="G985" i="93" s="1"/>
  <c r="K29" i="74"/>
  <c r="F59" i="74"/>
  <c r="F1015" i="93" s="1"/>
  <c r="B59" i="74"/>
  <c r="H29" i="74"/>
  <c r="N55" i="66"/>
  <c r="E984" i="93"/>
  <c r="O272" i="72"/>
  <c r="O1826" i="93"/>
  <c r="Q55" i="73"/>
  <c r="C118" i="74"/>
  <c r="P55" i="73"/>
  <c r="L433" i="72"/>
  <c r="M303" i="73"/>
  <c r="O420" i="72"/>
  <c r="P55" i="66"/>
  <c r="D38" i="78"/>
  <c r="P11" i="72"/>
  <c r="P80" i="72"/>
  <c r="P1634" i="93" s="1"/>
  <c r="M287" i="72"/>
  <c r="I23" i="74"/>
  <c r="E15" i="87" s="1"/>
  <c r="B53" i="74"/>
  <c r="J83" i="74"/>
  <c r="P303" i="72"/>
  <c r="O307" i="72"/>
  <c r="O1861" i="93" s="1"/>
  <c r="P307" i="72"/>
  <c r="P1861" i="93" s="1"/>
  <c r="I979" i="93"/>
  <c r="D53" i="82"/>
  <c r="D984" i="93"/>
  <c r="C53" i="82"/>
  <c r="C984" i="93"/>
  <c r="D985" i="93"/>
  <c r="E14" i="86"/>
  <c r="E1015" i="93"/>
  <c r="I34" i="86"/>
  <c r="B985" i="93"/>
  <c r="C14" i="86"/>
  <c r="D34" i="86"/>
  <c r="C985" i="93"/>
  <c r="R19" i="74"/>
  <c r="I31" i="74"/>
  <c r="T213" i="72"/>
  <c r="E53" i="82"/>
  <c r="G984" i="93"/>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O294" i="72"/>
  <c r="O1848" i="93" s="1"/>
  <c r="Q295" i="72"/>
  <c r="L388" i="93"/>
  <c r="L389" i="93"/>
  <c r="F30" i="89"/>
  <c r="D62" i="90" s="1"/>
  <c r="D56" i="92" s="1"/>
  <c r="L382" i="93"/>
  <c r="L30" i="68"/>
  <c r="E5" i="86"/>
  <c r="C56" i="86" s="1"/>
  <c r="G105" i="78"/>
  <c r="G535" i="93"/>
  <c r="G118" i="78"/>
  <c r="G553" i="93"/>
  <c r="G554" i="93" s="1"/>
  <c r="J118" i="78"/>
  <c r="J132" i="78" s="1"/>
  <c r="J149" i="78" s="1"/>
  <c r="J553" i="93"/>
  <c r="S117" i="78"/>
  <c r="S553" i="93" s="1"/>
  <c r="S554" i="93" s="1"/>
  <c r="F984" i="93"/>
  <c r="F53" i="82"/>
  <c r="G53" i="82"/>
  <c r="J500" i="93"/>
  <c r="S562" i="93"/>
  <c r="C36" i="86"/>
  <c r="S500" i="93"/>
  <c r="J472" i="93"/>
  <c r="J474" i="93" s="1"/>
  <c r="E33" i="72"/>
  <c r="E1587" i="93" s="1"/>
  <c r="JO770" i="93"/>
  <c r="HM770" i="93"/>
  <c r="FF770" i="93"/>
  <c r="HO770" i="93"/>
  <c r="GT770" i="93"/>
  <c r="FY770" i="93"/>
  <c r="FC770" i="93"/>
  <c r="HI770" i="93"/>
  <c r="GM770" i="93"/>
  <c r="FR770" i="93"/>
  <c r="GW770" i="93"/>
  <c r="FQ770" i="93"/>
  <c r="FD770" i="93"/>
  <c r="FT770" i="93"/>
  <c r="GJ770" i="93"/>
  <c r="GZ770" i="93"/>
  <c r="HP770" i="93"/>
  <c r="FJ770" i="93"/>
  <c r="FE770" i="93"/>
  <c r="GK770" i="93"/>
  <c r="HK770" i="93"/>
  <c r="JD770" i="93"/>
  <c r="HB770" i="93"/>
  <c r="JG770" i="93"/>
  <c r="HJ770" i="93"/>
  <c r="GO770" i="93"/>
  <c r="FS770" i="93"/>
  <c r="JE770" i="93"/>
  <c r="HY770" i="93"/>
  <c r="HC770" i="93"/>
  <c r="GH770" i="93"/>
  <c r="FM770" i="93"/>
  <c r="HW770" i="93"/>
  <c r="GQ770" i="93"/>
  <c r="FK770" i="93"/>
  <c r="FH770" i="93"/>
  <c r="FX770" i="93"/>
  <c r="GN770" i="93"/>
  <c r="HD770" i="93"/>
  <c r="HT770" i="93"/>
  <c r="JF770" i="93"/>
  <c r="FO770" i="93"/>
  <c r="GP770" i="93"/>
  <c r="HQ770" i="93"/>
  <c r="GL770" i="93"/>
  <c r="HZ770" i="93"/>
  <c r="HE770" i="93"/>
  <c r="GI770" i="93"/>
  <c r="FN770" i="93"/>
  <c r="HS770" i="93"/>
  <c r="GX770" i="93"/>
  <c r="GC770" i="93"/>
  <c r="FB770" i="93"/>
  <c r="HR770" i="93"/>
  <c r="GG770" i="93"/>
  <c r="FL770" i="93"/>
  <c r="GB770" i="93"/>
  <c r="GR770" i="93"/>
  <c r="HH770" i="93"/>
  <c r="HX770" i="93"/>
  <c r="JC770" i="93"/>
  <c r="HA770" i="93"/>
  <c r="HV770" i="93"/>
  <c r="FU770" i="93"/>
  <c r="GU770"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F768" i="93"/>
  <c r="JJ768" i="93"/>
  <c r="JN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JC768" i="93"/>
  <c r="JG768" i="93"/>
  <c r="JK768" i="93"/>
  <c r="A769" i="93"/>
  <c r="EM769" i="93"/>
  <c r="DW769" i="93"/>
  <c r="DG769" i="93"/>
  <c r="EH769" i="93"/>
  <c r="IP769" i="93"/>
  <c r="ET769" i="93"/>
  <c r="DN769" i="93"/>
  <c r="IS769" i="93"/>
  <c r="ES769" i="93"/>
  <c r="EC769" i="93"/>
  <c r="DM769" i="93"/>
  <c r="DL769" i="93"/>
  <c r="EB769" i="93"/>
  <c r="ER769" i="93"/>
  <c r="IN769" i="93"/>
  <c r="JL769" i="93"/>
  <c r="IU769" i="93"/>
  <c r="EI769" i="93"/>
  <c r="DS769" i="93"/>
  <c r="DZ769" i="93"/>
  <c r="JB769" i="93"/>
  <c r="EL769" i="93"/>
  <c r="DF769" i="93"/>
  <c r="IO769" i="93"/>
  <c r="EO769" i="93"/>
  <c r="DY769" i="93"/>
  <c r="DI769" i="93"/>
  <c r="DP769" i="93"/>
  <c r="EF769" i="93"/>
  <c r="EV769" i="93"/>
  <c r="IR769" i="93"/>
  <c r="IQ769" i="93"/>
  <c r="EU769" i="93"/>
  <c r="EE769" i="93"/>
  <c r="DO769" i="93"/>
  <c r="DR769" i="93"/>
  <c r="IX769" i="93"/>
  <c r="ED769" i="93"/>
  <c r="JA769" i="93"/>
  <c r="EK769" i="93"/>
  <c r="DU769" i="93"/>
  <c r="DE769" i="93"/>
  <c r="DD769" i="93"/>
  <c r="DT769" i="93"/>
  <c r="EJ769" i="93"/>
  <c r="IY769" i="93"/>
  <c r="JD769" i="93"/>
  <c r="JG769" i="93"/>
  <c r="JF769" i="93"/>
  <c r="JI769" i="93"/>
  <c r="JC769" i="93"/>
  <c r="E805" i="93"/>
  <c r="JE769" i="93"/>
  <c r="L769" i="93"/>
  <c r="JH769" i="93"/>
  <c r="JK769" i="93"/>
  <c r="JJ769" i="93"/>
  <c r="JP769" i="93"/>
  <c r="IB778" i="93"/>
  <c r="GV778" i="93"/>
  <c r="FP778" i="93"/>
  <c r="IA778" i="93"/>
  <c r="HG778" i="93"/>
  <c r="GA778" i="93"/>
  <c r="GU778" i="93"/>
  <c r="FG778" i="93"/>
  <c r="FA778" i="93"/>
  <c r="FY778" i="93"/>
  <c r="GS778" i="93"/>
  <c r="HM778" i="93"/>
  <c r="JL778" i="93"/>
  <c r="FJ778" i="93"/>
  <c r="FZ778" i="93"/>
  <c r="GP778" i="93"/>
  <c r="HF778" i="93"/>
  <c r="HV778" i="93"/>
  <c r="JM778" i="93"/>
  <c r="GO778" i="93"/>
  <c r="JG778" i="93"/>
  <c r="JO778" i="93"/>
  <c r="GB778" i="93"/>
  <c r="HX778" i="93"/>
  <c r="JK778" i="93"/>
  <c r="HT778" i="93"/>
  <c r="GN778" i="93"/>
  <c r="FH778" i="93"/>
  <c r="HC778" i="93"/>
  <c r="GY778" i="93"/>
  <c r="FS778" i="93"/>
  <c r="GM778" i="93"/>
  <c r="FI778" i="93"/>
  <c r="GC778" i="93"/>
  <c r="GW778" i="93"/>
  <c r="HQ778" i="93"/>
  <c r="JP778" i="93"/>
  <c r="EX778" i="93"/>
  <c r="FN778" i="93"/>
  <c r="GD778" i="93"/>
  <c r="GT778" i="93"/>
  <c r="HJ778" i="93"/>
  <c r="HZ778" i="93"/>
  <c r="JQ778" i="93"/>
  <c r="HE778" i="93"/>
  <c r="GJ778" i="93"/>
  <c r="HP778" i="93"/>
  <c r="GR778" i="93"/>
  <c r="A778" i="93"/>
  <c r="JC778" i="93"/>
  <c r="HL778" i="93"/>
  <c r="GF778" i="93"/>
  <c r="EZ778" i="93"/>
  <c r="GE778" i="93"/>
  <c r="JN778" i="93"/>
  <c r="HW778" i="93"/>
  <c r="GQ778" i="93"/>
  <c r="FK778" i="93"/>
  <c r="HS778" i="93"/>
  <c r="FW778" i="93"/>
  <c r="FM778" i="93"/>
  <c r="GG778" i="93"/>
  <c r="HA778" i="93"/>
  <c r="HY778" i="93"/>
  <c r="JD778" i="93"/>
  <c r="FB778" i="93"/>
  <c r="FR778" i="93"/>
  <c r="GH778" i="93"/>
  <c r="GX778" i="93"/>
  <c r="HN778" i="93"/>
  <c r="JE778" i="93"/>
  <c r="FE778" i="93"/>
  <c r="HU778" i="93"/>
  <c r="FD778" i="93"/>
  <c r="FL778" i="93"/>
  <c r="Q778" i="93"/>
  <c r="K21" i="75"/>
  <c r="L21" i="75" s="1"/>
  <c r="CU768" i="93"/>
  <c r="BC772" i="93"/>
  <c r="F805" i="93"/>
  <c r="JJ772" i="93"/>
  <c r="JM772" i="93"/>
  <c r="JP772" i="93"/>
  <c r="CV772" i="93"/>
  <c r="JK772" i="93"/>
  <c r="JF772" i="93"/>
  <c r="JI772" i="93"/>
  <c r="JL772" i="93"/>
  <c r="JO772" i="93"/>
  <c r="A772" i="93"/>
  <c r="DF772" i="93"/>
  <c r="EY772" i="93"/>
  <c r="JE772" i="93"/>
  <c r="JH772" i="93"/>
  <c r="JN772" i="93"/>
  <c r="HA48" i="75"/>
  <c r="K89" i="75" s="1"/>
  <c r="HM48" i="75"/>
  <c r="M91" i="75" s="1"/>
  <c r="M108" i="75" s="1"/>
  <c r="F1152" i="93" s="1"/>
  <c r="H1152" i="93" s="1"/>
  <c r="AS777" i="93"/>
  <c r="AW777" i="93"/>
  <c r="BA777" i="93"/>
  <c r="BE777" i="93"/>
  <c r="BI777" i="93"/>
  <c r="BM777" i="93"/>
  <c r="BQ777" i="93"/>
  <c r="CW777" i="93"/>
  <c r="AT777" i="93"/>
  <c r="AX777" i="93"/>
  <c r="BB777" i="93"/>
  <c r="BF777" i="93"/>
  <c r="BJ777" i="93"/>
  <c r="BN777" i="93"/>
  <c r="BR777" i="93"/>
  <c r="CT777" i="93"/>
  <c r="CX777" i="93"/>
  <c r="AQ777" i="93"/>
  <c r="AU777" i="93"/>
  <c r="AY777" i="93"/>
  <c r="BC777" i="93"/>
  <c r="BG777" i="93"/>
  <c r="BK777" i="93"/>
  <c r="BO777" i="93"/>
  <c r="BS777" i="93"/>
  <c r="FH48" i="75"/>
  <c r="K96" i="75" s="1"/>
  <c r="E39" i="72"/>
  <c r="E1593" i="93" s="1"/>
  <c r="L1918" i="93"/>
  <c r="E37" i="72"/>
  <c r="E1591" i="93" s="1"/>
  <c r="M1719" i="93"/>
  <c r="O1719" i="93" s="1"/>
  <c r="L1667" i="93"/>
  <c r="O1611" i="93"/>
  <c r="L279" i="72"/>
  <c r="L1833" i="93" s="1"/>
  <c r="A770" i="93"/>
  <c r="ED48" i="75"/>
  <c r="HL48" i="75"/>
  <c r="L91" i="75" s="1"/>
  <c r="L108" i="75" s="1"/>
  <c r="F1151" i="93" s="1"/>
  <c r="H1151" i="93" s="1"/>
  <c r="E58" i="84"/>
  <c r="IQ774" i="93"/>
  <c r="EP774" i="93"/>
  <c r="DV774" i="93"/>
  <c r="DF774" i="93"/>
  <c r="CD774" i="93"/>
  <c r="BJ774" i="93"/>
  <c r="AT774" i="93"/>
  <c r="AD774" i="93"/>
  <c r="EN774" i="93"/>
  <c r="IJ774" i="93"/>
  <c r="IZ774" i="93"/>
  <c r="ED774" i="93"/>
  <c r="Y774" i="93"/>
  <c r="CO774" i="93"/>
  <c r="IS774" i="93"/>
  <c r="DX774" i="93"/>
  <c r="AV774" i="93"/>
  <c r="IE774" i="93"/>
  <c r="DW774" i="93"/>
  <c r="CQ774" i="93"/>
  <c r="BH774" i="93"/>
  <c r="ID774" i="93"/>
  <c r="DM774" i="93"/>
  <c r="CA774" i="93"/>
  <c r="AK774" i="93"/>
  <c r="AN774" i="93"/>
  <c r="BI774" i="93"/>
  <c r="CC774" i="93"/>
  <c r="DP774" i="93"/>
  <c r="EO774" i="93"/>
  <c r="IP774" i="93"/>
  <c r="AW774" i="93"/>
  <c r="AB774" i="93"/>
  <c r="EI774" i="93"/>
  <c r="DS774" i="93"/>
  <c r="DL774" i="93"/>
  <c r="JB774" i="93"/>
  <c r="IG774" i="93"/>
  <c r="EE774" i="93"/>
  <c r="DN774" i="93"/>
  <c r="CL774" i="93"/>
  <c r="BR774" i="93"/>
  <c r="BB774" i="93"/>
  <c r="AL774" i="93"/>
  <c r="A774" i="93"/>
  <c r="EF774" i="93"/>
  <c r="EV774" i="93"/>
  <c r="IR774" i="93"/>
  <c r="CB774" i="93"/>
  <c r="IM774" i="93"/>
  <c r="EC774" i="93"/>
  <c r="AR774" i="93"/>
  <c r="EQ774" i="93"/>
  <c r="DI774" i="93"/>
  <c r="CK774" i="93"/>
  <c r="BK774" i="93"/>
  <c r="AG774" i="93"/>
  <c r="IY774" i="93"/>
  <c r="DH774" i="93"/>
  <c r="AM774" i="93"/>
  <c r="EL774" i="93"/>
  <c r="BG774" i="93"/>
  <c r="AC774" i="93"/>
  <c r="AY774" i="93"/>
  <c r="BT774" i="93"/>
  <c r="CN774" i="93"/>
  <c r="DE774" i="93"/>
  <c r="EA774" i="93"/>
  <c r="BL774" i="93"/>
  <c r="CF774" i="93"/>
  <c r="DY774" i="93"/>
  <c r="IW774" i="93"/>
  <c r="EU774" i="93"/>
  <c r="DZ774" i="93"/>
  <c r="DJ774" i="93"/>
  <c r="CH774" i="93"/>
  <c r="BN774" i="93"/>
  <c r="AX774" i="93"/>
  <c r="AH774" i="93"/>
  <c r="EJ774" i="93"/>
  <c r="IF774" i="93"/>
  <c r="IV774" i="93"/>
  <c r="AU774" i="93"/>
  <c r="DG774" i="93"/>
  <c r="W774" i="93"/>
  <c r="JA774" i="93"/>
  <c r="EG774" i="93"/>
  <c r="CE774" i="93"/>
  <c r="BC774" i="93"/>
  <c r="AA774" i="93"/>
  <c r="IO774" i="93"/>
  <c r="EM774" i="93"/>
  <c r="BP774" i="93"/>
  <c r="AF774" i="93"/>
  <c r="IU774" i="93"/>
  <c r="DT774" i="93"/>
  <c r="CG774" i="93"/>
  <c r="AZ774" i="93"/>
  <c r="AI774" i="93"/>
  <c r="BD774" i="93"/>
  <c r="CS774" i="93"/>
  <c r="DK774" i="93"/>
  <c r="EH774" i="93"/>
  <c r="II774" i="93"/>
  <c r="AJ774" i="93"/>
  <c r="IK774" i="93"/>
  <c r="ES774" i="93"/>
  <c r="DC48" i="75"/>
  <c r="N118" i="75" s="1"/>
  <c r="CW48" i="75"/>
  <c r="JF771" i="93"/>
  <c r="Y48" i="75"/>
  <c r="L56" i="75" s="1"/>
  <c r="AS48" i="75"/>
  <c r="BI48" i="75"/>
  <c r="CG48" i="75"/>
  <c r="L114" i="75" s="1"/>
  <c r="CS48" i="75"/>
  <c r="N116" i="75" s="1"/>
  <c r="DQ48" i="75"/>
  <c r="EG48" i="75"/>
  <c r="IG48" i="75"/>
  <c r="IO48" i="75"/>
  <c r="HC48" i="75"/>
  <c r="M89" i="75" s="1"/>
  <c r="IC769" i="93"/>
  <c r="K12" i="75"/>
  <c r="L12" i="75" s="1"/>
  <c r="EX48" i="75"/>
  <c r="GD48" i="75"/>
  <c r="M100" i="75" s="1"/>
  <c r="HJ48" i="75"/>
  <c r="J91" i="75" s="1"/>
  <c r="J108" i="75" s="1"/>
  <c r="Z48" i="75"/>
  <c r="M56" i="75" s="1"/>
  <c r="DV48" i="75"/>
  <c r="M75" i="75" s="1"/>
  <c r="EP48" i="75"/>
  <c r="M79" i="75" s="1"/>
  <c r="IU768" i="93"/>
  <c r="EM768" i="93"/>
  <c r="IE768" i="93"/>
  <c r="AH768" i="93"/>
  <c r="AX768" i="93"/>
  <c r="AF768" i="93"/>
  <c r="Y768" i="93"/>
  <c r="W768" i="93"/>
  <c r="AM768" i="93"/>
  <c r="AJ768" i="93"/>
  <c r="AS768" i="93"/>
  <c r="DW768" i="93"/>
  <c r="AL768" i="93"/>
  <c r="BB768" i="93"/>
  <c r="AN768" i="93"/>
  <c r="AG768" i="93"/>
  <c r="AA768" i="93"/>
  <c r="AQ768" i="93"/>
  <c r="AV768" i="93"/>
  <c r="BA768" i="93"/>
  <c r="JB768" i="93"/>
  <c r="IL768" i="93"/>
  <c r="EP768" i="93"/>
  <c r="DZ768" i="93"/>
  <c r="DJ768" i="93"/>
  <c r="CH768" i="93"/>
  <c r="BN768" i="93"/>
  <c r="IW768" i="93"/>
  <c r="IG768" i="93"/>
  <c r="EG768" i="93"/>
  <c r="DQ768" i="93"/>
  <c r="CS768" i="93"/>
  <c r="CC768" i="93"/>
  <c r="BE768" i="93"/>
  <c r="IN768" i="93"/>
  <c r="ER768" i="93"/>
  <c r="EB768" i="93"/>
  <c r="DL768" i="93"/>
  <c r="CN768" i="93"/>
  <c r="BT768" i="93"/>
  <c r="BD768" i="93"/>
  <c r="DK768" i="93"/>
  <c r="IY768" i="93"/>
  <c r="DO768" i="93"/>
  <c r="BS768" i="93"/>
  <c r="IQ768" i="93"/>
  <c r="BG768" i="93"/>
  <c r="BG805" i="93" s="1"/>
  <c r="Z768" i="93"/>
  <c r="AP768" i="93"/>
  <c r="X768" i="93"/>
  <c r="AR768" i="93"/>
  <c r="AO768" i="93"/>
  <c r="AE768" i="93"/>
  <c r="AU768" i="93"/>
  <c r="AC768" i="93"/>
  <c r="IX768" i="93"/>
  <c r="IH768" i="93"/>
  <c r="EL768" i="93"/>
  <c r="DV768" i="93"/>
  <c r="DF768" i="93"/>
  <c r="CD768" i="93"/>
  <c r="BJ768" i="93"/>
  <c r="IS768" i="93"/>
  <c r="ES768" i="93"/>
  <c r="EC768" i="93"/>
  <c r="EC805" i="93" s="1"/>
  <c r="DM768" i="93"/>
  <c r="CO768" i="93"/>
  <c r="BQ768" i="93"/>
  <c r="IZ768" i="93"/>
  <c r="IJ768" i="93"/>
  <c r="EN768" i="93"/>
  <c r="DX768" i="93"/>
  <c r="DH768" i="93"/>
  <c r="CJ768" i="93"/>
  <c r="BP768" i="93"/>
  <c r="BK768" i="93"/>
  <c r="BK805" i="93" s="1"/>
  <c r="J826" i="93" s="1"/>
  <c r="EA768" i="93"/>
  <c r="EE768" i="93"/>
  <c r="CI768" i="93"/>
  <c r="AW768" i="93"/>
  <c r="AW805" i="93" s="1"/>
  <c r="K822" i="93" s="1"/>
  <c r="AD768" i="93"/>
  <c r="CM768" i="93"/>
  <c r="AK768" i="93"/>
  <c r="AZ768" i="93"/>
  <c r="DG768" i="93"/>
  <c r="P927" i="93"/>
  <c r="L354" i="93"/>
  <c r="A773" i="93"/>
  <c r="F115" i="78"/>
  <c r="I36" i="86"/>
  <c r="D16" i="86"/>
  <c r="G68" i="84"/>
  <c r="I68" i="84"/>
  <c r="K68" i="84"/>
  <c r="S118" i="78"/>
  <c r="S132" i="78" s="1"/>
  <c r="E36" i="86"/>
  <c r="H16" i="86"/>
  <c r="H36" i="86"/>
  <c r="D36" i="86"/>
  <c r="G16" i="86"/>
  <c r="E68" i="84"/>
  <c r="B1009" i="93"/>
  <c r="B61" i="74"/>
  <c r="E18" i="87"/>
  <c r="O67" i="72"/>
  <c r="O1638" i="93"/>
  <c r="J93" i="74"/>
  <c r="J1042" i="93"/>
  <c r="J1049" i="93" s="1"/>
  <c r="R12" i="75"/>
  <c r="R769" i="93" s="1"/>
  <c r="B1015" i="93"/>
  <c r="F34" i="86"/>
  <c r="D14" i="86"/>
  <c r="R21" i="74"/>
  <c r="R23" i="74"/>
  <c r="R20" i="74"/>
  <c r="N401" i="93"/>
  <c r="C54" i="74"/>
  <c r="D112" i="74"/>
  <c r="D1068" i="93" s="1"/>
  <c r="D1075" i="93" s="1"/>
  <c r="J24" i="74"/>
  <c r="I24" i="74"/>
  <c r="I32" i="74" s="1"/>
  <c r="B24" i="74"/>
  <c r="B32" i="74" s="1"/>
  <c r="F84" i="74"/>
  <c r="F1040" i="93" s="1"/>
  <c r="F1047" i="93" s="1"/>
  <c r="C24" i="74"/>
  <c r="C980" i="93" s="1"/>
  <c r="C988" i="93" s="1"/>
  <c r="H54" i="74"/>
  <c r="H62" i="74" s="1"/>
  <c r="E112" i="74"/>
  <c r="E1068" i="93" s="1"/>
  <c r="E1075" i="93" s="1"/>
  <c r="I54" i="74"/>
  <c r="I62" i="74" s="1"/>
  <c r="G84" i="74"/>
  <c r="G91" i="74" s="1"/>
  <c r="B54" i="74"/>
  <c r="D54" i="74"/>
  <c r="D1010" i="93" s="1"/>
  <c r="D1018" i="93" s="1"/>
  <c r="D84" i="74"/>
  <c r="I84" i="74"/>
  <c r="I91" i="74" s="1"/>
  <c r="E24" i="74"/>
  <c r="F24" i="74"/>
  <c r="F980" i="93" s="1"/>
  <c r="F988" i="93" s="1"/>
  <c r="E54" i="74"/>
  <c r="E1010" i="93" s="1"/>
  <c r="E1018" i="93" s="1"/>
  <c r="J84" i="74"/>
  <c r="J1040" i="93" s="1"/>
  <c r="J1047" i="93" s="1"/>
  <c r="G54" i="74"/>
  <c r="I987" i="93"/>
  <c r="B86" i="74"/>
  <c r="B1042" i="93" s="1"/>
  <c r="B1049" i="93" s="1"/>
  <c r="F86" i="74"/>
  <c r="F1042" i="93" s="1"/>
  <c r="F1049" i="93" s="1"/>
  <c r="G86" i="74"/>
  <c r="G1042" i="93" s="1"/>
  <c r="G1049" i="93" s="1"/>
  <c r="G26" i="74"/>
  <c r="G34" i="74" s="1"/>
  <c r="J26" i="74"/>
  <c r="J34" i="74" s="1"/>
  <c r="F114" i="74"/>
  <c r="F1070" i="93" s="1"/>
  <c r="F1077" i="93" s="1"/>
  <c r="D26" i="74"/>
  <c r="E86" i="74"/>
  <c r="E93" i="74" s="1"/>
  <c r="J56" i="74"/>
  <c r="J1012" i="93" s="1"/>
  <c r="J1020" i="93" s="1"/>
  <c r="N403" i="93"/>
  <c r="I26" i="74"/>
  <c r="E114" i="74"/>
  <c r="E121" i="74" s="1"/>
  <c r="K56" i="74"/>
  <c r="K1012" i="93" s="1"/>
  <c r="K1020" i="93" s="1"/>
  <c r="K26" i="74"/>
  <c r="K982" i="93" s="1"/>
  <c r="K990" i="93" s="1"/>
  <c r="B26" i="74"/>
  <c r="I56" i="74"/>
  <c r="I1012" i="93" s="1"/>
  <c r="I1020" i="93" s="1"/>
  <c r="F56" i="74"/>
  <c r="F1012" i="93" s="1"/>
  <c r="F1020" i="93" s="1"/>
  <c r="K86" i="74"/>
  <c r="D86" i="74"/>
  <c r="D93" i="74" s="1"/>
  <c r="H26" i="74"/>
  <c r="H34" i="74" s="1"/>
  <c r="E56" i="74"/>
  <c r="E64" i="74" s="1"/>
  <c r="D114" i="74"/>
  <c r="D121" i="74" s="1"/>
  <c r="C26" i="74"/>
  <c r="H56" i="74"/>
  <c r="H1012" i="93" s="1"/>
  <c r="H1020" i="93" s="1"/>
  <c r="B114" i="74"/>
  <c r="G473" i="93"/>
  <c r="F35" i="78"/>
  <c r="E36" i="78"/>
  <c r="E37" i="78"/>
  <c r="E35" i="78"/>
  <c r="C1067" i="93"/>
  <c r="P132" i="78"/>
  <c r="P149" i="78" s="1"/>
  <c r="P151" i="78" s="1"/>
  <c r="P153" i="78" s="1"/>
  <c r="J1039" i="93"/>
  <c r="J90" i="74"/>
  <c r="CU48" i="75"/>
  <c r="DK48" i="75"/>
  <c r="L73" i="75" s="1"/>
  <c r="EA48" i="75"/>
  <c r="M76" i="75" s="1"/>
  <c r="EQ48" i="75"/>
  <c r="N79" i="75" s="1"/>
  <c r="GA48" i="75"/>
  <c r="J100" i="75" s="1"/>
  <c r="IA48" i="75"/>
  <c r="L94" i="75" s="1"/>
  <c r="JO48" i="75"/>
  <c r="G513" i="93"/>
  <c r="D83" i="74"/>
  <c r="D1039" i="93" s="1"/>
  <c r="D1046" i="93" s="1"/>
  <c r="H23" i="74"/>
  <c r="E14" i="87" s="1"/>
  <c r="G23" i="74"/>
  <c r="E13" i="87" s="1"/>
  <c r="I53" i="74"/>
  <c r="I1009" i="93" s="1"/>
  <c r="I1017" i="93" s="1"/>
  <c r="E83" i="74"/>
  <c r="E90" i="74" s="1"/>
  <c r="C23" i="74"/>
  <c r="C31" i="74" s="1"/>
  <c r="D53" i="74"/>
  <c r="E20" i="87" s="1"/>
  <c r="J53" i="74"/>
  <c r="F23" i="74"/>
  <c r="F979" i="93" s="1"/>
  <c r="F987" i="93" s="1"/>
  <c r="K53" i="74"/>
  <c r="K61" i="74" s="1"/>
  <c r="K83" i="74"/>
  <c r="AJ48" i="75"/>
  <c r="CN48" i="75"/>
  <c r="EF48" i="75"/>
  <c r="M77" i="75" s="1"/>
  <c r="GV48" i="75"/>
  <c r="K88" i="75" s="1"/>
  <c r="IR48" i="75"/>
  <c r="BF48" i="75"/>
  <c r="I55" i="84"/>
  <c r="E55" i="84"/>
  <c r="P8" i="72"/>
  <c r="P1562" i="93" s="1"/>
  <c r="D11" i="86"/>
  <c r="B994" i="93"/>
  <c r="E31" i="86"/>
  <c r="J994" i="93"/>
  <c r="F31" i="86"/>
  <c r="G31" i="86"/>
  <c r="C1025" i="93"/>
  <c r="H32" i="86"/>
  <c r="K17" i="75"/>
  <c r="L17" i="75" s="1"/>
  <c r="I774" i="93"/>
  <c r="K774" i="93" s="1"/>
  <c r="L774" i="93" s="1"/>
  <c r="P111" i="72"/>
  <c r="L230" i="72" s="1"/>
  <c r="L1784" i="93" s="1"/>
  <c r="P1669" i="93"/>
  <c r="K16" i="75"/>
  <c r="L16" i="75" s="1"/>
  <c r="K15" i="75"/>
  <c r="L15" i="75" s="1"/>
  <c r="I772" i="93"/>
  <c r="K772" i="93" s="1"/>
  <c r="L772" i="93" s="1"/>
  <c r="F13" i="85"/>
  <c r="H2" i="91"/>
  <c r="K25" i="74"/>
  <c r="G25" i="74"/>
  <c r="K11" i="75"/>
  <c r="L11" i="75" s="1"/>
  <c r="E13" i="74"/>
  <c r="E20" i="74" s="1"/>
  <c r="D20" i="74"/>
  <c r="C8" i="90"/>
  <c r="C139" i="90" s="1"/>
  <c r="E5" i="89"/>
  <c r="P175" i="75"/>
  <c r="E65" i="89"/>
  <c r="D474" i="93"/>
  <c r="A526" i="93"/>
  <c r="U526" i="93"/>
  <c r="A561" i="93"/>
  <c r="O171" i="72"/>
  <c r="O1725" i="93"/>
  <c r="O1916" i="93"/>
  <c r="L1916" i="93" s="1"/>
  <c r="G537" i="93"/>
  <c r="K229" i="72"/>
  <c r="K1783" i="93" s="1"/>
  <c r="A452" i="93"/>
  <c r="U452" i="93"/>
  <c r="U451" i="93"/>
  <c r="P469" i="93"/>
  <c r="S469" i="93"/>
  <c r="M554" i="93"/>
  <c r="J463" i="93"/>
  <c r="A565" i="93"/>
  <c r="U565" i="93"/>
  <c r="J562" i="93"/>
  <c r="P562" i="93"/>
  <c r="J38" i="78"/>
  <c r="J47" i="78" s="1"/>
  <c r="J483" i="93" s="1"/>
  <c r="K58" i="84"/>
  <c r="H984" i="93"/>
  <c r="H53" i="82"/>
  <c r="C62" i="84"/>
  <c r="F57" i="73"/>
  <c r="H57" i="73" s="1"/>
  <c r="F121" i="78"/>
  <c r="B975" i="93"/>
  <c r="F557" i="93"/>
  <c r="B19" i="74"/>
  <c r="E19" i="74" s="1"/>
  <c r="K981" i="93"/>
  <c r="K989" i="93"/>
  <c r="K33" i="74"/>
  <c r="E9" i="87"/>
  <c r="H979" i="93"/>
  <c r="H987" i="93" s="1"/>
  <c r="C1074" i="93"/>
  <c r="G38" i="78"/>
  <c r="G471" i="93"/>
  <c r="G474" i="93" s="1"/>
  <c r="H982" i="93"/>
  <c r="H990" i="93" s="1"/>
  <c r="I64" i="74"/>
  <c r="E1070" i="93"/>
  <c r="E1077" i="93" s="1"/>
  <c r="E1042" i="93"/>
  <c r="E1049" i="93" s="1"/>
  <c r="F31" i="74"/>
  <c r="E31" i="87"/>
  <c r="E1039" i="93"/>
  <c r="E1046" i="93" s="1"/>
  <c r="E30" i="87"/>
  <c r="D90" i="74"/>
  <c r="C982" i="93"/>
  <c r="C990" i="93" s="1"/>
  <c r="C34" i="74"/>
  <c r="D1042" i="93"/>
  <c r="D1049" i="93" s="1"/>
  <c r="B34" i="74"/>
  <c r="B982" i="93"/>
  <c r="B990" i="93" s="1"/>
  <c r="D34" i="74"/>
  <c r="D982" i="93"/>
  <c r="D990" i="93" s="1"/>
  <c r="J91" i="74"/>
  <c r="E980" i="93"/>
  <c r="E988" i="93" s="1"/>
  <c r="E32" i="74"/>
  <c r="C32" i="74"/>
  <c r="I980" i="93"/>
  <c r="I988" i="93" s="1"/>
  <c r="C1010" i="93"/>
  <c r="C62" i="74"/>
  <c r="G1151" i="93"/>
  <c r="G1139" i="93"/>
  <c r="G1156" i="93"/>
  <c r="G1152" i="93"/>
  <c r="P58" i="73"/>
  <c r="G1146" i="93"/>
  <c r="G1136" i="93"/>
  <c r="G1142" i="93"/>
  <c r="I61" i="74"/>
  <c r="J1046" i="93"/>
  <c r="G472" i="93"/>
  <c r="F36" i="78"/>
  <c r="D1070" i="93"/>
  <c r="D1077" i="93" s="1"/>
  <c r="E62" i="74"/>
  <c r="I1040" i="93"/>
  <c r="I1047" i="93" s="1"/>
  <c r="B62" i="74"/>
  <c r="E119" i="74"/>
  <c r="F91" i="74"/>
  <c r="J32" i="74"/>
  <c r="J980" i="93"/>
  <c r="S537" i="93"/>
  <c r="S541" i="93" s="1"/>
  <c r="S105" i="78"/>
  <c r="D1009" i="93"/>
  <c r="D1017" i="93" s="1"/>
  <c r="F37" i="78"/>
  <c r="B1070" i="93"/>
  <c r="B1077" i="93" s="1"/>
  <c r="B121" i="74"/>
  <c r="K64" i="74"/>
  <c r="J64" i="74"/>
  <c r="B93" i="74"/>
  <c r="G1040" i="93"/>
  <c r="G1047" i="93" s="1"/>
  <c r="B980" i="93"/>
  <c r="B988" i="93" s="1"/>
  <c r="R13" i="75"/>
  <c r="R770" i="93" s="1"/>
  <c r="B1017" i="93"/>
  <c r="I53" i="82"/>
  <c r="I984" i="93"/>
  <c r="J988" i="93"/>
  <c r="G557" i="93"/>
  <c r="F75" i="89"/>
  <c r="E183" i="90" s="1"/>
  <c r="J121" i="78"/>
  <c r="G126" i="78"/>
  <c r="G558" i="93"/>
  <c r="J558" i="93"/>
  <c r="K24" i="88"/>
  <c r="F71" i="89"/>
  <c r="E166" i="90" s="1"/>
  <c r="J122" i="78"/>
  <c r="J53" i="82"/>
  <c r="J984" i="93"/>
  <c r="J557" i="93"/>
  <c r="K984" i="93"/>
  <c r="K53" i="82"/>
  <c r="J1939" i="93"/>
  <c r="B1014" i="93"/>
  <c r="B73" i="82"/>
  <c r="I405" i="93"/>
  <c r="I421" i="93"/>
  <c r="I58" i="68"/>
  <c r="D42" i="68"/>
  <c r="D405" i="93"/>
  <c r="B32" i="82"/>
  <c r="B35" i="82" s="1"/>
  <c r="B36" i="82" s="1"/>
  <c r="B41" i="74"/>
  <c r="B997" i="93" s="1"/>
  <c r="C133" i="90"/>
  <c r="L59" i="85" s="1"/>
  <c r="C1014" i="93"/>
  <c r="C73" i="82"/>
  <c r="C41" i="74"/>
  <c r="D1014" i="93"/>
  <c r="D73" i="82"/>
  <c r="E73" i="82"/>
  <c r="E1014" i="93"/>
  <c r="F73" i="82"/>
  <c r="G58" i="74"/>
  <c r="F1014" i="93"/>
  <c r="G1014" i="93"/>
  <c r="K58" i="73" l="1"/>
  <c r="M58" i="73" s="1"/>
  <c r="K1152" i="93"/>
  <c r="D62" i="74"/>
  <c r="E27" i="87"/>
  <c r="R34" i="74"/>
  <c r="D50" i="86"/>
  <c r="C50" i="86"/>
  <c r="D1024" i="93"/>
  <c r="I31" i="86"/>
  <c r="J1025" i="93"/>
  <c r="H52" i="86"/>
  <c r="G52" i="86"/>
  <c r="D19" i="74"/>
  <c r="J982" i="93"/>
  <c r="J990" i="93" s="1"/>
  <c r="E1012" i="93"/>
  <c r="E1020" i="93" s="1"/>
  <c r="P294" i="72"/>
  <c r="P1848" i="93" s="1"/>
  <c r="P1857" i="93"/>
  <c r="C19" i="74"/>
  <c r="K1009" i="93"/>
  <c r="K1017" i="93" s="1"/>
  <c r="R37" i="74"/>
  <c r="AE805" i="93"/>
  <c r="M814" i="93" s="1"/>
  <c r="BS805" i="93"/>
  <c r="M825" i="93" s="1"/>
  <c r="BH805" i="93"/>
  <c r="B1025" i="93"/>
  <c r="C10" i="86"/>
  <c r="B993" i="93"/>
  <c r="D30" i="86"/>
  <c r="C30" i="86"/>
  <c r="G994" i="93"/>
  <c r="I11" i="86"/>
  <c r="H11" i="86"/>
  <c r="F12" i="86"/>
  <c r="E995" i="93"/>
  <c r="I1152" i="93"/>
  <c r="H31" i="74"/>
  <c r="H31" i="86"/>
  <c r="C84" i="74"/>
  <c r="H84" i="74"/>
  <c r="H24" i="74"/>
  <c r="B112" i="74"/>
  <c r="J54" i="74"/>
  <c r="J62" i="74" s="1"/>
  <c r="K54" i="74"/>
  <c r="B84" i="74"/>
  <c r="G24" i="74"/>
  <c r="R22" i="74"/>
  <c r="G562" i="93"/>
  <c r="F34" i="78"/>
  <c r="G541" i="93"/>
  <c r="R25" i="74"/>
  <c r="E25" i="87"/>
  <c r="G982" i="93"/>
  <c r="G990" i="93" s="1"/>
  <c r="R24" i="74"/>
  <c r="R29" i="74"/>
  <c r="BF805" i="93"/>
  <c r="DR805" i="93"/>
  <c r="N831" i="93" s="1"/>
  <c r="F64" i="74"/>
  <c r="D61" i="74"/>
  <c r="F13" i="74"/>
  <c r="EJ805" i="93"/>
  <c r="L835" i="93" s="1"/>
  <c r="HB805" i="93"/>
  <c r="L846" i="93" s="1"/>
  <c r="E34" i="86"/>
  <c r="K985" i="93"/>
  <c r="F1023" i="93"/>
  <c r="I58" i="84"/>
  <c r="G58" i="84"/>
  <c r="I777" i="93"/>
  <c r="K777" i="93" s="1"/>
  <c r="L777" i="93" s="1"/>
  <c r="K20" i="75"/>
  <c r="L20" i="75" s="1"/>
  <c r="U512" i="93"/>
  <c r="A512" i="93"/>
  <c r="E985" i="93"/>
  <c r="F14" i="86"/>
  <c r="R38" i="74"/>
  <c r="F93" i="74"/>
  <c r="I1151" i="93"/>
  <c r="H64" i="74"/>
  <c r="F58" i="73"/>
  <c r="H58" i="73" s="1"/>
  <c r="B5" i="92"/>
  <c r="I1010" i="93"/>
  <c r="I1018" i="93" s="1"/>
  <c r="R26" i="74"/>
  <c r="S463" i="93"/>
  <c r="A499" i="93"/>
  <c r="DB795" i="93"/>
  <c r="BX787" i="93"/>
  <c r="AX779" i="93"/>
  <c r="AX805" i="93" s="1"/>
  <c r="L822" i="93" s="1"/>
  <c r="CX779" i="93"/>
  <c r="BJ779" i="93"/>
  <c r="IH778" i="93"/>
  <c r="BV778" i="93"/>
  <c r="JK783" i="93"/>
  <c r="HU783" i="93"/>
  <c r="HL783" i="93"/>
  <c r="HD783" i="93"/>
  <c r="GV783" i="93"/>
  <c r="GN783" i="93"/>
  <c r="GF783" i="93"/>
  <c r="FX783" i="93"/>
  <c r="FP783" i="93"/>
  <c r="FH783" i="93"/>
  <c r="EZ783" i="93"/>
  <c r="JJ783" i="93"/>
  <c r="HT783" i="93"/>
  <c r="HK783" i="93"/>
  <c r="HC783" i="93"/>
  <c r="GU783" i="93"/>
  <c r="GM783" i="93"/>
  <c r="GE783" i="93"/>
  <c r="FW783" i="93"/>
  <c r="FO783" i="93"/>
  <c r="FG783" i="93"/>
  <c r="EY783" i="93"/>
  <c r="JI783" i="93"/>
  <c r="IC783" i="93"/>
  <c r="HS783" i="93"/>
  <c r="HJ783" i="93"/>
  <c r="HB783" i="93"/>
  <c r="GT783" i="93"/>
  <c r="GL783" i="93"/>
  <c r="GD783" i="93"/>
  <c r="FV783" i="93"/>
  <c r="FN783" i="93"/>
  <c r="FF783" i="93"/>
  <c r="EX783" i="93"/>
  <c r="JH783" i="93"/>
  <c r="IB783" i="93"/>
  <c r="HQ783" i="93"/>
  <c r="HI783" i="93"/>
  <c r="HA783" i="93"/>
  <c r="GS783" i="93"/>
  <c r="GK783" i="93"/>
  <c r="GC783" i="93"/>
  <c r="FU783" i="93"/>
  <c r="FM783" i="93"/>
  <c r="FE783" i="93"/>
  <c r="EW783" i="93"/>
  <c r="JP783" i="93"/>
  <c r="JG783" i="93"/>
  <c r="IA783" i="93"/>
  <c r="HP783" i="93"/>
  <c r="HH783" i="93"/>
  <c r="GZ783" i="93"/>
  <c r="GR783" i="93"/>
  <c r="GJ783" i="93"/>
  <c r="GB783" i="93"/>
  <c r="FT783" i="93"/>
  <c r="FL783" i="93"/>
  <c r="FD783" i="93"/>
  <c r="JO783" i="93"/>
  <c r="JF783" i="93"/>
  <c r="HY783" i="93"/>
  <c r="HO783" i="93"/>
  <c r="HG783" i="93"/>
  <c r="GY783" i="93"/>
  <c r="GQ783" i="93"/>
  <c r="GI783" i="93"/>
  <c r="GI805" i="93" s="1"/>
  <c r="M854" i="93" s="1"/>
  <c r="GA783" i="93"/>
  <c r="FS783" i="93"/>
  <c r="FK783" i="93"/>
  <c r="FC783" i="93"/>
  <c r="JL783" i="93"/>
  <c r="JC783" i="93"/>
  <c r="HW783" i="93"/>
  <c r="HM783" i="93"/>
  <c r="HE783" i="93"/>
  <c r="GW783" i="93"/>
  <c r="GO783" i="93"/>
  <c r="GG783" i="93"/>
  <c r="FY783" i="93"/>
  <c r="FQ783" i="93"/>
  <c r="FI783" i="93"/>
  <c r="FA783" i="93"/>
  <c r="JJ791" i="93"/>
  <c r="GV791" i="93"/>
  <c r="FX791" i="93"/>
  <c r="FD791" i="93"/>
  <c r="JI791" i="93"/>
  <c r="IB791" i="93"/>
  <c r="GO791" i="93"/>
  <c r="FU791" i="93"/>
  <c r="FU805" i="93" s="1"/>
  <c r="N859" i="93" s="1"/>
  <c r="FA791" i="93"/>
  <c r="JH791" i="93"/>
  <c r="HY791" i="93"/>
  <c r="GN791" i="93"/>
  <c r="FT791" i="93"/>
  <c r="EZ791" i="93"/>
  <c r="JG791" i="93"/>
  <c r="HL791" i="93"/>
  <c r="GK791" i="93"/>
  <c r="FQ791" i="93"/>
  <c r="EW791" i="93"/>
  <c r="HI791" i="93"/>
  <c r="GJ791" i="93"/>
  <c r="FP791" i="93"/>
  <c r="HD791" i="93"/>
  <c r="GG791" i="93"/>
  <c r="FI791" i="93"/>
  <c r="JK791" i="93"/>
  <c r="GW791" i="93"/>
  <c r="FY791" i="93"/>
  <c r="FE791" i="93"/>
  <c r="HA799" i="93"/>
  <c r="FU799" i="93"/>
  <c r="FE799" i="93"/>
  <c r="FA799" i="93"/>
  <c r="GX799" i="93"/>
  <c r="JC781" i="93"/>
  <c r="IR781" i="93"/>
  <c r="EP781" i="93"/>
  <c r="EE781" i="93"/>
  <c r="DT781" i="93"/>
  <c r="DJ781" i="93"/>
  <c r="JB781" i="93"/>
  <c r="IQ781" i="93"/>
  <c r="EN781" i="93"/>
  <c r="EN805" i="93" s="1"/>
  <c r="K836" i="93" s="1"/>
  <c r="ED781" i="93"/>
  <c r="DS781" i="93"/>
  <c r="DH781" i="93"/>
  <c r="DH805" i="93" s="1"/>
  <c r="N829" i="93" s="1"/>
  <c r="IZ781" i="93"/>
  <c r="IP781" i="93"/>
  <c r="IP805" i="93" s="1"/>
  <c r="EM781" i="93"/>
  <c r="EB781" i="93"/>
  <c r="EB805" i="93" s="1"/>
  <c r="N833" i="93" s="1"/>
  <c r="DR781" i="93"/>
  <c r="DG781" i="93"/>
  <c r="IY781" i="93"/>
  <c r="IN781" i="93"/>
  <c r="EV781" i="93"/>
  <c r="EL781" i="93"/>
  <c r="EA781" i="93"/>
  <c r="DP781" i="93"/>
  <c r="DF781" i="93"/>
  <c r="IX781" i="93"/>
  <c r="EU781" i="93"/>
  <c r="EJ781" i="93"/>
  <c r="DZ781" i="93"/>
  <c r="DO781" i="93"/>
  <c r="DO805" i="93" s="1"/>
  <c r="DD781" i="93"/>
  <c r="IV781" i="93"/>
  <c r="ET781" i="93"/>
  <c r="EI781" i="93"/>
  <c r="DX781" i="93"/>
  <c r="DN781" i="93"/>
  <c r="JG781" i="93"/>
  <c r="IT781"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U789" i="93"/>
  <c r="EL789" i="93"/>
  <c r="DV789" i="93"/>
  <c r="DF789" i="93"/>
  <c r="DN797" i="93"/>
  <c r="EI797" i="93"/>
  <c r="JD779" i="93"/>
  <c r="HX779" i="93"/>
  <c r="HP779" i="93"/>
  <c r="HH779" i="93"/>
  <c r="GZ779" i="93"/>
  <c r="GR779" i="93"/>
  <c r="GJ779" i="93"/>
  <c r="GB779" i="93"/>
  <c r="FT779" i="93"/>
  <c r="FL779" i="93"/>
  <c r="FD779" i="93"/>
  <c r="JC779" i="93"/>
  <c r="HW779" i="93"/>
  <c r="HO779" i="93"/>
  <c r="HG779" i="93"/>
  <c r="GY779" i="93"/>
  <c r="GQ779" i="93"/>
  <c r="GI779" i="93"/>
  <c r="GA779" i="93"/>
  <c r="FS779" i="93"/>
  <c r="FK779" i="93"/>
  <c r="FC779" i="93"/>
  <c r="HV779" i="93"/>
  <c r="HN779" i="93"/>
  <c r="HF779" i="93"/>
  <c r="GX779" i="93"/>
  <c r="GP779" i="93"/>
  <c r="GH779" i="93"/>
  <c r="FZ779" i="93"/>
  <c r="FR779" i="93"/>
  <c r="FJ779" i="93"/>
  <c r="FB779" i="93"/>
  <c r="JQ779" i="93"/>
  <c r="IC779" i="93"/>
  <c r="HU779" i="93"/>
  <c r="HM779" i="93"/>
  <c r="HE779" i="93"/>
  <c r="GW779" i="93"/>
  <c r="GO779" i="93"/>
  <c r="GG779" i="93"/>
  <c r="FY779" i="93"/>
  <c r="FQ779" i="93"/>
  <c r="FI779" i="93"/>
  <c r="JP779" i="93"/>
  <c r="IB779" i="93"/>
  <c r="HT779" i="93"/>
  <c r="HL779" i="93"/>
  <c r="HD779" i="93"/>
  <c r="GV779" i="93"/>
  <c r="GN779" i="93"/>
  <c r="GF779" i="93"/>
  <c r="FX779" i="93"/>
  <c r="FP779" i="93"/>
  <c r="FH779" i="93"/>
  <c r="JO779" i="93"/>
  <c r="JG779" i="93"/>
  <c r="IA779" i="93"/>
  <c r="HS779" i="93"/>
  <c r="HK779" i="93"/>
  <c r="HC779" i="93"/>
  <c r="GU779" i="93"/>
  <c r="GM779" i="93"/>
  <c r="GE779" i="93"/>
  <c r="FW779" i="93"/>
  <c r="FO779" i="93"/>
  <c r="FG779" i="93"/>
  <c r="HO803" i="93"/>
  <c r="GI803" i="93"/>
  <c r="GA803" i="93"/>
  <c r="H14" i="86"/>
  <c r="IF795" i="93"/>
  <c r="IE795" i="93"/>
  <c r="IG787" i="93"/>
  <c r="A787" i="93"/>
  <c r="II779" i="93"/>
  <c r="ES779" i="93"/>
  <c r="DW779" i="93"/>
  <c r="CS779" i="93"/>
  <c r="W779" i="93"/>
  <c r="IH779" i="93"/>
  <c r="EQ779" i="93"/>
  <c r="DV779" i="93"/>
  <c r="CO779" i="93"/>
  <c r="AO779" i="93"/>
  <c r="AO805" i="93" s="1"/>
  <c r="M816" i="93" s="1"/>
  <c r="IY779" i="93"/>
  <c r="ID779" i="93"/>
  <c r="EM779" i="93"/>
  <c r="EM805" i="93" s="1"/>
  <c r="J836" i="93" s="1"/>
  <c r="DR779" i="93"/>
  <c r="CM779" i="93"/>
  <c r="AM779" i="93"/>
  <c r="IX779" i="93"/>
  <c r="IT779" i="93"/>
  <c r="EH779" i="93"/>
  <c r="DM779" i="93"/>
  <c r="IS779" i="93"/>
  <c r="EG779" i="93"/>
  <c r="DK779" i="93"/>
  <c r="CD779" i="93"/>
  <c r="AD779" i="93"/>
  <c r="CU777" i="93"/>
  <c r="JF777" i="93"/>
  <c r="IR777" i="93"/>
  <c r="II777" i="93"/>
  <c r="II805" i="93" s="1"/>
  <c r="IA777" i="93"/>
  <c r="HS777" i="93"/>
  <c r="HK777" i="93"/>
  <c r="HC777" i="93"/>
  <c r="JA777" i="93"/>
  <c r="JA805" i="93" s="1"/>
  <c r="IQ777" i="93"/>
  <c r="IH777" i="93"/>
  <c r="HZ777" i="93"/>
  <c r="HR777" i="93"/>
  <c r="HJ777" i="93"/>
  <c r="HB777" i="93"/>
  <c r="IV777" i="93"/>
  <c r="IL777" i="93"/>
  <c r="ID777" i="93"/>
  <c r="HV777" i="93"/>
  <c r="HN777" i="93"/>
  <c r="HF777" i="93"/>
  <c r="GX777" i="93"/>
  <c r="GP777" i="93"/>
  <c r="JJ787" i="93"/>
  <c r="IU787" i="93"/>
  <c r="HZ787" i="93"/>
  <c r="HJ787" i="93"/>
  <c r="GT787" i="93"/>
  <c r="GD787" i="93"/>
  <c r="FN787" i="93"/>
  <c r="EZ787" i="93"/>
  <c r="EK787" i="93"/>
  <c r="DO787" i="93"/>
  <c r="CZ787" i="93"/>
  <c r="CK787" i="93"/>
  <c r="BV787" i="93"/>
  <c r="AP787" i="93"/>
  <c r="JI787" i="93"/>
  <c r="IQ787" i="93"/>
  <c r="HY787" i="93"/>
  <c r="HI787" i="93"/>
  <c r="GS787" i="93"/>
  <c r="GC787" i="93"/>
  <c r="FM787" i="93"/>
  <c r="EY787" i="93"/>
  <c r="EI787" i="93"/>
  <c r="DN787" i="93"/>
  <c r="CY787" i="93"/>
  <c r="CG787" i="93"/>
  <c r="BU787" i="93"/>
  <c r="AL787" i="93"/>
  <c r="JH787" i="93"/>
  <c r="IP787" i="93"/>
  <c r="HV787" i="93"/>
  <c r="HF787" i="93"/>
  <c r="GP787" i="93"/>
  <c r="FZ787" i="93"/>
  <c r="FJ787" i="93"/>
  <c r="EX787" i="93"/>
  <c r="EE787" i="93"/>
  <c r="DJ787" i="93"/>
  <c r="CX787" i="93"/>
  <c r="CE787" i="93"/>
  <c r="BQ787" i="93"/>
  <c r="BQ805" i="93" s="1"/>
  <c r="K825" i="93" s="1"/>
  <c r="AK787" i="93"/>
  <c r="AK805" i="93" s="1"/>
  <c r="JQ787" i="93"/>
  <c r="JE787" i="93"/>
  <c r="IL787" i="93"/>
  <c r="HU787" i="93"/>
  <c r="HE787" i="93"/>
  <c r="GO787" i="93"/>
  <c r="FY787" i="93"/>
  <c r="FI787" i="93"/>
  <c r="EW787" i="93"/>
  <c r="ED787" i="93"/>
  <c r="DI787" i="93"/>
  <c r="DI805" i="93" s="1"/>
  <c r="J830" i="93" s="1"/>
  <c r="CU787" i="93"/>
  <c r="CA787" i="93"/>
  <c r="BM787" i="93"/>
  <c r="AG787" i="93"/>
  <c r="JP787" i="93"/>
  <c r="JD787" i="93"/>
  <c r="IK787" i="93"/>
  <c r="IK805" i="93" s="1"/>
  <c r="HR787" i="93"/>
  <c r="HB787" i="93"/>
  <c r="GL787" i="93"/>
  <c r="FV787" i="93"/>
  <c r="FF787" i="93"/>
  <c r="EU787" i="93"/>
  <c r="DZ787" i="93"/>
  <c r="DE787" i="93"/>
  <c r="CT787" i="93"/>
  <c r="BZ787" i="93"/>
  <c r="BF787" i="93"/>
  <c r="AE787" i="93"/>
  <c r="JM787" i="93"/>
  <c r="JB787" i="93"/>
  <c r="HQ787" i="93"/>
  <c r="HA787" i="93"/>
  <c r="GK787" i="93"/>
  <c r="FU787" i="93"/>
  <c r="FE787" i="93"/>
  <c r="ET787" i="93"/>
  <c r="DY787" i="93"/>
  <c r="DY805" i="93" s="1"/>
  <c r="K833" i="93" s="1"/>
  <c r="DC787" i="93"/>
  <c r="CQ787" i="93"/>
  <c r="BY787" i="93"/>
  <c r="BB787" i="93"/>
  <c r="AA787" i="93"/>
  <c r="JK787" i="93"/>
  <c r="IW787" i="93"/>
  <c r="IC787" i="93"/>
  <c r="HM787" i="93"/>
  <c r="GW787" i="93"/>
  <c r="GG787" i="93"/>
  <c r="FQ787" i="93"/>
  <c r="FA787" i="93"/>
  <c r="EO787" i="93"/>
  <c r="DS787" i="93"/>
  <c r="DA787" i="93"/>
  <c r="CL787" i="93"/>
  <c r="BW787" i="93"/>
  <c r="AQ787" i="93"/>
  <c r="JA795" i="93"/>
  <c r="GS795" i="93"/>
  <c r="EU795" i="93"/>
  <c r="CY795" i="93"/>
  <c r="AY795" i="93"/>
  <c r="IU795" i="93"/>
  <c r="GK795" i="93"/>
  <c r="EN795" i="93"/>
  <c r="CV795" i="93"/>
  <c r="AK795" i="93"/>
  <c r="IK795" i="93"/>
  <c r="FV795" i="93"/>
  <c r="DY795" i="93"/>
  <c r="CI795" i="93"/>
  <c r="W795" i="93"/>
  <c r="FU795" i="93"/>
  <c r="DX795" i="93"/>
  <c r="CC795" i="93"/>
  <c r="JO795" i="93"/>
  <c r="HY795" i="93"/>
  <c r="FM795" i="93"/>
  <c r="DP795" i="93"/>
  <c r="BY795" i="93"/>
  <c r="JK795" i="93"/>
  <c r="HQ795" i="93"/>
  <c r="FE795" i="93"/>
  <c r="DI795" i="93"/>
  <c r="BW795" i="93"/>
  <c r="JG795" i="93"/>
  <c r="HA795" i="93"/>
  <c r="EX795" i="93"/>
  <c r="DA795" i="93"/>
  <c r="BM795" i="93"/>
  <c r="JK784" i="93"/>
  <c r="JC784" i="93"/>
  <c r="JJ784" i="93"/>
  <c r="JQ784" i="93"/>
  <c r="JI784" i="93"/>
  <c r="JP784" i="93"/>
  <c r="JH784" i="93"/>
  <c r="JO784" i="93"/>
  <c r="JG784" i="93"/>
  <c r="JN784" i="93"/>
  <c r="JF784" i="93"/>
  <c r="JL784" i="93"/>
  <c r="JD784" i="93"/>
  <c r="JJ792" i="93"/>
  <c r="JI792" i="93"/>
  <c r="JH792" i="93"/>
  <c r="JG792" i="93"/>
  <c r="JQ792" i="93"/>
  <c r="JE792" i="93"/>
  <c r="JP792" i="93"/>
  <c r="JM792" i="93"/>
  <c r="JM800" i="93"/>
  <c r="JK800" i="93"/>
  <c r="JQ800" i="93"/>
  <c r="DG805" i="93"/>
  <c r="M829" i="93" s="1"/>
  <c r="BC805" i="93"/>
  <c r="L821" i="93" s="1"/>
  <c r="D52" i="86"/>
  <c r="K28" i="75"/>
  <c r="L28" i="75" s="1"/>
  <c r="C20" i="74"/>
  <c r="A47" i="84"/>
  <c r="C28" i="90"/>
  <c r="G5" i="92" s="1"/>
  <c r="U498" i="93"/>
  <c r="A540" i="93"/>
  <c r="P582" i="93"/>
  <c r="P586" i="93" s="1"/>
  <c r="JC776" i="93"/>
  <c r="JK776" i="93"/>
  <c r="X777" i="93"/>
  <c r="AF777" i="93"/>
  <c r="AN777" i="93"/>
  <c r="AN805" i="93" s="1"/>
  <c r="L816" i="93" s="1"/>
  <c r="BL777" i="93"/>
  <c r="BZ777" i="93"/>
  <c r="CH777" i="93"/>
  <c r="CP777" i="93"/>
  <c r="DB777" i="93"/>
  <c r="DK777" i="93"/>
  <c r="DU777" i="93"/>
  <c r="DU805" i="93" s="1"/>
  <c r="L832" i="93" s="1"/>
  <c r="EF777" i="93"/>
  <c r="EQ777" i="93"/>
  <c r="EQ805" i="93" s="1"/>
  <c r="N836" i="93" s="1"/>
  <c r="EZ777" i="93"/>
  <c r="FH777" i="93"/>
  <c r="FP777" i="93"/>
  <c r="FP805" i="93" s="1"/>
  <c r="N858" i="93" s="1"/>
  <c r="FX777" i="93"/>
  <c r="GF777" i="93"/>
  <c r="GN777" i="93"/>
  <c r="GW777" i="93"/>
  <c r="HI777" i="93"/>
  <c r="HW777" i="93"/>
  <c r="IJ777" i="93"/>
  <c r="IY777" i="93"/>
  <c r="AC779" i="93"/>
  <c r="EA779" i="93"/>
  <c r="DB787" i="93"/>
  <c r="IE787" i="93"/>
  <c r="IE805" i="93" s="1"/>
  <c r="JH795" i="93"/>
  <c r="HV799" i="93"/>
  <c r="A1097" i="93"/>
  <c r="H1097" i="93" s="1"/>
  <c r="FQ48" i="75"/>
  <c r="J102" i="75" s="1"/>
  <c r="J105" i="75" s="1"/>
  <c r="GO48" i="75"/>
  <c r="N98" i="75" s="1"/>
  <c r="HU48" i="75"/>
  <c r="K93" i="75" s="1"/>
  <c r="K110" i="75" s="1"/>
  <c r="J513" i="93"/>
  <c r="M566" i="93"/>
  <c r="DU787" i="93"/>
  <c r="JA787" i="93"/>
  <c r="C1015" i="93"/>
  <c r="F32" i="86"/>
  <c r="K32" i="75"/>
  <c r="L32" i="75" s="1"/>
  <c r="P474" i="93"/>
  <c r="S547" i="93"/>
  <c r="JE776" i="93"/>
  <c r="JM776" i="93"/>
  <c r="Z777" i="93"/>
  <c r="AH777" i="93"/>
  <c r="AP777" i="93"/>
  <c r="BT777" i="93"/>
  <c r="CB777" i="93"/>
  <c r="CJ777" i="93"/>
  <c r="CJ805" i="93" s="1"/>
  <c r="CR777" i="93"/>
  <c r="DD777" i="93"/>
  <c r="DM777" i="93"/>
  <c r="DM805" i="93" s="1"/>
  <c r="N830" i="93" s="1"/>
  <c r="DX777" i="93"/>
  <c r="EI777" i="93"/>
  <c r="ES777" i="93"/>
  <c r="FB777" i="93"/>
  <c r="FJ777" i="93"/>
  <c r="FR777" i="93"/>
  <c r="FZ777" i="93"/>
  <c r="GH777" i="93"/>
  <c r="GQ777" i="93"/>
  <c r="GZ777" i="93"/>
  <c r="HM777" i="93"/>
  <c r="HY777" i="93"/>
  <c r="IM777" i="93"/>
  <c r="JJ777" i="93"/>
  <c r="AI779" i="93"/>
  <c r="EL779" i="93"/>
  <c r="EL805" i="93" s="1"/>
  <c r="N835" i="93" s="1"/>
  <c r="EH781" i="93"/>
  <c r="FR783" i="93"/>
  <c r="FR805" i="93" s="1"/>
  <c r="K859" i="93" s="1"/>
  <c r="JM784" i="93"/>
  <c r="EP787" i="93"/>
  <c r="EP805" i="93" s="1"/>
  <c r="M836" i="93" s="1"/>
  <c r="JL787" i="93"/>
  <c r="HA791" i="93"/>
  <c r="JO792" i="93"/>
  <c r="CF805" i="93"/>
  <c r="K871" i="93" s="1"/>
  <c r="J554" i="93"/>
  <c r="X48" i="75"/>
  <c r="K56" i="75" s="1"/>
  <c r="AF48" i="75"/>
  <c r="N57" i="75" s="1"/>
  <c r="AN48" i="75"/>
  <c r="L59" i="75" s="1"/>
  <c r="BD48" i="75"/>
  <c r="M64" i="75" s="1"/>
  <c r="BL48" i="75"/>
  <c r="K69" i="75" s="1"/>
  <c r="K70" i="75" s="1"/>
  <c r="BT48" i="75"/>
  <c r="N68" i="75" s="1"/>
  <c r="CB48" i="75"/>
  <c r="L113" i="75" s="1"/>
  <c r="O113" i="75" s="1"/>
  <c r="CJ48" i="75"/>
  <c r="CR48" i="75"/>
  <c r="M116" i="75" s="1"/>
  <c r="M117" i="75" s="1"/>
  <c r="M119" i="75" s="1"/>
  <c r="CZ48" i="75"/>
  <c r="K118" i="75" s="1"/>
  <c r="O118" i="75" s="1"/>
  <c r="DH48" i="75"/>
  <c r="N72" i="75" s="1"/>
  <c r="DX48" i="75"/>
  <c r="J76" i="75" s="1"/>
  <c r="EV48" i="75"/>
  <c r="FD48" i="75"/>
  <c r="L95" i="75" s="1"/>
  <c r="FT48" i="75"/>
  <c r="M102" i="75" s="1"/>
  <c r="GB48" i="75"/>
  <c r="K100" i="75" s="1"/>
  <c r="K105" i="75" s="1"/>
  <c r="K42" i="73" s="1"/>
  <c r="GJ48" i="75"/>
  <c r="N97" i="75" s="1"/>
  <c r="GR48" i="75"/>
  <c r="L87" i="75" s="1"/>
  <c r="GZ48" i="75"/>
  <c r="J89" i="75" s="1"/>
  <c r="HX48" i="75"/>
  <c r="N93" i="75" s="1"/>
  <c r="JD48" i="75"/>
  <c r="JL48" i="75"/>
  <c r="AE48" i="75"/>
  <c r="M57" i="75" s="1"/>
  <c r="M58" i="75" s="1"/>
  <c r="AM48" i="75"/>
  <c r="K59" i="75" s="1"/>
  <c r="AU48" i="75"/>
  <c r="BC48" i="75"/>
  <c r="L64" i="75" s="1"/>
  <c r="BK48" i="75"/>
  <c r="J69" i="75" s="1"/>
  <c r="BS48" i="75"/>
  <c r="M68" i="75" s="1"/>
  <c r="CA48" i="75"/>
  <c r="K113" i="75" s="1"/>
  <c r="CI48" i="75"/>
  <c r="N114" i="75" s="1"/>
  <c r="N115" i="75" s="1"/>
  <c r="N117" i="75" s="1"/>
  <c r="N119" i="75" s="1"/>
  <c r="CQ48" i="75"/>
  <c r="L116" i="75" s="1"/>
  <c r="EE48" i="75"/>
  <c r="L77" i="75" s="1"/>
  <c r="EU48" i="75"/>
  <c r="M80" i="75" s="1"/>
  <c r="FC48" i="75"/>
  <c r="K95" i="75" s="1"/>
  <c r="FK48" i="75"/>
  <c r="N96" i="75" s="1"/>
  <c r="FS48" i="75"/>
  <c r="L102" i="75" s="1"/>
  <c r="GI48" i="75"/>
  <c r="M97" i="75" s="1"/>
  <c r="GQ48" i="75"/>
  <c r="K87" i="75" s="1"/>
  <c r="K106" i="75" s="1"/>
  <c r="F1143" i="93" s="1"/>
  <c r="H1143" i="93" s="1"/>
  <c r="GY48" i="75"/>
  <c r="N88" i="75" s="1"/>
  <c r="N107" i="75" s="1"/>
  <c r="HO48" i="75"/>
  <c r="J92" i="75" s="1"/>
  <c r="O92" i="75" s="1"/>
  <c r="HW48" i="75"/>
  <c r="M93" i="75" s="1"/>
  <c r="M110" i="75" s="1"/>
  <c r="IE48" i="75"/>
  <c r="IM48" i="75"/>
  <c r="IU48" i="75"/>
  <c r="JC48" i="75"/>
  <c r="JK48" i="75"/>
  <c r="AL48" i="75"/>
  <c r="J59" i="75" s="1"/>
  <c r="AT48" i="75"/>
  <c r="BB48" i="75"/>
  <c r="K64" i="75" s="1"/>
  <c r="BJ48" i="75"/>
  <c r="BZ48" i="75"/>
  <c r="J113" i="75" s="1"/>
  <c r="CP48" i="75"/>
  <c r="K116" i="75" s="1"/>
  <c r="CX48" i="75"/>
  <c r="DN48" i="75"/>
  <c r="J74" i="75" s="1"/>
  <c r="EL48" i="75"/>
  <c r="N78" i="75" s="1"/>
  <c r="N80" i="75" s="1"/>
  <c r="ET48" i="75"/>
  <c r="L80" i="75" s="1"/>
  <c r="FB48" i="75"/>
  <c r="J95" i="75" s="1"/>
  <c r="FR48" i="75"/>
  <c r="K102" i="75" s="1"/>
  <c r="GH48" i="75"/>
  <c r="L97" i="75" s="1"/>
  <c r="GX48" i="75"/>
  <c r="M88" i="75" s="1"/>
  <c r="M107" i="75" s="1"/>
  <c r="HN48" i="75"/>
  <c r="N91" i="75" s="1"/>
  <c r="N108" i="75" s="1"/>
  <c r="HV48" i="75"/>
  <c r="L93" i="75" s="1"/>
  <c r="L110" i="75" s="1"/>
  <c r="ID48" i="75"/>
  <c r="IL48" i="75"/>
  <c r="JB48" i="75"/>
  <c r="JJ48" i="75"/>
  <c r="A48" i="75"/>
  <c r="A5" i="75" s="1"/>
  <c r="AA48" i="75"/>
  <c r="N56" i="75" s="1"/>
  <c r="N58" i="75" s="1"/>
  <c r="AY48" i="75"/>
  <c r="M65" i="75" s="1"/>
  <c r="BW48" i="75"/>
  <c r="L61" i="75" s="1"/>
  <c r="CM48" i="75"/>
  <c r="DS48" i="75"/>
  <c r="J75" i="75" s="1"/>
  <c r="O75" i="75" s="1"/>
  <c r="EY48" i="75"/>
  <c r="FG48" i="75"/>
  <c r="J96" i="75" s="1"/>
  <c r="FO48" i="75"/>
  <c r="M101" i="75" s="1"/>
  <c r="GE48" i="75"/>
  <c r="N100" i="75" s="1"/>
  <c r="GU48" i="75"/>
  <c r="J88" i="75" s="1"/>
  <c r="J107" i="75" s="1"/>
  <c r="K1142" i="93" s="1"/>
  <c r="M1142" i="93" s="1"/>
  <c r="IQ48" i="75"/>
  <c r="AP48" i="75"/>
  <c r="N59" i="75" s="1"/>
  <c r="BN48" i="75"/>
  <c r="M69" i="75" s="1"/>
  <c r="M70" i="75" s="1"/>
  <c r="BV48" i="75"/>
  <c r="K61" i="75" s="1"/>
  <c r="CT48" i="75"/>
  <c r="DJ48" i="75"/>
  <c r="K73" i="75" s="1"/>
  <c r="O73" i="75" s="1"/>
  <c r="DR48" i="75"/>
  <c r="FN48" i="75"/>
  <c r="L101" i="75" s="1"/>
  <c r="FV48" i="75"/>
  <c r="J99" i="75" s="1"/>
  <c r="GL48" i="75"/>
  <c r="K98" i="75" s="1"/>
  <c r="K107" i="75" s="1"/>
  <c r="GT48" i="75"/>
  <c r="N87" i="75" s="1"/>
  <c r="N86" i="75" s="1"/>
  <c r="IH48" i="75"/>
  <c r="IX48" i="75"/>
  <c r="AW48" i="75"/>
  <c r="K65" i="75" s="1"/>
  <c r="BE48" i="75"/>
  <c r="N64" i="75" s="1"/>
  <c r="DA48" i="75"/>
  <c r="L118" i="75" s="1"/>
  <c r="FE48" i="75"/>
  <c r="M95" i="75" s="1"/>
  <c r="M104" i="75" s="1"/>
  <c r="K36" i="75"/>
  <c r="L36" i="75" s="1"/>
  <c r="S527" i="93"/>
  <c r="JF776" i="93"/>
  <c r="AA777" i="93"/>
  <c r="AI777" i="93"/>
  <c r="AR777" i="93"/>
  <c r="BU777" i="93"/>
  <c r="CC777" i="93"/>
  <c r="CC805" i="93" s="1"/>
  <c r="M870" i="93" s="1"/>
  <c r="CK777" i="93"/>
  <c r="CS777" i="93"/>
  <c r="DE777" i="93"/>
  <c r="DO777" i="93"/>
  <c r="DY777" i="93"/>
  <c r="EJ777" i="93"/>
  <c r="EU777" i="93"/>
  <c r="FC777" i="93"/>
  <c r="FK777" i="93"/>
  <c r="FS777" i="93"/>
  <c r="GA777" i="93"/>
  <c r="GA805" i="93" s="1"/>
  <c r="J857" i="93" s="1"/>
  <c r="GI777" i="93"/>
  <c r="GR777" i="93"/>
  <c r="HA777" i="93"/>
  <c r="HO777" i="93"/>
  <c r="HO805" i="93" s="1"/>
  <c r="J849" i="93" s="1"/>
  <c r="J866" i="93" s="1"/>
  <c r="IB777" i="93"/>
  <c r="IN777" i="93"/>
  <c r="JN777" i="93"/>
  <c r="AY779" i="93"/>
  <c r="AY805" i="93" s="1"/>
  <c r="M822" i="93" s="1"/>
  <c r="CC779" i="93"/>
  <c r="FZ783" i="93"/>
  <c r="FB787" i="93"/>
  <c r="BF801" i="93"/>
  <c r="P889" i="93"/>
  <c r="JH799" i="93"/>
  <c r="CX788" i="93"/>
  <c r="CV796" i="93"/>
  <c r="CU804" i="93"/>
  <c r="CY788" i="93"/>
  <c r="BY796" i="93"/>
  <c r="I889" i="93"/>
  <c r="R1918" i="93"/>
  <c r="CY801" i="93"/>
  <c r="H885" i="93"/>
  <c r="IA770" i="93"/>
  <c r="CW783" i="93"/>
  <c r="I885" i="93"/>
  <c r="M889" i="93"/>
  <c r="P903" i="93"/>
  <c r="N885" i="93"/>
  <c r="J894" i="93"/>
  <c r="I903" i="93"/>
  <c r="CM774" i="93"/>
  <c r="CM805" i="93" s="1"/>
  <c r="CZ800" i="93"/>
  <c r="O885" i="93"/>
  <c r="J916" i="93"/>
  <c r="M1718" i="93"/>
  <c r="O1718" i="93" s="1"/>
  <c r="M1829" i="93"/>
  <c r="N70" i="75"/>
  <c r="O68" i="75"/>
  <c r="O56" i="75"/>
  <c r="N1142" i="93"/>
  <c r="N1147" i="93" s="1"/>
  <c r="F49" i="73"/>
  <c r="F121" i="74"/>
  <c r="K93" i="74"/>
  <c r="K1042" i="93"/>
  <c r="K1049" i="93" s="1"/>
  <c r="K34" i="74"/>
  <c r="K59" i="73"/>
  <c r="M59" i="73" s="1"/>
  <c r="K1153" i="93"/>
  <c r="F84" i="92"/>
  <c r="G93" i="74"/>
  <c r="D119" i="74"/>
  <c r="K62" i="74"/>
  <c r="K1010" i="93"/>
  <c r="K1018" i="93" s="1"/>
  <c r="J1010" i="93"/>
  <c r="J1018" i="93" s="1"/>
  <c r="F32" i="74"/>
  <c r="H1010" i="93"/>
  <c r="H1018" i="93" s="1"/>
  <c r="M74" i="75"/>
  <c r="M105" i="75"/>
  <c r="O97" i="75"/>
  <c r="J115" i="75"/>
  <c r="J117" i="75" s="1"/>
  <c r="O116" i="75"/>
  <c r="O95" i="75"/>
  <c r="M66" i="75"/>
  <c r="O96" i="75"/>
  <c r="D91" i="74"/>
  <c r="D1040" i="93"/>
  <c r="D1047" i="93" s="1"/>
  <c r="B44" i="78"/>
  <c r="H18" i="84" s="1"/>
  <c r="G47" i="78"/>
  <c r="E38" i="78"/>
  <c r="G34" i="78"/>
  <c r="G1010" i="93"/>
  <c r="G1018" i="93" s="1"/>
  <c r="G62" i="74"/>
  <c r="G73" i="82"/>
  <c r="H58" i="74"/>
  <c r="H1014" i="93" s="1"/>
  <c r="L70" i="75"/>
  <c r="K1039" i="93"/>
  <c r="K1046" i="93" s="1"/>
  <c r="K90" i="74"/>
  <c r="G45" i="82"/>
  <c r="G31" i="74"/>
  <c r="G979" i="93"/>
  <c r="G987" i="93" s="1"/>
  <c r="L823" i="93"/>
  <c r="O88" i="75"/>
  <c r="L111" i="75"/>
  <c r="K66" i="75"/>
  <c r="O64" i="75"/>
  <c r="D11" i="88"/>
  <c r="E11" i="88" s="1"/>
  <c r="P1665" i="93"/>
  <c r="K66" i="73"/>
  <c r="K1160" i="93"/>
  <c r="I34" i="74"/>
  <c r="I982" i="93"/>
  <c r="I990" i="93" s="1"/>
  <c r="J106" i="75"/>
  <c r="IO805" i="93"/>
  <c r="L66" i="75"/>
  <c r="G11" i="86"/>
  <c r="F11" i="86"/>
  <c r="E994" i="93"/>
  <c r="C995" i="93"/>
  <c r="D12" i="86"/>
  <c r="E12" i="87"/>
  <c r="C979" i="93"/>
  <c r="C987" i="93" s="1"/>
  <c r="J70" i="75"/>
  <c r="A1" i="77"/>
  <c r="F54" i="74"/>
  <c r="F112" i="74"/>
  <c r="E84" i="74"/>
  <c r="C112" i="74"/>
  <c r="K24" i="74"/>
  <c r="D24" i="74"/>
  <c r="K60" i="84"/>
  <c r="E60" i="84"/>
  <c r="I59" i="84"/>
  <c r="G59" i="84"/>
  <c r="G62" i="84" s="1"/>
  <c r="E59" i="84"/>
  <c r="A364" i="93"/>
  <c r="A1" i="66"/>
  <c r="A1" i="74"/>
  <c r="N1" i="74" s="1"/>
  <c r="T175" i="72"/>
  <c r="N40" i="66"/>
  <c r="N51" i="93" s="1"/>
  <c r="A3" i="79"/>
  <c r="I3" i="76"/>
  <c r="T1729" i="93"/>
  <c r="F356" i="72"/>
  <c r="A1" i="73"/>
  <c r="I40" i="66"/>
  <c r="T1727" i="93"/>
  <c r="J50" i="93"/>
  <c r="P42" i="73"/>
  <c r="A1" i="78"/>
  <c r="W1" i="78" s="1"/>
  <c r="A1" i="76"/>
  <c r="O40" i="66"/>
  <c r="I712" i="93"/>
  <c r="A1" i="72"/>
  <c r="A1" i="67"/>
  <c r="A2011" i="93"/>
  <c r="BI805" i="93"/>
  <c r="I62" i="84"/>
  <c r="K77" i="75"/>
  <c r="A3" i="71"/>
  <c r="AO48" i="75"/>
  <c r="M59" i="75" s="1"/>
  <c r="BU48" i="75"/>
  <c r="J61" i="75" s="1"/>
  <c r="O61" i="75" s="1"/>
  <c r="FM48" i="75"/>
  <c r="K101" i="75" s="1"/>
  <c r="K104" i="75" s="1"/>
  <c r="FU48" i="75"/>
  <c r="N102" i="75" s="1"/>
  <c r="N105" i="75" s="1"/>
  <c r="GS48" i="75"/>
  <c r="M87" i="75" s="1"/>
  <c r="M106" i="75" s="1"/>
  <c r="HQ48" i="75"/>
  <c r="L92" i="75" s="1"/>
  <c r="L109" i="75" s="1"/>
  <c r="HY48" i="75"/>
  <c r="J94" i="75" s="1"/>
  <c r="J111" i="75" s="1"/>
  <c r="JE48" i="75"/>
  <c r="AV48" i="75"/>
  <c r="J65" i="75" s="1"/>
  <c r="J66" i="75" s="1"/>
  <c r="DP48" i="75"/>
  <c r="L74" i="75" s="1"/>
  <c r="EN48" i="75"/>
  <c r="K79" i="75" s="1"/>
  <c r="O79" i="75" s="1"/>
  <c r="FL48" i="75"/>
  <c r="J101" i="75" s="1"/>
  <c r="J104" i="75" s="1"/>
  <c r="HH48" i="75"/>
  <c r="M90" i="75" s="1"/>
  <c r="HP48" i="75"/>
  <c r="K92" i="75" s="1"/>
  <c r="K86" i="75" s="1"/>
  <c r="IN48" i="75"/>
  <c r="IV48" i="75"/>
  <c r="DW48" i="75"/>
  <c r="N75" i="75" s="1"/>
  <c r="T173" i="72"/>
  <c r="G55" i="84"/>
  <c r="K55" i="84"/>
  <c r="A1" i="68"/>
  <c r="S1" i="68" s="1"/>
  <c r="K84" i="74"/>
  <c r="E32" i="86"/>
  <c r="I767" i="93"/>
  <c r="K767" i="93" s="1"/>
  <c r="L767" i="93" s="1"/>
  <c r="O1974" i="93"/>
  <c r="A82" i="75"/>
  <c r="H1023" i="93"/>
  <c r="F50" i="86"/>
  <c r="D51" i="86"/>
  <c r="C51" i="86"/>
  <c r="I14" i="75"/>
  <c r="I19" i="75"/>
  <c r="A1" i="75"/>
  <c r="U1" i="75" s="1"/>
  <c r="H8" i="84"/>
  <c r="F14" i="85" s="1"/>
  <c r="A3" i="83" s="1"/>
  <c r="K995" i="93"/>
  <c r="AZ48" i="75"/>
  <c r="N65" i="75" s="1"/>
  <c r="N66" i="75" s="1"/>
  <c r="CF48" i="75"/>
  <c r="K114" i="75" s="1"/>
  <c r="K115" i="75" s="1"/>
  <c r="K117" i="75" s="1"/>
  <c r="K119" i="75" s="1"/>
  <c r="CV48" i="75"/>
  <c r="EB48" i="75"/>
  <c r="N76" i="75" s="1"/>
  <c r="ER48" i="75"/>
  <c r="J80" i="75" s="1"/>
  <c r="FP48" i="75"/>
  <c r="N101" i="75" s="1"/>
  <c r="N104" i="75" s="1"/>
  <c r="FX48" i="75"/>
  <c r="L99" i="75" s="1"/>
  <c r="L104" i="75" s="1"/>
  <c r="HT48" i="75"/>
  <c r="J93" i="75" s="1"/>
  <c r="O93" i="75" s="1"/>
  <c r="JH48" i="75"/>
  <c r="K24" i="75"/>
  <c r="L24" i="75" s="1"/>
  <c r="K34" i="75"/>
  <c r="L34" i="75" s="1"/>
  <c r="K44" i="75"/>
  <c r="L44" i="75" s="1"/>
  <c r="L115" i="72"/>
  <c r="F471" i="93"/>
  <c r="F470" i="93" s="1"/>
  <c r="U499" i="93"/>
  <c r="S459" i="93"/>
  <c r="G469" i="93"/>
  <c r="M474" i="93"/>
  <c r="P566" i="93"/>
  <c r="BX788" i="93"/>
  <c r="CZ788" i="93"/>
  <c r="CX796" i="93"/>
  <c r="JF800" i="93"/>
  <c r="DT803" i="93"/>
  <c r="BD803" i="93"/>
  <c r="IS803" i="93"/>
  <c r="CH803" i="93"/>
  <c r="EF803" i="93"/>
  <c r="GZ778" i="93"/>
  <c r="JO796" i="93"/>
  <c r="JO805" i="93" s="1"/>
  <c r="JG796" i="93"/>
  <c r="IA796" i="93"/>
  <c r="HS796" i="93"/>
  <c r="HK796" i="93"/>
  <c r="HC796" i="93"/>
  <c r="GU796" i="93"/>
  <c r="GM796" i="93"/>
  <c r="GE796" i="93"/>
  <c r="FW796" i="93"/>
  <c r="FW805" i="93" s="1"/>
  <c r="K856" i="93" s="1"/>
  <c r="FO796" i="93"/>
  <c r="FG796" i="93"/>
  <c r="FG805" i="93" s="1"/>
  <c r="J853" i="93" s="1"/>
  <c r="EY796" i="93"/>
  <c r="CZ796" i="93"/>
  <c r="BW796" i="93"/>
  <c r="JL796" i="93"/>
  <c r="JD796" i="93"/>
  <c r="HX796" i="93"/>
  <c r="HP796" i="93"/>
  <c r="HH796" i="93"/>
  <c r="GZ796" i="93"/>
  <c r="GR796" i="93"/>
  <c r="GJ796" i="93"/>
  <c r="GB796" i="93"/>
  <c r="FT796" i="93"/>
  <c r="FL796" i="93"/>
  <c r="FD796" i="93"/>
  <c r="EU796" i="93"/>
  <c r="CW796" i="93"/>
  <c r="AV796" i="93"/>
  <c r="AV805" i="93" s="1"/>
  <c r="J822" i="93" s="1"/>
  <c r="JJ796" i="93"/>
  <c r="IU796" i="93"/>
  <c r="HV796" i="93"/>
  <c r="HV805" i="93" s="1"/>
  <c r="L850" i="93" s="1"/>
  <c r="HN796" i="93"/>
  <c r="HF796" i="93"/>
  <c r="GX796" i="93"/>
  <c r="GX805" i="93" s="1"/>
  <c r="M845" i="93" s="1"/>
  <c r="GP796" i="93"/>
  <c r="GH796" i="93"/>
  <c r="FZ796" i="93"/>
  <c r="FR796" i="93"/>
  <c r="FJ796" i="93"/>
  <c r="FJ805" i="93" s="1"/>
  <c r="M853" i="93" s="1"/>
  <c r="FB796" i="93"/>
  <c r="DC796" i="93"/>
  <c r="CT796" i="93"/>
  <c r="JP796" i="93"/>
  <c r="JH796" i="93"/>
  <c r="IB796" i="93"/>
  <c r="HT796" i="93"/>
  <c r="HL796" i="93"/>
  <c r="HD796" i="93"/>
  <c r="GV796" i="93"/>
  <c r="GN796" i="93"/>
  <c r="GF796" i="93"/>
  <c r="FX796" i="93"/>
  <c r="FP796" i="93"/>
  <c r="FH796" i="93"/>
  <c r="EZ796" i="93"/>
  <c r="DA796" i="93"/>
  <c r="BX796" i="93"/>
  <c r="CU775" i="93"/>
  <c r="H907" i="93"/>
  <c r="F473" i="93"/>
  <c r="U546" i="93"/>
  <c r="P500" i="93"/>
  <c r="S519" i="93"/>
  <c r="G527" i="93"/>
  <c r="P554" i="93"/>
  <c r="DA804" i="93"/>
  <c r="DB804" i="93"/>
  <c r="CY804" i="93"/>
  <c r="BV804" i="93"/>
  <c r="P171" i="72"/>
  <c r="P1725" i="93" s="1"/>
  <c r="D15" i="83"/>
  <c r="F12" i="85"/>
  <c r="P453" i="93"/>
  <c r="Y788" i="93"/>
  <c r="CO788" i="93"/>
  <c r="DB788" i="93"/>
  <c r="DB796" i="93"/>
  <c r="JQ803" i="93"/>
  <c r="JD803" i="93"/>
  <c r="P67" i="72"/>
  <c r="P1621" i="93" s="1"/>
  <c r="K36" i="88"/>
  <c r="D39" i="88" s="1"/>
  <c r="M453" i="93"/>
  <c r="M519" i="93"/>
  <c r="M562" i="93"/>
  <c r="G566" i="93"/>
  <c r="J582" i="93"/>
  <c r="J586" i="93" s="1"/>
  <c r="K730" i="93"/>
  <c r="AT788" i="93"/>
  <c r="AT805" i="93" s="1"/>
  <c r="CT788" i="93"/>
  <c r="DC788" i="93"/>
  <c r="IH788" i="93"/>
  <c r="DS796" i="93"/>
  <c r="IH799" i="93"/>
  <c r="ID799" i="93"/>
  <c r="ID805" i="93" s="1"/>
  <c r="JL791" i="93"/>
  <c r="IT791" i="93"/>
  <c r="IT805" i="93" s="1"/>
  <c r="HQ791" i="93"/>
  <c r="GR791" i="93"/>
  <c r="GB791" i="93"/>
  <c r="FL791" i="93"/>
  <c r="EX791" i="93"/>
  <c r="EA791" i="93"/>
  <c r="DB791" i="93"/>
  <c r="CI791" i="93"/>
  <c r="IV791" i="93"/>
  <c r="HT791" i="93"/>
  <c r="GS791" i="93"/>
  <c r="GC791" i="93"/>
  <c r="FM791" i="93"/>
  <c r="EY791" i="93"/>
  <c r="EF791" i="93"/>
  <c r="DC791" i="93"/>
  <c r="CN791" i="93"/>
  <c r="CN805" i="93" s="1"/>
  <c r="BV791" i="93"/>
  <c r="JI799" i="93"/>
  <c r="JJ799" i="93"/>
  <c r="HI799" i="93"/>
  <c r="FJ799" i="93"/>
  <c r="DW799" i="93"/>
  <c r="DW805" i="93" s="1"/>
  <c r="N832" i="93" s="1"/>
  <c r="CR799" i="93"/>
  <c r="AI799" i="93"/>
  <c r="IQ799" i="93"/>
  <c r="IQ805" i="93" s="1"/>
  <c r="GP799" i="93"/>
  <c r="EY799" i="93"/>
  <c r="DF799" i="93"/>
  <c r="DF805" i="93" s="1"/>
  <c r="L829" i="93" s="1"/>
  <c r="BX799" i="93"/>
  <c r="GK799" i="93"/>
  <c r="EX799" i="93"/>
  <c r="DB799" i="93"/>
  <c r="BV799" i="93"/>
  <c r="GC799" i="93"/>
  <c r="ER799" i="93"/>
  <c r="CZ799" i="93"/>
  <c r="BU799" i="93"/>
  <c r="JK799" i="93"/>
  <c r="HQ799" i="93"/>
  <c r="FR799" i="93"/>
  <c r="EH799" i="93"/>
  <c r="CV799" i="93"/>
  <c r="AJ799" i="93"/>
  <c r="GR803" i="93"/>
  <c r="FL803" i="93"/>
  <c r="FC803" i="93"/>
  <c r="FC805" i="93" s="1"/>
  <c r="K852" i="93" s="1"/>
  <c r="HX803" i="93"/>
  <c r="EZ803" i="93"/>
  <c r="HG803" i="93"/>
  <c r="HG805" i="93" s="1"/>
  <c r="L847" i="93" s="1"/>
  <c r="IS793" i="93"/>
  <c r="IS805" i="93" s="1"/>
  <c r="ER793" i="93"/>
  <c r="DV793" i="93"/>
  <c r="DV805" i="93" s="1"/>
  <c r="M832" i="93" s="1"/>
  <c r="JB793" i="93"/>
  <c r="EF793" i="93"/>
  <c r="DJ793" i="93"/>
  <c r="IW793" i="93"/>
  <c r="IW805" i="93" s="1"/>
  <c r="EV793" i="93"/>
  <c r="DZ793" i="93"/>
  <c r="DE793" i="93"/>
  <c r="K932" i="93"/>
  <c r="P932" i="93" s="1"/>
  <c r="BP788" i="93"/>
  <c r="CU788" i="93"/>
  <c r="DL788" i="93"/>
  <c r="DL805" i="93" s="1"/>
  <c r="M830" i="93" s="1"/>
  <c r="M831" i="93" s="1"/>
  <c r="BU796" i="93"/>
  <c r="JQ804" i="93"/>
  <c r="IB804" i="93"/>
  <c r="HL804" i="93"/>
  <c r="GV804" i="93"/>
  <c r="GF804" i="93"/>
  <c r="FP804" i="93"/>
  <c r="EZ804" i="93"/>
  <c r="JJ804" i="93"/>
  <c r="HU804" i="93"/>
  <c r="HE804" i="93"/>
  <c r="HE805" i="93" s="1"/>
  <c r="J847" i="93" s="1"/>
  <c r="GO804" i="93"/>
  <c r="FY804" i="93"/>
  <c r="FI804" i="93"/>
  <c r="JI804" i="93"/>
  <c r="HT804" i="93"/>
  <c r="HT805" i="93" s="1"/>
  <c r="J850" i="93" s="1"/>
  <c r="HD804" i="93"/>
  <c r="GN804" i="93"/>
  <c r="FX804" i="93"/>
  <c r="FH804" i="93"/>
  <c r="JF804" i="93"/>
  <c r="HQ804" i="93"/>
  <c r="HA804" i="93"/>
  <c r="GK804" i="93"/>
  <c r="FU804" i="93"/>
  <c r="FE804" i="93"/>
  <c r="IC804" i="93"/>
  <c r="HM804" i="93"/>
  <c r="GW804" i="93"/>
  <c r="GG804" i="93"/>
  <c r="FQ804" i="93"/>
  <c r="FQ805" i="93" s="1"/>
  <c r="J859" i="93" s="1"/>
  <c r="FA804" i="93"/>
  <c r="C54" i="86"/>
  <c r="O1761" i="93"/>
  <c r="D56" i="86"/>
  <c r="A1" i="89"/>
  <c r="P513" i="93"/>
  <c r="S566" i="93"/>
  <c r="M746" i="93"/>
  <c r="J746" i="93"/>
  <c r="BU788" i="93"/>
  <c r="CW788" i="93"/>
  <c r="EG788" i="93"/>
  <c r="EG805" i="93" s="1"/>
  <c r="BV796" i="93"/>
  <c r="BY804" i="93"/>
  <c r="CT792" i="93"/>
  <c r="CV792" i="93"/>
  <c r="CX800" i="93"/>
  <c r="CV800" i="93"/>
  <c r="CT800" i="93"/>
  <c r="DC792" i="93"/>
  <c r="EE792" i="93"/>
  <c r="AB792" i="93"/>
  <c r="DB800" i="93"/>
  <c r="BY800" i="93"/>
  <c r="BY805" i="93" s="1"/>
  <c r="N818" i="93" s="1"/>
  <c r="CY800" i="93"/>
  <c r="CY805" i="93" s="1"/>
  <c r="J875" i="93" s="1"/>
  <c r="BV800" i="93"/>
  <c r="BU800" i="93"/>
  <c r="AM800" i="93"/>
  <c r="DC800" i="93"/>
  <c r="FL805" i="93"/>
  <c r="J858" i="93" s="1"/>
  <c r="DF48" i="75"/>
  <c r="L72" i="75" s="1"/>
  <c r="AC48" i="75"/>
  <c r="K57" i="75" s="1"/>
  <c r="K58" i="75" s="1"/>
  <c r="BY48" i="75"/>
  <c r="N61" i="75" s="1"/>
  <c r="DE48" i="75"/>
  <c r="K72" i="75" s="1"/>
  <c r="K74" i="75" s="1"/>
  <c r="FA48" i="75"/>
  <c r="AB48" i="75"/>
  <c r="J57" i="75" s="1"/>
  <c r="J58" i="75" s="1"/>
  <c r="BH48" i="75"/>
  <c r="IZ48" i="75"/>
  <c r="JP48" i="75"/>
  <c r="O186" i="75" s="1"/>
  <c r="K42" i="75"/>
  <c r="L42" i="75" s="1"/>
  <c r="M279" i="72"/>
  <c r="M1833" i="93" s="1"/>
  <c r="F56" i="86"/>
  <c r="S474" i="93"/>
  <c r="G519" i="93"/>
  <c r="BV788" i="93"/>
  <c r="BL793" i="93"/>
  <c r="BL805" i="93" s="1"/>
  <c r="K826" i="93" s="1"/>
  <c r="BA793" i="93"/>
  <c r="BA805" i="93" s="1"/>
  <c r="J821" i="93" s="1"/>
  <c r="J823" i="93" s="1"/>
  <c r="CV793" i="93"/>
  <c r="BP793" i="93"/>
  <c r="BE793" i="93"/>
  <c r="AT793" i="93"/>
  <c r="BM793" i="93"/>
  <c r="BM805" i="93" s="1"/>
  <c r="L826" i="93" s="1"/>
  <c r="BB793" i="93"/>
  <c r="BB805" i="93" s="1"/>
  <c r="K821" i="93" s="1"/>
  <c r="K823" i="93" s="1"/>
  <c r="AR793" i="93"/>
  <c r="AR805" i="93" s="1"/>
  <c r="BJ801" i="93"/>
  <c r="BJ805" i="93" s="1"/>
  <c r="CX801" i="93"/>
  <c r="BR801" i="93"/>
  <c r="BR805" i="93" s="1"/>
  <c r="L825" i="93" s="1"/>
  <c r="IF793" i="93"/>
  <c r="DB793" i="93"/>
  <c r="CR793" i="93"/>
  <c r="CG793" i="93"/>
  <c r="BV793" i="93"/>
  <c r="AP793" i="93"/>
  <c r="AF793" i="93"/>
  <c r="AF805" i="93" s="1"/>
  <c r="N814" i="93" s="1"/>
  <c r="X793" i="93"/>
  <c r="X805" i="93" s="1"/>
  <c r="K813" i="93" s="1"/>
  <c r="IL793" i="93"/>
  <c r="IJ793" i="93"/>
  <c r="CK793" i="93"/>
  <c r="BZ793" i="93"/>
  <c r="BZ805" i="93" s="1"/>
  <c r="J870" i="93" s="1"/>
  <c r="AJ793" i="93"/>
  <c r="AJ805" i="93" s="1"/>
  <c r="AA793" i="93"/>
  <c r="IG793" i="93"/>
  <c r="IG805" i="93" s="1"/>
  <c r="CS793" i="93"/>
  <c r="CH793" i="93"/>
  <c r="BX793" i="93"/>
  <c r="AG793" i="93"/>
  <c r="Y793" i="93"/>
  <c r="AL801" i="93"/>
  <c r="AL805" i="93" s="1"/>
  <c r="J816" i="93" s="1"/>
  <c r="CP801" i="93"/>
  <c r="AD801" i="93"/>
  <c r="CA801" i="93"/>
  <c r="CA805" i="93" s="1"/>
  <c r="K870" i="93" s="1"/>
  <c r="Z801" i="93"/>
  <c r="Z805" i="93" s="1"/>
  <c r="M813" i="93" s="1"/>
  <c r="W805" i="93"/>
  <c r="J813" i="93" s="1"/>
  <c r="C53" i="74"/>
  <c r="M459" i="93"/>
  <c r="J469" i="93"/>
  <c r="M469" i="93"/>
  <c r="J566" i="93"/>
  <c r="L746" i="93"/>
  <c r="BW788" i="93"/>
  <c r="BT804" i="93"/>
  <c r="JI795" i="93"/>
  <c r="IM795" i="93"/>
  <c r="IM805" i="93" s="1"/>
  <c r="HI795" i="93"/>
  <c r="GC795" i="93"/>
  <c r="EZ795" i="93"/>
  <c r="EF795" i="93"/>
  <c r="DC795" i="93"/>
  <c r="CK795" i="93"/>
  <c r="BU795" i="93"/>
  <c r="AB795" i="93"/>
  <c r="JF795" i="93"/>
  <c r="HZ795" i="93"/>
  <c r="HZ805" i="93" s="1"/>
  <c r="K851" i="93" s="1"/>
  <c r="GT795" i="93"/>
  <c r="GT805" i="93" s="1"/>
  <c r="N844" i="93" s="1"/>
  <c r="FN795" i="93"/>
  <c r="FN805" i="93" s="1"/>
  <c r="L858" i="93" s="1"/>
  <c r="EW795" i="93"/>
  <c r="DS795" i="93"/>
  <c r="DS805" i="93" s="1"/>
  <c r="J832" i="93" s="1"/>
  <c r="CZ795" i="93"/>
  <c r="CB795" i="93"/>
  <c r="CB805" i="93" s="1"/>
  <c r="L870" i="93" s="1"/>
  <c r="BD795" i="93"/>
  <c r="BD805" i="93" s="1"/>
  <c r="M821" i="93" s="1"/>
  <c r="JL795" i="93"/>
  <c r="IZ795" i="93"/>
  <c r="HR795" i="93"/>
  <c r="HR805" i="93" s="1"/>
  <c r="M849" i="93" s="1"/>
  <c r="M866" i="93" s="1"/>
  <c r="GL795" i="93"/>
  <c r="GL805" i="93" s="1"/>
  <c r="K855" i="93" s="1"/>
  <c r="FF795" i="93"/>
  <c r="ES795" i="93"/>
  <c r="DK795" i="93"/>
  <c r="DK805" i="93" s="1"/>
  <c r="L830" i="93" s="1"/>
  <c r="CW795" i="93"/>
  <c r="BX795" i="93"/>
  <c r="AQ795" i="93"/>
  <c r="AQ805" i="93" s="1"/>
  <c r="JJ795" i="93"/>
  <c r="IR795" i="93"/>
  <c r="IR805" i="93" s="1"/>
  <c r="HJ795" i="93"/>
  <c r="GD795" i="93"/>
  <c r="FA795" i="93"/>
  <c r="EK795" i="93"/>
  <c r="DD795" i="93"/>
  <c r="DD805" i="93" s="1"/>
  <c r="J829" i="93" s="1"/>
  <c r="CR795" i="93"/>
  <c r="BV795" i="93"/>
  <c r="AC795" i="93"/>
  <c r="JK792" i="93"/>
  <c r="JC792" i="93"/>
  <c r="JN792" i="93"/>
  <c r="JF792" i="93"/>
  <c r="JL792" i="93"/>
  <c r="JD792" i="93"/>
  <c r="JN800" i="93"/>
  <c r="JC800" i="93"/>
  <c r="JJ800" i="93"/>
  <c r="JI800" i="93"/>
  <c r="JG800" i="93"/>
  <c r="JO800" i="93"/>
  <c r="JE800" i="93"/>
  <c r="ET797" i="93"/>
  <c r="ET805" i="93" s="1"/>
  <c r="JH797" i="93"/>
  <c r="EE797" i="93"/>
  <c r="IX797" i="93"/>
  <c r="DX797" i="93"/>
  <c r="IV797" i="93"/>
  <c r="DT797" i="93"/>
  <c r="JM769" i="93"/>
  <c r="M1722" i="93"/>
  <c r="P1722" i="93" s="1"/>
  <c r="JC772" i="93"/>
  <c r="H889" i="93"/>
  <c r="C972" i="93"/>
  <c r="M1717" i="93"/>
  <c r="O1717" i="93" s="1"/>
  <c r="K1732" i="93"/>
  <c r="JP767" i="93"/>
  <c r="GQ801" i="93"/>
  <c r="M885" i="93"/>
  <c r="L903" i="93"/>
  <c r="P907" i="93"/>
  <c r="L1873" i="93"/>
  <c r="O1649" i="93"/>
  <c r="J1935" i="93"/>
  <c r="CL801" i="93"/>
  <c r="JK803" i="93"/>
  <c r="A767" i="93"/>
  <c r="A805" i="93" s="1"/>
  <c r="A762" i="93" s="1"/>
  <c r="JL801" i="93"/>
  <c r="N907" i="93"/>
  <c r="M1721" i="93"/>
  <c r="P1721" i="93" s="1"/>
  <c r="A2" i="84"/>
  <c r="A2" i="90"/>
  <c r="C997" i="93"/>
  <c r="D41" i="74"/>
  <c r="J164" i="78"/>
  <c r="J600" i="93"/>
  <c r="J119" i="75"/>
  <c r="O72" i="75"/>
  <c r="M111" i="75"/>
  <c r="M86" i="75"/>
  <c r="O102" i="75"/>
  <c r="L105" i="75"/>
  <c r="O184" i="75"/>
  <c r="P184" i="75"/>
  <c r="O91" i="75"/>
  <c r="K108" i="75"/>
  <c r="O108" i="75" s="1"/>
  <c r="K48" i="73"/>
  <c r="N110" i="75"/>
  <c r="O89" i="75"/>
  <c r="L58" i="75"/>
  <c r="M66" i="73"/>
  <c r="L107" i="75"/>
  <c r="L84" i="75"/>
  <c r="O98" i="75"/>
  <c r="G1153" i="93"/>
  <c r="G52" i="73"/>
  <c r="G65" i="73"/>
  <c r="G1144" i="93"/>
  <c r="G58" i="73"/>
  <c r="G1149" i="93"/>
  <c r="G57" i="73"/>
  <c r="I57" i="73" s="1"/>
  <c r="G43" i="73"/>
  <c r="G1138" i="93"/>
  <c r="G1157" i="93"/>
  <c r="G1150" i="93"/>
  <c r="G1137" i="93"/>
  <c r="O1621" i="93"/>
  <c r="G45" i="73"/>
  <c r="G41" i="73"/>
  <c r="G1159" i="93"/>
  <c r="G66" i="73"/>
  <c r="G1145" i="93"/>
  <c r="G1160" i="93"/>
  <c r="G1158" i="93"/>
  <c r="G63" i="73"/>
  <c r="G1143" i="93"/>
  <c r="I1143" i="93" s="1"/>
  <c r="G44" i="73"/>
  <c r="G1135" i="93"/>
  <c r="G59" i="73"/>
  <c r="G55" i="73"/>
  <c r="J151" i="78"/>
  <c r="J153" i="78" s="1"/>
  <c r="C1018" i="93"/>
  <c r="G35" i="74"/>
  <c r="G33" i="74"/>
  <c r="G981" i="93"/>
  <c r="O76" i="75"/>
  <c r="E26" i="87"/>
  <c r="J61" i="74"/>
  <c r="J1009" i="93"/>
  <c r="B1010" i="93"/>
  <c r="O65" i="75"/>
  <c r="F55" i="73"/>
  <c r="F1149" i="93"/>
  <c r="K1145" i="93"/>
  <c r="K51" i="73"/>
  <c r="K111" i="75"/>
  <c r="O90" i="75"/>
  <c r="D981" i="93"/>
  <c r="D989" i="93" s="1"/>
  <c r="D33" i="74"/>
  <c r="F117" i="78"/>
  <c r="F116" i="78"/>
  <c r="F113" i="78"/>
  <c r="L115" i="75"/>
  <c r="GU805" i="93"/>
  <c r="J845" i="93" s="1"/>
  <c r="G36" i="86"/>
  <c r="F36" i="86"/>
  <c r="C16" i="86"/>
  <c r="I16" i="86"/>
  <c r="F16" i="86"/>
  <c r="L393" i="93"/>
  <c r="V132" i="78"/>
  <c r="D1015" i="93"/>
  <c r="H34" i="86"/>
  <c r="R31" i="74"/>
  <c r="N402" i="93"/>
  <c r="J55" i="74"/>
  <c r="B113" i="74"/>
  <c r="H55" i="74"/>
  <c r="D55" i="74"/>
  <c r="E113" i="74"/>
  <c r="K55" i="74"/>
  <c r="B25" i="74"/>
  <c r="F55" i="74"/>
  <c r="H85" i="74"/>
  <c r="C25" i="74"/>
  <c r="G55" i="74"/>
  <c r="C113" i="74"/>
  <c r="B55" i="74"/>
  <c r="D85" i="74"/>
  <c r="G85" i="74"/>
  <c r="F25" i="74"/>
  <c r="J85" i="74"/>
  <c r="J94" i="74" s="1"/>
  <c r="I85" i="74"/>
  <c r="C85" i="74"/>
  <c r="E55" i="74"/>
  <c r="D113" i="74"/>
  <c r="F113" i="74"/>
  <c r="C55" i="74"/>
  <c r="E85" i="74"/>
  <c r="E94" i="74" s="1"/>
  <c r="I25" i="74"/>
  <c r="I55" i="74"/>
  <c r="F85" i="74"/>
  <c r="K85" i="74"/>
  <c r="J25" i="74"/>
  <c r="E25" i="74"/>
  <c r="H25" i="74"/>
  <c r="B85" i="74"/>
  <c r="GW805" i="93"/>
  <c r="L845" i="93" s="1"/>
  <c r="E16" i="86"/>
  <c r="L59" i="73"/>
  <c r="N59" i="73" s="1"/>
  <c r="L58" i="73"/>
  <c r="N58" i="73" s="1"/>
  <c r="L65" i="73"/>
  <c r="L51" i="73"/>
  <c r="L66" i="73"/>
  <c r="N66" i="73" s="1"/>
  <c r="L56" i="73"/>
  <c r="L44" i="73"/>
  <c r="L49" i="73"/>
  <c r="F26" i="74"/>
  <c r="E26" i="74"/>
  <c r="H86" i="74"/>
  <c r="G56" i="74"/>
  <c r="B56" i="74"/>
  <c r="C56" i="74"/>
  <c r="C86" i="74"/>
  <c r="D56" i="74"/>
  <c r="C114" i="74"/>
  <c r="L64" i="73"/>
  <c r="R35" i="74"/>
  <c r="I86" i="74"/>
  <c r="M1397" i="93"/>
  <c r="L1397" i="93" s="1"/>
  <c r="L303" i="73"/>
  <c r="H53" i="74"/>
  <c r="L62" i="73"/>
  <c r="L48" i="73"/>
  <c r="G83" i="74"/>
  <c r="F111" i="74"/>
  <c r="E23" i="74"/>
  <c r="K23" i="74"/>
  <c r="N400" i="93"/>
  <c r="L52" i="73"/>
  <c r="C83" i="74"/>
  <c r="B111" i="74"/>
  <c r="I83" i="74"/>
  <c r="L43" i="73"/>
  <c r="C34" i="86"/>
  <c r="E53" i="74"/>
  <c r="D111" i="74"/>
  <c r="B83" i="74"/>
  <c r="J23" i="74"/>
  <c r="G53" i="74"/>
  <c r="H83" i="74"/>
  <c r="F53" i="74"/>
  <c r="D23" i="74"/>
  <c r="E111" i="74"/>
  <c r="B23" i="74"/>
  <c r="M132" i="78"/>
  <c r="M149" i="78" s="1"/>
  <c r="M151" i="78" s="1"/>
  <c r="M153" i="78" s="1"/>
  <c r="R30" i="74"/>
  <c r="F83" i="74"/>
  <c r="H985" i="93"/>
  <c r="I14" i="86"/>
  <c r="R27" i="74"/>
  <c r="F985" i="93"/>
  <c r="R33" i="74"/>
  <c r="R36" i="74"/>
  <c r="R32" i="74"/>
  <c r="E61" i="84"/>
  <c r="E62" i="84" s="1"/>
  <c r="K61" i="84"/>
  <c r="K33" i="75"/>
  <c r="L33" i="75" s="1"/>
  <c r="I790" i="93"/>
  <c r="K790" i="93" s="1"/>
  <c r="L790" i="93" s="1"/>
  <c r="J378" i="73"/>
  <c r="F1472" i="93"/>
  <c r="J1472" i="93" s="1"/>
  <c r="J453" i="93"/>
  <c r="J730" i="93"/>
  <c r="I780" i="93"/>
  <c r="K780" i="93" s="1"/>
  <c r="L780" i="93" s="1"/>
  <c r="K23" i="75"/>
  <c r="L23" i="75" s="1"/>
  <c r="I796" i="93"/>
  <c r="K796" i="93" s="1"/>
  <c r="L796" i="93" s="1"/>
  <c r="K39" i="75"/>
  <c r="L39" i="75" s="1"/>
  <c r="G459" i="93"/>
  <c r="K29" i="75"/>
  <c r="L29" i="75" s="1"/>
  <c r="I786" i="93"/>
  <c r="K786" i="93" s="1"/>
  <c r="L786" i="93" s="1"/>
  <c r="K45" i="75"/>
  <c r="L45" i="75" s="1"/>
  <c r="I802" i="93"/>
  <c r="K802" i="93" s="1"/>
  <c r="L802" i="93" s="1"/>
  <c r="K230" i="72"/>
  <c r="K1784" i="93" s="1"/>
  <c r="O1665" i="93"/>
  <c r="D975" i="93"/>
  <c r="D977" i="93"/>
  <c r="D970" i="93"/>
  <c r="D971" i="93"/>
  <c r="E969" i="93"/>
  <c r="I792" i="93"/>
  <c r="K792" i="93" s="1"/>
  <c r="L792" i="93" s="1"/>
  <c r="K35" i="75"/>
  <c r="L35" i="75" s="1"/>
  <c r="M500" i="93"/>
  <c r="L730" i="93"/>
  <c r="K746" i="93"/>
  <c r="K25" i="75"/>
  <c r="L25" i="75" s="1"/>
  <c r="I782" i="93"/>
  <c r="K782" i="93" s="1"/>
  <c r="L782" i="93" s="1"/>
  <c r="K41" i="75"/>
  <c r="L41" i="75" s="1"/>
  <c r="I798" i="93"/>
  <c r="K798" i="93" s="1"/>
  <c r="L798" i="93" s="1"/>
  <c r="C34" i="84"/>
  <c r="U540" i="93"/>
  <c r="V568" i="93"/>
  <c r="G500" i="93"/>
  <c r="M730" i="93"/>
  <c r="I788" i="93"/>
  <c r="K788" i="93" s="1"/>
  <c r="L788" i="93" s="1"/>
  <c r="K31" i="75"/>
  <c r="L31" i="75" s="1"/>
  <c r="I804" i="93"/>
  <c r="K804" i="93" s="1"/>
  <c r="L804" i="93" s="1"/>
  <c r="K47" i="75"/>
  <c r="L47" i="75" s="1"/>
  <c r="A450" i="93"/>
  <c r="U450" i="93"/>
  <c r="K37" i="75"/>
  <c r="L37" i="75" s="1"/>
  <c r="I794" i="93"/>
  <c r="K794" i="93" s="1"/>
  <c r="L794" i="93" s="1"/>
  <c r="G453" i="93"/>
  <c r="S453" i="93"/>
  <c r="M513" i="93"/>
  <c r="A546" i="93"/>
  <c r="I784" i="93"/>
  <c r="K784" i="93" s="1"/>
  <c r="L784" i="93" s="1"/>
  <c r="K27" i="75"/>
  <c r="L27" i="75" s="1"/>
  <c r="I800" i="93"/>
  <c r="K800" i="93" s="1"/>
  <c r="L800" i="93" s="1"/>
  <c r="K43" i="75"/>
  <c r="L43" i="75" s="1"/>
  <c r="E38" i="72"/>
  <c r="E1592" i="93" s="1"/>
  <c r="O1900" i="93"/>
  <c r="G463" i="93"/>
  <c r="F461" i="93"/>
  <c r="P519" i="93"/>
  <c r="P568" i="93" s="1"/>
  <c r="P585" i="93" s="1"/>
  <c r="I730" i="93"/>
  <c r="I746" i="93"/>
  <c r="P189" i="72"/>
  <c r="O12" i="86"/>
  <c r="O14" i="86" s="1"/>
  <c r="AZ799" i="93"/>
  <c r="AZ805" i="93" s="1"/>
  <c r="N822" i="93" s="1"/>
  <c r="CE799" i="93"/>
  <c r="CE805" i="93" s="1"/>
  <c r="J871" i="93" s="1"/>
  <c r="DA799" i="93"/>
  <c r="EA799" i="93"/>
  <c r="EA805" i="93" s="1"/>
  <c r="M833" i="93" s="1"/>
  <c r="EZ799" i="93"/>
  <c r="FZ799" i="93"/>
  <c r="HF799" i="93"/>
  <c r="HF805" i="93" s="1"/>
  <c r="K847" i="93" s="1"/>
  <c r="IN799" i="93"/>
  <c r="JL799" i="93"/>
  <c r="JL805" i="93" s="1"/>
  <c r="FO801" i="93"/>
  <c r="FO805" i="93" s="1"/>
  <c r="M858" i="93" s="1"/>
  <c r="HA801" i="93"/>
  <c r="AH803" i="93"/>
  <c r="CD803" i="93"/>
  <c r="CZ803" i="93"/>
  <c r="ED803" i="93"/>
  <c r="ED805" i="93" s="1"/>
  <c r="FA803" i="93"/>
  <c r="GB803" i="93"/>
  <c r="GB805" i="93" s="1"/>
  <c r="K857" i="93" s="1"/>
  <c r="HH803" i="93"/>
  <c r="HH805" i="93" s="1"/>
  <c r="M847" i="93" s="1"/>
  <c r="IV803" i="93"/>
  <c r="JP803" i="93"/>
  <c r="CT804" i="93"/>
  <c r="CT805" i="93" s="1"/>
  <c r="DC804" i="93"/>
  <c r="IY767" i="93"/>
  <c r="J1735" i="93"/>
  <c r="C29" i="84"/>
  <c r="H56" i="86"/>
  <c r="BT799" i="93"/>
  <c r="BT805" i="93" s="1"/>
  <c r="N825" i="93" s="1"/>
  <c r="CP799" i="93"/>
  <c r="DC799" i="93"/>
  <c r="EI799" i="93"/>
  <c r="FB799" i="93"/>
  <c r="GH799" i="93"/>
  <c r="HN799" i="93"/>
  <c r="IX799" i="93"/>
  <c r="IX805" i="93" s="1"/>
  <c r="DX801" i="93"/>
  <c r="FY801" i="93"/>
  <c r="HK801" i="93"/>
  <c r="BE803" i="93"/>
  <c r="BE805" i="93" s="1"/>
  <c r="N821" i="93" s="1"/>
  <c r="CR803" i="93"/>
  <c r="DB803" i="93"/>
  <c r="EO803" i="93"/>
  <c r="EO805" i="93" s="1"/>
  <c r="L836" i="93" s="1"/>
  <c r="L837" i="93" s="1"/>
  <c r="FD803" i="93"/>
  <c r="GJ803" i="93"/>
  <c r="GJ805" i="93" s="1"/>
  <c r="N854" i="93" s="1"/>
  <c r="HP803" i="93"/>
  <c r="JE803" i="93"/>
  <c r="JE805" i="93" s="1"/>
  <c r="CV804" i="93"/>
  <c r="JN774" i="93"/>
  <c r="Q1762" i="93"/>
  <c r="Q1871" i="93"/>
  <c r="GE801" i="93"/>
  <c r="GE805" i="93" s="1"/>
  <c r="N857" i="93" s="1"/>
  <c r="HP801" i="93"/>
  <c r="BU803" i="93"/>
  <c r="CS803" i="93"/>
  <c r="DC803" i="93"/>
  <c r="ER803" i="93"/>
  <c r="ER805" i="93" s="1"/>
  <c r="FK803" i="93"/>
  <c r="GQ803" i="93"/>
  <c r="GQ805" i="93" s="1"/>
  <c r="K844" i="93" s="1"/>
  <c r="HW803" i="93"/>
  <c r="HW805" i="93" s="1"/>
  <c r="M850" i="93" s="1"/>
  <c r="JH803" i="93"/>
  <c r="BU804" i="93"/>
  <c r="CX804" i="93"/>
  <c r="AI795" i="93"/>
  <c r="AI805" i="93" s="1"/>
  <c r="CQ795" i="93"/>
  <c r="CQ805" i="93" s="1"/>
  <c r="L873" i="93" s="1"/>
  <c r="EE795" i="93"/>
  <c r="EE805" i="93" s="1"/>
  <c r="AC797" i="93"/>
  <c r="AC805" i="93" s="1"/>
  <c r="K814" i="93" s="1"/>
  <c r="AS797" i="93"/>
  <c r="AS805" i="93" s="1"/>
  <c r="BN797" i="93"/>
  <c r="BN805" i="93" s="1"/>
  <c r="M826" i="93" s="1"/>
  <c r="CI797" i="93"/>
  <c r="DJ797" i="93"/>
  <c r="EX797" i="93"/>
  <c r="FH797" i="93"/>
  <c r="FS797" i="93"/>
  <c r="GD797" i="93"/>
  <c r="GD805" i="93" s="1"/>
  <c r="M857" i="93" s="1"/>
  <c r="GN797" i="93"/>
  <c r="GN805" i="93" s="1"/>
  <c r="M855" i="93" s="1"/>
  <c r="GY797" i="93"/>
  <c r="HJ797" i="93"/>
  <c r="AA799" i="93"/>
  <c r="AA805" i="93" s="1"/>
  <c r="N813" i="93" s="1"/>
  <c r="BW799" i="93"/>
  <c r="CW799" i="93"/>
  <c r="DN799" i="93"/>
  <c r="DN805" i="93" s="1"/>
  <c r="EW799" i="93"/>
  <c r="EW805" i="93" s="1"/>
  <c r="FM799" i="93"/>
  <c r="FM805" i="93" s="1"/>
  <c r="K858" i="93" s="1"/>
  <c r="GS799" i="93"/>
  <c r="GS805" i="93" s="1"/>
  <c r="M844" i="93" s="1"/>
  <c r="HY799" i="93"/>
  <c r="AM801" i="93"/>
  <c r="AM805" i="93" s="1"/>
  <c r="K816" i="93" s="1"/>
  <c r="CD801" i="93"/>
  <c r="CD805" i="93" s="1"/>
  <c r="N870" i="93" s="1"/>
  <c r="EZ801" i="93"/>
  <c r="GO801" i="93"/>
  <c r="IA801" i="93"/>
  <c r="IA805" i="93" s="1"/>
  <c r="L851" i="93" s="1"/>
  <c r="BW803" i="93"/>
  <c r="CW803" i="93"/>
  <c r="DE803" i="93"/>
  <c r="DE805" i="93" s="1"/>
  <c r="K829" i="93" s="1"/>
  <c r="EX803" i="93"/>
  <c r="FS803" i="93"/>
  <c r="GY803" i="93"/>
  <c r="IF803" i="93"/>
  <c r="IF805" i="93" s="1"/>
  <c r="JJ803" i="93"/>
  <c r="JJ805" i="93" s="1"/>
  <c r="BW804" i="93"/>
  <c r="CZ804" i="93"/>
  <c r="AU801" i="93"/>
  <c r="AU805" i="93" s="1"/>
  <c r="FD801" i="93"/>
  <c r="BX803" i="93"/>
  <c r="CX803" i="93"/>
  <c r="DP803" i="93"/>
  <c r="EY803" i="93"/>
  <c r="EY805" i="93" s="1"/>
  <c r="FT803" i="93"/>
  <c r="FT805" i="93" s="1"/>
  <c r="M859" i="93" s="1"/>
  <c r="GZ803" i="93"/>
  <c r="IH803" i="93"/>
  <c r="IH805" i="93" s="1"/>
  <c r="BX804" i="93"/>
  <c r="K1656" i="93"/>
  <c r="K1862" i="93"/>
  <c r="F1159" i="93" l="1"/>
  <c r="H1159" i="93" s="1"/>
  <c r="F65" i="73"/>
  <c r="H65" i="73" s="1"/>
  <c r="F1158" i="93"/>
  <c r="H1158" i="93" s="1"/>
  <c r="F64" i="73"/>
  <c r="K1143" i="93"/>
  <c r="K49" i="73"/>
  <c r="K53" i="73" s="1"/>
  <c r="F63" i="73"/>
  <c r="H63" i="73" s="1"/>
  <c r="F1157" i="93"/>
  <c r="H1157" i="93" s="1"/>
  <c r="P76" i="93"/>
  <c r="P65" i="66"/>
  <c r="L867" i="93"/>
  <c r="GO805" i="93"/>
  <c r="N855" i="93" s="1"/>
  <c r="J831" i="93"/>
  <c r="FK805" i="93"/>
  <c r="N853" i="93" s="1"/>
  <c r="DB805" i="93"/>
  <c r="M875" i="93" s="1"/>
  <c r="GH805" i="93"/>
  <c r="L854" i="93" s="1"/>
  <c r="FA805" i="93"/>
  <c r="IN805" i="93"/>
  <c r="J568" i="93"/>
  <c r="J585" i="93" s="1"/>
  <c r="J587" i="93" s="1"/>
  <c r="J589" i="93" s="1"/>
  <c r="Q58" i="73"/>
  <c r="I58" i="73"/>
  <c r="O57" i="75"/>
  <c r="H74" i="93" s="1"/>
  <c r="H73" i="93" s="1"/>
  <c r="H77" i="93" s="1"/>
  <c r="H79" i="93" s="1"/>
  <c r="JK805" i="93"/>
  <c r="FF805" i="93"/>
  <c r="N852" i="93" s="1"/>
  <c r="AG805" i="93"/>
  <c r="GG805" i="93"/>
  <c r="K854" i="93" s="1"/>
  <c r="FI805" i="93"/>
  <c r="L853" i="93" s="1"/>
  <c r="BP805" i="93"/>
  <c r="J825" i="93" s="1"/>
  <c r="J827" i="93" s="1"/>
  <c r="JB805" i="93"/>
  <c r="JQ805" i="93"/>
  <c r="O943" i="93" s="1"/>
  <c r="IU805" i="93"/>
  <c r="GM805" i="93"/>
  <c r="L855" i="93" s="1"/>
  <c r="O66" i="75"/>
  <c r="O59" i="75"/>
  <c r="F44" i="73"/>
  <c r="H44" i="73" s="1"/>
  <c r="F1138" i="93"/>
  <c r="H1138" i="93" s="1"/>
  <c r="H91" i="74"/>
  <c r="H1040" i="93"/>
  <c r="H1047" i="93" s="1"/>
  <c r="M1152" i="93"/>
  <c r="N1152" i="93"/>
  <c r="O70" i="75"/>
  <c r="B1068" i="93"/>
  <c r="B1075" i="93" s="1"/>
  <c r="B119" i="74"/>
  <c r="O69" i="75"/>
  <c r="FH805" i="93"/>
  <c r="K853" i="93" s="1"/>
  <c r="O853" i="93" s="1"/>
  <c r="JN805" i="93"/>
  <c r="CR805" i="93"/>
  <c r="M873" i="93" s="1"/>
  <c r="FB805" i="93"/>
  <c r="J852" i="93" s="1"/>
  <c r="IY805" i="93"/>
  <c r="I1158" i="93"/>
  <c r="J109" i="75"/>
  <c r="K1149" i="93" s="1"/>
  <c r="K1136" i="93"/>
  <c r="N1136" i="93" s="1"/>
  <c r="O99" i="75"/>
  <c r="IJ805" i="93"/>
  <c r="F59" i="73"/>
  <c r="H59" i="73" s="1"/>
  <c r="F1153" i="93"/>
  <c r="H1153" i="93" s="1"/>
  <c r="FV805" i="93"/>
  <c r="J856" i="93" s="1"/>
  <c r="G13" i="74"/>
  <c r="F20" i="74"/>
  <c r="F19" i="74"/>
  <c r="C91" i="74"/>
  <c r="C1040" i="93"/>
  <c r="C1047" i="93" s="1"/>
  <c r="JI805" i="93"/>
  <c r="HL805" i="93"/>
  <c r="L848" i="93" s="1"/>
  <c r="L865" i="93" s="1"/>
  <c r="H32" i="74"/>
  <c r="H980" i="93"/>
  <c r="H988" i="93" s="1"/>
  <c r="DP805" i="93"/>
  <c r="L831" i="93" s="1"/>
  <c r="CV805" i="93"/>
  <c r="EI805" i="93"/>
  <c r="K835" i="93" s="1"/>
  <c r="FZ805" i="93"/>
  <c r="N856" i="93" s="1"/>
  <c r="I65" i="73"/>
  <c r="J84" i="75"/>
  <c r="M815" i="93"/>
  <c r="M817" i="93" s="1"/>
  <c r="CH805" i="93"/>
  <c r="M871" i="93" s="1"/>
  <c r="M872" i="93" s="1"/>
  <c r="M874" i="93" s="1"/>
  <c r="IL805" i="93"/>
  <c r="O74" i="75"/>
  <c r="HM805" i="93"/>
  <c r="M848" i="93" s="1"/>
  <c r="M865" i="93" s="1"/>
  <c r="GC805" i="93"/>
  <c r="L857" i="93" s="1"/>
  <c r="FX805" i="93"/>
  <c r="L856" i="93" s="1"/>
  <c r="HC805" i="93"/>
  <c r="M846" i="93" s="1"/>
  <c r="M867" i="93" s="1"/>
  <c r="N106" i="75"/>
  <c r="N60" i="75"/>
  <c r="G980" i="93"/>
  <c r="G988" i="93" s="1"/>
  <c r="G32" i="74"/>
  <c r="I44" i="73"/>
  <c r="HN805" i="93"/>
  <c r="N848" i="93" s="1"/>
  <c r="N865" i="93" s="1"/>
  <c r="ES805" i="93"/>
  <c r="FD805" i="93"/>
  <c r="L852" i="93" s="1"/>
  <c r="DJ805" i="93"/>
  <c r="K830" i="93" s="1"/>
  <c r="CS805" i="93"/>
  <c r="N873" i="93" s="1"/>
  <c r="HK805" i="93"/>
  <c r="K848" i="93" s="1"/>
  <c r="K865" i="93" s="1"/>
  <c r="I1157" i="93"/>
  <c r="O78" i="75"/>
  <c r="JD805" i="93"/>
  <c r="IZ805" i="93"/>
  <c r="K872" i="93"/>
  <c r="L827" i="93"/>
  <c r="N62" i="75"/>
  <c r="H11" i="88" s="1"/>
  <c r="I11" i="88" s="1"/>
  <c r="N834" i="93"/>
  <c r="IC805" i="93"/>
  <c r="N851" i="93" s="1"/>
  <c r="DZ805" i="93"/>
  <c r="L833" i="93" s="1"/>
  <c r="CO805" i="93"/>
  <c r="J873" i="93" s="1"/>
  <c r="GP805" i="93"/>
  <c r="J844" i="93" s="1"/>
  <c r="O100" i="75"/>
  <c r="N74" i="75"/>
  <c r="B1040" i="93"/>
  <c r="B1047" i="93" s="1"/>
  <c r="B91" i="74"/>
  <c r="L872" i="93"/>
  <c r="JG805" i="93"/>
  <c r="CG805" i="93"/>
  <c r="L871" i="93" s="1"/>
  <c r="HY805" i="93"/>
  <c r="J851" i="93" s="1"/>
  <c r="HJ805" i="93"/>
  <c r="J848" i="93" s="1"/>
  <c r="CI805" i="93"/>
  <c r="N871" i="93" s="1"/>
  <c r="FY805" i="93"/>
  <c r="M856" i="93" s="1"/>
  <c r="M861" i="93" s="1"/>
  <c r="CP805" i="93"/>
  <c r="K873" i="93" s="1"/>
  <c r="O873" i="93" s="1"/>
  <c r="JP805" i="93"/>
  <c r="AH805" i="93"/>
  <c r="P587" i="93"/>
  <c r="P589" i="93" s="1"/>
  <c r="J77" i="75"/>
  <c r="I59" i="73"/>
  <c r="I1138" i="93"/>
  <c r="I1153" i="93"/>
  <c r="K80" i="75"/>
  <c r="O80" i="75" s="1"/>
  <c r="H56" i="66" s="1"/>
  <c r="I58" i="74"/>
  <c r="JM805" i="93"/>
  <c r="AD805" i="93"/>
  <c r="L814" i="93" s="1"/>
  <c r="FE805" i="93"/>
  <c r="M852" i="93" s="1"/>
  <c r="HU805" i="93"/>
  <c r="K850" i="93" s="1"/>
  <c r="EV805" i="93"/>
  <c r="N837" i="93" s="1"/>
  <c r="EH805" i="93"/>
  <c r="J835" i="93" s="1"/>
  <c r="J837" i="93" s="1"/>
  <c r="GR805" i="93"/>
  <c r="L844" i="93" s="1"/>
  <c r="O844" i="93" s="1"/>
  <c r="Y805" i="93"/>
  <c r="L813" i="93" s="1"/>
  <c r="L815" i="93" s="1"/>
  <c r="L817" i="93" s="1"/>
  <c r="L819" i="93" s="1"/>
  <c r="CU805" i="93"/>
  <c r="EU805" i="93"/>
  <c r="J862" i="93"/>
  <c r="HS805" i="93"/>
  <c r="N849" i="93" s="1"/>
  <c r="N866" i="93" s="1"/>
  <c r="M84" i="75"/>
  <c r="L106" i="75"/>
  <c r="O106" i="75" s="1"/>
  <c r="S568" i="93"/>
  <c r="GZ805" i="93"/>
  <c r="J846" i="93" s="1"/>
  <c r="JH805" i="93"/>
  <c r="DX805" i="93"/>
  <c r="J833" i="93" s="1"/>
  <c r="IV805" i="93"/>
  <c r="HA805" i="93"/>
  <c r="K846" i="93" s="1"/>
  <c r="DA805" i="93"/>
  <c r="L875" i="93" s="1"/>
  <c r="K62" i="84"/>
  <c r="I1159" i="93"/>
  <c r="H73" i="82"/>
  <c r="CL805" i="93"/>
  <c r="DT805" i="93"/>
  <c r="K832" i="93" s="1"/>
  <c r="O832" i="93" s="1"/>
  <c r="JF805" i="93"/>
  <c r="EK805" i="93"/>
  <c r="M835" i="93" s="1"/>
  <c r="M823" i="93"/>
  <c r="HI805" i="93"/>
  <c r="N847" i="93" s="1"/>
  <c r="N868" i="93" s="1"/>
  <c r="AP805" i="93"/>
  <c r="N816" i="93" s="1"/>
  <c r="J60" i="75"/>
  <c r="J62" i="75" s="1"/>
  <c r="H7" i="88" s="1"/>
  <c r="I7" i="88" s="1"/>
  <c r="D7" i="88"/>
  <c r="E7" i="88" s="1"/>
  <c r="H76" i="93"/>
  <c r="H1836" i="93"/>
  <c r="H65" i="66"/>
  <c r="H282" i="72"/>
  <c r="H66" i="93"/>
  <c r="H55" i="66"/>
  <c r="K60" i="75"/>
  <c r="K62" i="75" s="1"/>
  <c r="H8" i="88" s="1"/>
  <c r="I8" i="88" s="1"/>
  <c r="L400" i="72"/>
  <c r="L1954" i="93"/>
  <c r="D8" i="88"/>
  <c r="E8" i="88" s="1"/>
  <c r="M837" i="93"/>
  <c r="F1135" i="93"/>
  <c r="F1140" i="93" s="1"/>
  <c r="F41" i="73"/>
  <c r="K45" i="73"/>
  <c r="K1139" i="93"/>
  <c r="F1137" i="93"/>
  <c r="H1137" i="93" s="1"/>
  <c r="F43" i="73"/>
  <c r="H43" i="73" s="1"/>
  <c r="F45" i="73"/>
  <c r="H45" i="73" s="1"/>
  <c r="F1139" i="93"/>
  <c r="H78" i="93"/>
  <c r="H67" i="66"/>
  <c r="F56" i="89"/>
  <c r="D37" i="90" s="1"/>
  <c r="BX805" i="93"/>
  <c r="M818" i="93" s="1"/>
  <c r="M819" i="93" s="1"/>
  <c r="BW805" i="93"/>
  <c r="L818" i="93" s="1"/>
  <c r="EX805" i="93"/>
  <c r="CZ805" i="93"/>
  <c r="K875" i="93" s="1"/>
  <c r="N861" i="93"/>
  <c r="I43" i="73"/>
  <c r="AB805" i="93"/>
  <c r="J814" i="93" s="1"/>
  <c r="IB805" i="93"/>
  <c r="M851" i="93" s="1"/>
  <c r="K32" i="74"/>
  <c r="K980" i="93"/>
  <c r="K988" i="93" s="1"/>
  <c r="P186" i="75"/>
  <c r="M1153" i="93"/>
  <c r="N1153" i="93"/>
  <c r="H49" i="73"/>
  <c r="O830" i="93"/>
  <c r="EZ805" i="93"/>
  <c r="I776" i="93"/>
  <c r="K776" i="93" s="1"/>
  <c r="L776" i="93" s="1"/>
  <c r="K19" i="75"/>
  <c r="L19" i="75" s="1"/>
  <c r="K1156" i="93"/>
  <c r="K62" i="73"/>
  <c r="M62" i="73" s="1"/>
  <c r="T174" i="72"/>
  <c r="M763" i="93"/>
  <c r="O6" i="75"/>
  <c r="O763" i="93"/>
  <c r="O51" i="93"/>
  <c r="M6" i="75"/>
  <c r="T1728" i="93"/>
  <c r="C1068" i="93"/>
  <c r="C1075" i="93" s="1"/>
  <c r="C119" i="74"/>
  <c r="O94" i="75"/>
  <c r="J86" i="75"/>
  <c r="K52" i="73"/>
  <c r="M52" i="73" s="1"/>
  <c r="K1146" i="93"/>
  <c r="O114" i="75"/>
  <c r="M60" i="75"/>
  <c r="M62" i="75" s="1"/>
  <c r="H10" i="88" s="1"/>
  <c r="I10" i="88" s="1"/>
  <c r="D10" i="88"/>
  <c r="E10" i="88" s="1"/>
  <c r="BU805" i="93"/>
  <c r="J818" i="93" s="1"/>
  <c r="I45" i="73"/>
  <c r="E19" i="87"/>
  <c r="C1009" i="93"/>
  <c r="C1017" i="93" s="1"/>
  <c r="C61" i="74"/>
  <c r="GF805" i="93"/>
  <c r="J854" i="93" s="1"/>
  <c r="J863" i="93" s="1"/>
  <c r="K14" i="75"/>
  <c r="L14" i="75" s="1"/>
  <c r="I771" i="93"/>
  <c r="K771" i="93" s="1"/>
  <c r="L771" i="93" s="1"/>
  <c r="L805" i="93" s="1"/>
  <c r="L806" i="93" s="1"/>
  <c r="K109" i="75"/>
  <c r="K84" i="75"/>
  <c r="K1151" i="93"/>
  <c r="K57" i="73"/>
  <c r="M57" i="73" s="1"/>
  <c r="E1040" i="93"/>
  <c r="E1047" i="93" s="1"/>
  <c r="E91" i="74"/>
  <c r="F48" i="73"/>
  <c r="F1142" i="93"/>
  <c r="N84" i="75"/>
  <c r="K1158" i="93"/>
  <c r="K64" i="73"/>
  <c r="M64" i="73" s="1"/>
  <c r="F52" i="73"/>
  <c r="H52" i="73" s="1"/>
  <c r="F1146" i="93"/>
  <c r="P74" i="93"/>
  <c r="P63" i="66"/>
  <c r="GY805" i="93"/>
  <c r="N845" i="93" s="1"/>
  <c r="N864" i="93" s="1"/>
  <c r="N863" i="93"/>
  <c r="K867" i="93"/>
  <c r="N64" i="73"/>
  <c r="E3" i="86"/>
  <c r="C978" i="93"/>
  <c r="C992" i="93"/>
  <c r="BV805" i="93"/>
  <c r="K818" i="93" s="1"/>
  <c r="K91" i="74"/>
  <c r="K1040" i="93"/>
  <c r="K1047" i="93" s="1"/>
  <c r="F51" i="73"/>
  <c r="F1145" i="93"/>
  <c r="H1145" i="93" s="1"/>
  <c r="F119" i="74"/>
  <c r="F1068" i="93"/>
  <c r="F1075" i="93" s="1"/>
  <c r="K827" i="93"/>
  <c r="O87" i="75"/>
  <c r="O86" i="75" s="1"/>
  <c r="J110" i="75"/>
  <c r="O858" i="93"/>
  <c r="I1137" i="93"/>
  <c r="CK805" i="93"/>
  <c r="HQ805" i="93"/>
  <c r="L849" i="93" s="1"/>
  <c r="L866" i="93" s="1"/>
  <c r="GV805" i="93"/>
  <c r="K845" i="93" s="1"/>
  <c r="K864" i="93" s="1"/>
  <c r="O101" i="75"/>
  <c r="L63" i="73"/>
  <c r="L42" i="73"/>
  <c r="P1136" i="93"/>
  <c r="G42" i="73"/>
  <c r="G64" i="73"/>
  <c r="L50" i="73"/>
  <c r="G56" i="73"/>
  <c r="G49" i="73"/>
  <c r="I49" i="73" s="1"/>
  <c r="L45" i="73"/>
  <c r="N45" i="73" s="1"/>
  <c r="L41" i="73"/>
  <c r="G62" i="73"/>
  <c r="G50" i="73"/>
  <c r="G48" i="73"/>
  <c r="L57" i="73"/>
  <c r="N57" i="73" s="1"/>
  <c r="L55" i="73"/>
  <c r="G51" i="73"/>
  <c r="F1010" i="93"/>
  <c r="F1018" i="93" s="1"/>
  <c r="F62" i="74"/>
  <c r="L86" i="75"/>
  <c r="G132" i="78"/>
  <c r="G483" i="93"/>
  <c r="F47" i="78"/>
  <c r="K41" i="73"/>
  <c r="K1135" i="93"/>
  <c r="L861" i="93"/>
  <c r="L868" i="93"/>
  <c r="O822" i="93"/>
  <c r="JC805" i="93"/>
  <c r="J815" i="93"/>
  <c r="J817" i="93" s="1"/>
  <c r="HD805" i="93"/>
  <c r="N846" i="93" s="1"/>
  <c r="HX805" i="93"/>
  <c r="N850" i="93" s="1"/>
  <c r="O850" i="93" s="1"/>
  <c r="O185" i="75"/>
  <c r="P185" i="75"/>
  <c r="N1160" i="93"/>
  <c r="M1160" i="93"/>
  <c r="H64" i="66"/>
  <c r="H75" i="93"/>
  <c r="L834" i="93"/>
  <c r="N52" i="73"/>
  <c r="N44" i="73"/>
  <c r="I1145" i="93"/>
  <c r="I52" i="73"/>
  <c r="GK805" i="93"/>
  <c r="J855" i="93" s="1"/>
  <c r="O855" i="93" s="1"/>
  <c r="EF805" i="93"/>
  <c r="M834" i="93" s="1"/>
  <c r="L31" i="68"/>
  <c r="O816" i="93"/>
  <c r="CX805" i="93"/>
  <c r="CW805" i="93"/>
  <c r="L874" i="93"/>
  <c r="K834" i="93"/>
  <c r="N77" i="75"/>
  <c r="O77" i="75" s="1"/>
  <c r="I51" i="93"/>
  <c r="K40" i="66"/>
  <c r="D32" i="74"/>
  <c r="D980" i="93"/>
  <c r="D988" i="93" s="1"/>
  <c r="I64" i="66"/>
  <c r="I75" i="93"/>
  <c r="K44" i="73"/>
  <c r="M44" i="73" s="1"/>
  <c r="K1138" i="93"/>
  <c r="J868" i="93"/>
  <c r="O851" i="93"/>
  <c r="O829" i="93"/>
  <c r="K831" i="93"/>
  <c r="M863" i="93"/>
  <c r="M843" i="93"/>
  <c r="J834" i="93"/>
  <c r="O833" i="93"/>
  <c r="N827" i="93"/>
  <c r="O825" i="93"/>
  <c r="M864" i="93"/>
  <c r="N815" i="93"/>
  <c r="N817" i="93" s="1"/>
  <c r="N819" i="93" s="1"/>
  <c r="O813" i="93"/>
  <c r="O826" i="93"/>
  <c r="M827" i="93"/>
  <c r="O854" i="93"/>
  <c r="N823" i="93"/>
  <c r="O823" i="93" s="1"/>
  <c r="I44" i="68"/>
  <c r="I407" i="93" s="1"/>
  <c r="E8" i="87"/>
  <c r="B979" i="93"/>
  <c r="B31" i="74"/>
  <c r="C75" i="84"/>
  <c r="F558" i="93"/>
  <c r="B35" i="74"/>
  <c r="F122" i="78"/>
  <c r="B45" i="82"/>
  <c r="D118" i="74"/>
  <c r="D1067" i="93"/>
  <c r="D122" i="74"/>
  <c r="C1012" i="93"/>
  <c r="C1020" i="93" s="1"/>
  <c r="C64" i="74"/>
  <c r="L864" i="93"/>
  <c r="L843" i="93"/>
  <c r="E33" i="74"/>
  <c r="E981" i="93"/>
  <c r="E989" i="93" s="1"/>
  <c r="F1069" i="93"/>
  <c r="F1076" i="93" s="1"/>
  <c r="F120" i="74"/>
  <c r="D92" i="74"/>
  <c r="D1041" i="93"/>
  <c r="D94" i="74"/>
  <c r="K63" i="74"/>
  <c r="K1011" i="93"/>
  <c r="K65" i="82"/>
  <c r="K65" i="74"/>
  <c r="J841" i="93"/>
  <c r="M51" i="73"/>
  <c r="N51" i="73"/>
  <c r="N862" i="93"/>
  <c r="N1139" i="93"/>
  <c r="M1139" i="93"/>
  <c r="F1160" i="93"/>
  <c r="F66" i="73"/>
  <c r="H64" i="73"/>
  <c r="I64" i="73"/>
  <c r="N872" i="93"/>
  <c r="O870" i="93"/>
  <c r="E1067" i="93"/>
  <c r="E118" i="74"/>
  <c r="E122" i="74"/>
  <c r="E61" i="74"/>
  <c r="E1009" i="93"/>
  <c r="E65" i="74"/>
  <c r="E65" i="82"/>
  <c r="E21" i="87"/>
  <c r="K979" i="93"/>
  <c r="K31" i="74"/>
  <c r="K45" i="82"/>
  <c r="K35" i="74"/>
  <c r="E17" i="87"/>
  <c r="B64" i="74"/>
  <c r="B1012" i="93"/>
  <c r="B1020" i="93" s="1"/>
  <c r="J33" i="74"/>
  <c r="J981" i="93"/>
  <c r="J989" i="93" s="1"/>
  <c r="D1069" i="93"/>
  <c r="D1076" i="93" s="1"/>
  <c r="D120" i="74"/>
  <c r="B63" i="74"/>
  <c r="B1011" i="93"/>
  <c r="B1019" i="93" s="1"/>
  <c r="E1069" i="93"/>
  <c r="E1076" i="93" s="1"/>
  <c r="E120" i="74"/>
  <c r="O111" i="75"/>
  <c r="K1157" i="93"/>
  <c r="K63" i="73"/>
  <c r="M1145" i="93"/>
  <c r="N1145" i="93"/>
  <c r="K861" i="93"/>
  <c r="G35" i="86"/>
  <c r="H35" i="86"/>
  <c r="I35" i="86"/>
  <c r="C55" i="86"/>
  <c r="F55" i="86"/>
  <c r="E55" i="86"/>
  <c r="D55" i="86"/>
  <c r="C15" i="86"/>
  <c r="O17" i="86"/>
  <c r="H55" i="86"/>
  <c r="E15" i="86"/>
  <c r="G55" i="86"/>
  <c r="F15" i="86"/>
  <c r="G15" i="86"/>
  <c r="D15" i="86"/>
  <c r="H15" i="86"/>
  <c r="I15" i="86"/>
  <c r="O16" i="86"/>
  <c r="E35" i="86"/>
  <c r="F35" i="86"/>
  <c r="C35" i="86"/>
  <c r="D35" i="86"/>
  <c r="M45" i="73"/>
  <c r="D9" i="88"/>
  <c r="E9" i="88" s="1"/>
  <c r="L60" i="75"/>
  <c r="O58" i="75"/>
  <c r="K1137" i="93"/>
  <c r="O105" i="75"/>
  <c r="K43" i="73"/>
  <c r="K46" i="73" s="1"/>
  <c r="O110" i="75"/>
  <c r="D997" i="93"/>
  <c r="E41" i="74"/>
  <c r="M568" i="93"/>
  <c r="M585" i="93" s="1"/>
  <c r="M587" i="93" s="1"/>
  <c r="M589" i="93" s="1"/>
  <c r="D979" i="93"/>
  <c r="E10" i="87"/>
  <c r="D35" i="74"/>
  <c r="D31" i="74"/>
  <c r="D45" i="82"/>
  <c r="E11" i="87"/>
  <c r="E31" i="74"/>
  <c r="E45" i="82"/>
  <c r="E979" i="93"/>
  <c r="E35" i="74"/>
  <c r="I93" i="74"/>
  <c r="I1042" i="93"/>
  <c r="I1049" i="93" s="1"/>
  <c r="G1012" i="93"/>
  <c r="G1020" i="93" s="1"/>
  <c r="G64" i="74"/>
  <c r="K868" i="93"/>
  <c r="K92" i="74"/>
  <c r="K1041" i="93"/>
  <c r="K94" i="74"/>
  <c r="E1011" i="93"/>
  <c r="E1019" i="93" s="1"/>
  <c r="E63" i="74"/>
  <c r="C120" i="74"/>
  <c r="C1069" i="93"/>
  <c r="C122" i="74"/>
  <c r="D63" i="74"/>
  <c r="D1011" i="93"/>
  <c r="D65" i="74"/>
  <c r="D65" i="82"/>
  <c r="H1149" i="93"/>
  <c r="I1149" i="93"/>
  <c r="I1154" i="93" s="1"/>
  <c r="B65" i="82"/>
  <c r="K837" i="93"/>
  <c r="O942" i="93"/>
  <c r="P942" i="93"/>
  <c r="HP805" i="93"/>
  <c r="K849" i="93" s="1"/>
  <c r="F61" i="74"/>
  <c r="F65" i="74"/>
  <c r="E22" i="87"/>
  <c r="F65" i="82"/>
  <c r="F1009" i="93"/>
  <c r="F118" i="74"/>
  <c r="F1067" i="93"/>
  <c r="F122" i="74"/>
  <c r="H93" i="74"/>
  <c r="H1042" i="93"/>
  <c r="H1049" i="93" s="1"/>
  <c r="F1041" i="93"/>
  <c r="F1048" i="93" s="1"/>
  <c r="F92" i="74"/>
  <c r="C1041" i="93"/>
  <c r="C1048" i="93" s="1"/>
  <c r="C92" i="74"/>
  <c r="G1011" i="93"/>
  <c r="G1019" i="93" s="1"/>
  <c r="G63" i="74"/>
  <c r="H63" i="74"/>
  <c r="H1011" i="93"/>
  <c r="H1019" i="93" s="1"/>
  <c r="L117" i="75"/>
  <c r="O115" i="75"/>
  <c r="I55" i="73"/>
  <c r="H55" i="73"/>
  <c r="B65" i="74"/>
  <c r="G989" i="93"/>
  <c r="O821" i="93"/>
  <c r="M1136" i="93"/>
  <c r="F42" i="73"/>
  <c r="F1136" i="93"/>
  <c r="O104" i="75"/>
  <c r="I73" i="82"/>
  <c r="J58" i="74"/>
  <c r="I1014" i="93"/>
  <c r="DC805" i="93"/>
  <c r="N875" i="93" s="1"/>
  <c r="J865" i="93"/>
  <c r="M868" i="93"/>
  <c r="M841" i="93"/>
  <c r="J872" i="93"/>
  <c r="E472" i="93"/>
  <c r="E473" i="93"/>
  <c r="E471" i="93"/>
  <c r="B480" i="93"/>
  <c r="H90" i="74"/>
  <c r="H1039" i="93"/>
  <c r="H94" i="74"/>
  <c r="I90" i="74"/>
  <c r="I1039" i="93"/>
  <c r="I94" i="74"/>
  <c r="G1039" i="93"/>
  <c r="G90" i="74"/>
  <c r="G94" i="74"/>
  <c r="E34" i="74"/>
  <c r="E982" i="93"/>
  <c r="E990" i="93" s="1"/>
  <c r="I1011" i="93"/>
  <c r="I63" i="74"/>
  <c r="I65" i="74"/>
  <c r="I65" i="82"/>
  <c r="I1041" i="93"/>
  <c r="I1048" i="93" s="1"/>
  <c r="I92" i="74"/>
  <c r="C33" i="74"/>
  <c r="C981" i="93"/>
  <c r="C35" i="74"/>
  <c r="C45" i="82"/>
  <c r="B1069" i="93"/>
  <c r="B1076" i="93" s="1"/>
  <c r="B120" i="74"/>
  <c r="B1018" i="93"/>
  <c r="K1144" i="93"/>
  <c r="K50" i="73"/>
  <c r="N42" i="73"/>
  <c r="M42" i="73"/>
  <c r="O818" i="93"/>
  <c r="O814" i="93"/>
  <c r="K815" i="93"/>
  <c r="K863" i="93"/>
  <c r="C36" i="84"/>
  <c r="K26" i="84"/>
  <c r="K33" i="84"/>
  <c r="K29" i="84"/>
  <c r="J18" i="84"/>
  <c r="O857" i="93"/>
  <c r="F969" i="93"/>
  <c r="E970" i="93"/>
  <c r="E971" i="93"/>
  <c r="E975" i="93"/>
  <c r="E977" i="93"/>
  <c r="F1039" i="93"/>
  <c r="F90" i="74"/>
  <c r="E32" i="87"/>
  <c r="F94" i="74"/>
  <c r="G1009" i="93"/>
  <c r="G61" i="74"/>
  <c r="E23" i="87"/>
  <c r="G65" i="74"/>
  <c r="G65" i="82"/>
  <c r="B122" i="74"/>
  <c r="B1067" i="93"/>
  <c r="B118" i="74"/>
  <c r="C1070" i="93"/>
  <c r="C1077" i="93" s="1"/>
  <c r="C121" i="74"/>
  <c r="F34" i="74"/>
  <c r="F982" i="93"/>
  <c r="F990" i="93" s="1"/>
  <c r="I33" i="74"/>
  <c r="I981" i="93"/>
  <c r="I35" i="74"/>
  <c r="I45" i="82"/>
  <c r="J1041" i="93"/>
  <c r="J92" i="74"/>
  <c r="H92" i="74"/>
  <c r="H1041" i="93"/>
  <c r="H1048" i="93" s="1"/>
  <c r="J63" i="74"/>
  <c r="J1011" i="93"/>
  <c r="J1019" i="93" s="1"/>
  <c r="J65" i="74"/>
  <c r="J843" i="93"/>
  <c r="J65" i="82"/>
  <c r="O827" i="93"/>
  <c r="N48" i="73"/>
  <c r="M48" i="73"/>
  <c r="O941" i="93"/>
  <c r="P941" i="93"/>
  <c r="N843" i="93"/>
  <c r="M862" i="93"/>
  <c r="FS805" i="93"/>
  <c r="L859" i="93" s="1"/>
  <c r="L841" i="93" s="1"/>
  <c r="G568" i="93"/>
  <c r="J31" i="74"/>
  <c r="E16" i="87"/>
  <c r="J979" i="93"/>
  <c r="J45" i="82"/>
  <c r="J35" i="74"/>
  <c r="C90" i="74"/>
  <c r="C94" i="74"/>
  <c r="E29" i="87"/>
  <c r="C1039" i="93"/>
  <c r="D64" i="74"/>
  <c r="D1012" i="93"/>
  <c r="D1020" i="93" s="1"/>
  <c r="B1041" i="93"/>
  <c r="B1048" i="93" s="1"/>
  <c r="B92" i="74"/>
  <c r="E1041" i="93"/>
  <c r="E92" i="74"/>
  <c r="F33" i="74"/>
  <c r="F981" i="93"/>
  <c r="F45" i="82"/>
  <c r="F35" i="74"/>
  <c r="F63" i="74"/>
  <c r="F1011" i="93"/>
  <c r="F1019" i="93" s="1"/>
  <c r="H41" i="73"/>
  <c r="F46" i="73"/>
  <c r="I41" i="73"/>
  <c r="O836" i="93"/>
  <c r="J1017" i="93"/>
  <c r="O84" i="75"/>
  <c r="O107" i="75"/>
  <c r="K1159" i="93"/>
  <c r="K65" i="73"/>
  <c r="O846" i="93"/>
  <c r="J867" i="93"/>
  <c r="K862" i="93"/>
  <c r="O852" i="93"/>
  <c r="J861" i="93"/>
  <c r="L229" i="72"/>
  <c r="L1783" i="93" s="1"/>
  <c r="P1743" i="93"/>
  <c r="D972" i="93"/>
  <c r="D978" i="93" s="1"/>
  <c r="B1039" i="93"/>
  <c r="E28" i="87"/>
  <c r="B90" i="74"/>
  <c r="B94" i="74"/>
  <c r="H61" i="74"/>
  <c r="H1009" i="93"/>
  <c r="E24" i="87"/>
  <c r="H65" i="74"/>
  <c r="H65" i="82"/>
  <c r="C1042" i="93"/>
  <c r="C1049" i="93" s="1"/>
  <c r="C93" i="74"/>
  <c r="H33" i="74"/>
  <c r="H981" i="93"/>
  <c r="H45" i="82"/>
  <c r="H35" i="74"/>
  <c r="C63" i="74"/>
  <c r="C1011" i="93"/>
  <c r="C65" i="82"/>
  <c r="C65" i="74"/>
  <c r="G1041" i="93"/>
  <c r="G1048" i="93" s="1"/>
  <c r="G92" i="74"/>
  <c r="B33" i="74"/>
  <c r="B981" i="93"/>
  <c r="B989" i="93" s="1"/>
  <c r="I1135" i="93"/>
  <c r="I1140" i="93" s="1"/>
  <c r="I63" i="66"/>
  <c r="I74" i="93"/>
  <c r="I73" i="93" s="1"/>
  <c r="F1150" i="93"/>
  <c r="F1154" i="93" s="1"/>
  <c r="F56" i="73"/>
  <c r="F60" i="73" s="1"/>
  <c r="H1135" i="93" l="1"/>
  <c r="P943" i="93"/>
  <c r="N841" i="93"/>
  <c r="O865" i="93"/>
  <c r="O835" i="93"/>
  <c r="L876" i="93"/>
  <c r="O831" i="93"/>
  <c r="H63" i="66"/>
  <c r="H62" i="66" s="1"/>
  <c r="H66" i="66" s="1"/>
  <c r="H68" i="66" s="1"/>
  <c r="K874" i="93"/>
  <c r="O109" i="75"/>
  <c r="O871" i="93"/>
  <c r="L863" i="93"/>
  <c r="L48" i="75"/>
  <c r="L49" i="75" s="1"/>
  <c r="I63" i="73"/>
  <c r="N1143" i="93"/>
  <c r="M1143" i="93"/>
  <c r="M876" i="93"/>
  <c r="G19" i="74"/>
  <c r="G20" i="74"/>
  <c r="H13" i="74"/>
  <c r="K55" i="73"/>
  <c r="G991" i="93"/>
  <c r="N49" i="73"/>
  <c r="N53" i="73" s="1"/>
  <c r="H67" i="93"/>
  <c r="F1144" i="93"/>
  <c r="F50" i="73"/>
  <c r="H50" i="73" s="1"/>
  <c r="O861" i="93"/>
  <c r="D12" i="88"/>
  <c r="K843" i="93"/>
  <c r="M49" i="73"/>
  <c r="O847" i="93"/>
  <c r="O843" i="93" s="1"/>
  <c r="O19" i="86"/>
  <c r="O23" i="86" s="1"/>
  <c r="O25" i="86" s="1"/>
  <c r="O31" i="86" s="1"/>
  <c r="O33" i="86" s="1"/>
  <c r="H63" i="86" s="1"/>
  <c r="E13" i="88"/>
  <c r="N874" i="93"/>
  <c r="O856" i="93"/>
  <c r="N62" i="73"/>
  <c r="I50" i="73"/>
  <c r="O837" i="93"/>
  <c r="D986" i="93"/>
  <c r="O848" i="93"/>
  <c r="H57" i="66"/>
  <c r="H7" i="84" s="1"/>
  <c r="H68" i="93"/>
  <c r="N1156" i="93"/>
  <c r="N1161" i="93" s="1"/>
  <c r="M1156" i="93"/>
  <c r="H1146" i="93"/>
  <c r="I1146" i="93"/>
  <c r="I1139" i="93"/>
  <c r="H1139" i="93"/>
  <c r="O845" i="93"/>
  <c r="M1146" i="93"/>
  <c r="N1146" i="93"/>
  <c r="I62" i="66"/>
  <c r="K876" i="93"/>
  <c r="J864" i="93"/>
  <c r="M1151" i="93"/>
  <c r="N1151" i="93"/>
  <c r="O875" i="93"/>
  <c r="K51" i="93"/>
  <c r="F376" i="73"/>
  <c r="F1470" i="93" s="1"/>
  <c r="H15" i="84"/>
  <c r="F18" i="85" s="1"/>
  <c r="T177" i="72"/>
  <c r="T1731" i="93"/>
  <c r="P934" i="93"/>
  <c r="M932" i="93" s="1"/>
  <c r="F1156" i="93"/>
  <c r="F62" i="73"/>
  <c r="I51" i="73"/>
  <c r="H51" i="73"/>
  <c r="N1158" i="93"/>
  <c r="M1158" i="93"/>
  <c r="R16" i="75"/>
  <c r="R773" i="93" s="1"/>
  <c r="R15" i="75"/>
  <c r="R772" i="93" s="1"/>
  <c r="R10" i="75"/>
  <c r="R767" i="93" s="1"/>
  <c r="R17" i="75"/>
  <c r="R774" i="93" s="1"/>
  <c r="R14" i="75"/>
  <c r="R771" i="93" s="1"/>
  <c r="R11" i="75"/>
  <c r="R768" i="93" s="1"/>
  <c r="R19" i="75"/>
  <c r="R776" i="93" s="1"/>
  <c r="R21" i="75"/>
  <c r="R778" i="93" s="1"/>
  <c r="R20" i="75"/>
  <c r="R777" i="93" s="1"/>
  <c r="N867" i="93"/>
  <c r="O867" i="93" s="1"/>
  <c r="N1135" i="93"/>
  <c r="N1140" i="93" s="1"/>
  <c r="M1135" i="93"/>
  <c r="K1150" i="93"/>
  <c r="K56" i="73"/>
  <c r="B4" i="82"/>
  <c r="J1937" i="93"/>
  <c r="I59" i="68"/>
  <c r="I422" i="93"/>
  <c r="G1776" i="93"/>
  <c r="J383" i="72"/>
  <c r="P45" i="73"/>
  <c r="P1139" i="93" s="1"/>
  <c r="G222" i="72"/>
  <c r="J222" i="72" s="1"/>
  <c r="J1776" i="93" s="1"/>
  <c r="C18" i="84"/>
  <c r="K9" i="88"/>
  <c r="K23" i="88" s="1"/>
  <c r="K28" i="88" s="1"/>
  <c r="F39" i="88" s="1"/>
  <c r="O863" i="93"/>
  <c r="M1138" i="93"/>
  <c r="N1138" i="93"/>
  <c r="L394" i="93"/>
  <c r="L395" i="93" s="1"/>
  <c r="L32" i="68"/>
  <c r="N41" i="73"/>
  <c r="M41" i="73"/>
  <c r="H1142" i="93"/>
  <c r="F1147" i="93"/>
  <c r="I1142" i="93"/>
  <c r="I1147" i="93" s="1"/>
  <c r="J819" i="93"/>
  <c r="D992" i="93"/>
  <c r="O834" i="93"/>
  <c r="I48" i="73"/>
  <c r="I53" i="73" s="1"/>
  <c r="H48" i="73"/>
  <c r="F53" i="73"/>
  <c r="K67" i="73"/>
  <c r="M63" i="73"/>
  <c r="N63" i="73"/>
  <c r="I75" i="84"/>
  <c r="I77" i="84" s="1"/>
  <c r="C77" i="84"/>
  <c r="G75" i="84"/>
  <c r="G77" i="84" s="1"/>
  <c r="K75" i="84"/>
  <c r="K77" i="84" s="1"/>
  <c r="E75" i="84"/>
  <c r="E77" i="84" s="1"/>
  <c r="F975" i="93"/>
  <c r="F977" i="93"/>
  <c r="F970" i="93"/>
  <c r="G969" i="93"/>
  <c r="F971" i="93"/>
  <c r="B1074" i="93"/>
  <c r="B1078" i="93"/>
  <c r="P73" i="93"/>
  <c r="P75" i="93" s="1"/>
  <c r="P77" i="93" s="1"/>
  <c r="P82" i="93" s="1"/>
  <c r="P62" i="66"/>
  <c r="P64" i="66" s="1"/>
  <c r="P66" i="66" s="1"/>
  <c r="P71" i="66" s="1"/>
  <c r="F1021" i="93"/>
  <c r="F1017" i="93"/>
  <c r="L1952" i="93"/>
  <c r="L1953" i="93" s="1"/>
  <c r="M1952" i="93" s="1"/>
  <c r="L398" i="72"/>
  <c r="L399" i="72" s="1"/>
  <c r="M398" i="72" s="1"/>
  <c r="O397" i="72" s="1"/>
  <c r="E13" i="84"/>
  <c r="K987" i="93"/>
  <c r="K991" i="93"/>
  <c r="E1074" i="93"/>
  <c r="E1078" i="93"/>
  <c r="D1078" i="93"/>
  <c r="D1074" i="93"/>
  <c r="B987" i="93"/>
  <c r="B991" i="93"/>
  <c r="E972" i="93"/>
  <c r="E992" i="93" s="1"/>
  <c r="M1159" i="93"/>
  <c r="N1159" i="93"/>
  <c r="C1046" i="93"/>
  <c r="C1050" i="93"/>
  <c r="K1019" i="93"/>
  <c r="K1021" i="93"/>
  <c r="M65" i="73"/>
  <c r="N65" i="73"/>
  <c r="E26" i="89"/>
  <c r="E47" i="92"/>
  <c r="K817" i="93"/>
  <c r="O815" i="93"/>
  <c r="B1050" i="93"/>
  <c r="B1046" i="93"/>
  <c r="I989" i="93"/>
  <c r="I991" i="93"/>
  <c r="M50" i="73"/>
  <c r="N50" i="73"/>
  <c r="L119" i="75"/>
  <c r="O119" i="75" s="1"/>
  <c r="J44" i="78" s="1"/>
  <c r="O117" i="75"/>
  <c r="F44" i="78" s="1"/>
  <c r="L62" i="75"/>
  <c r="O60" i="75"/>
  <c r="F1046" i="93"/>
  <c r="F1050" i="93"/>
  <c r="M1144" i="93"/>
  <c r="N1144" i="93"/>
  <c r="K1147" i="93"/>
  <c r="I1050" i="93"/>
  <c r="I1046" i="93"/>
  <c r="H1136" i="93"/>
  <c r="I1136" i="93"/>
  <c r="N876" i="93"/>
  <c r="K866" i="93"/>
  <c r="O866" i="93" s="1"/>
  <c r="O849" i="93"/>
  <c r="F483" i="93"/>
  <c r="F479" i="93"/>
  <c r="G1046" i="93"/>
  <c r="G1050" i="93"/>
  <c r="D1019" i="93"/>
  <c r="D1021" i="93"/>
  <c r="H56" i="73"/>
  <c r="I56" i="73"/>
  <c r="I60" i="73" s="1"/>
  <c r="E100" i="78"/>
  <c r="J100" i="78" s="1"/>
  <c r="E536" i="93"/>
  <c r="J536" i="93" s="1"/>
  <c r="O859" i="93"/>
  <c r="L862" i="93"/>
  <c r="O862" i="93" s="1"/>
  <c r="N55" i="73"/>
  <c r="M55" i="73"/>
  <c r="K60" i="73"/>
  <c r="K69" i="73" s="1"/>
  <c r="B1021" i="93"/>
  <c r="C989" i="93"/>
  <c r="C986" i="93"/>
  <c r="C991" i="93"/>
  <c r="O872" i="93"/>
  <c r="J874" i="93"/>
  <c r="C1076" i="93"/>
  <c r="C1078" i="93"/>
  <c r="M43" i="73"/>
  <c r="N43" i="73"/>
  <c r="N46" i="73" s="1"/>
  <c r="E1021" i="93"/>
  <c r="E1017" i="93"/>
  <c r="I66" i="73"/>
  <c r="H66" i="73"/>
  <c r="D1048" i="93"/>
  <c r="D1050" i="93"/>
  <c r="F989" i="93"/>
  <c r="F991" i="93"/>
  <c r="J1048" i="93"/>
  <c r="J1050" i="93"/>
  <c r="G1017" i="93"/>
  <c r="G1021" i="93"/>
  <c r="F1074" i="93"/>
  <c r="F1078" i="93"/>
  <c r="M1137" i="93"/>
  <c r="N1137" i="93"/>
  <c r="F41" i="74"/>
  <c r="E997" i="93"/>
  <c r="K1161" i="93"/>
  <c r="N1157" i="93"/>
  <c r="M1157" i="93"/>
  <c r="E474" i="93"/>
  <c r="G470" i="93"/>
  <c r="C1019" i="93"/>
  <c r="C1021" i="93"/>
  <c r="L414" i="72"/>
  <c r="P187" i="75"/>
  <c r="P188" i="75" s="1"/>
  <c r="P179" i="75" s="1"/>
  <c r="O187" i="75"/>
  <c r="L1968" i="93"/>
  <c r="P56" i="66"/>
  <c r="O188" i="75"/>
  <c r="P67" i="93"/>
  <c r="E1048" i="93"/>
  <c r="E1050" i="93"/>
  <c r="K1048" i="93"/>
  <c r="K1050" i="93"/>
  <c r="I1150" i="93"/>
  <c r="H1150" i="93"/>
  <c r="J1021" i="93"/>
  <c r="I1019" i="93"/>
  <c r="I1021" i="93"/>
  <c r="J73" i="82"/>
  <c r="K58" i="74"/>
  <c r="J1014" i="93"/>
  <c r="I42" i="73"/>
  <c r="I46" i="73" s="1"/>
  <c r="H42" i="73"/>
  <c r="E987" i="93"/>
  <c r="E991" i="93"/>
  <c r="D987" i="93"/>
  <c r="D991" i="93"/>
  <c r="H1017" i="93"/>
  <c r="H1021" i="93"/>
  <c r="H989" i="93"/>
  <c r="H991" i="93"/>
  <c r="J987" i="93"/>
  <c r="J991" i="93"/>
  <c r="M1149" i="93"/>
  <c r="N1149" i="93"/>
  <c r="N1154" i="93" s="1"/>
  <c r="K1154" i="93"/>
  <c r="K37" i="84"/>
  <c r="K35" i="84"/>
  <c r="C38" i="84"/>
  <c r="C40" i="84"/>
  <c r="H1046" i="93"/>
  <c r="H1050" i="93"/>
  <c r="K1140" i="93"/>
  <c r="B14" i="74"/>
  <c r="H122" i="75"/>
  <c r="B970" i="93"/>
  <c r="K841" i="93"/>
  <c r="O841" i="93" s="1"/>
  <c r="H1160" i="93"/>
  <c r="F1161" i="93"/>
  <c r="I1160" i="93"/>
  <c r="O864" i="93"/>
  <c r="O868" i="93"/>
  <c r="F1163" i="93" l="1"/>
  <c r="K1163" i="93"/>
  <c r="H20" i="74"/>
  <c r="H19" i="74"/>
  <c r="I13" i="74"/>
  <c r="H1144" i="93"/>
  <c r="I1144" i="93"/>
  <c r="J480" i="93"/>
  <c r="M154" i="78"/>
  <c r="M155" i="78" s="1"/>
  <c r="M157" i="78" s="1"/>
  <c r="P50" i="68"/>
  <c r="P51" i="68"/>
  <c r="I60" i="68"/>
  <c r="M1938" i="93"/>
  <c r="M1939" i="93" s="1"/>
  <c r="J1938" i="93"/>
  <c r="D18" i="84"/>
  <c r="K40" i="84"/>
  <c r="M56" i="73"/>
  <c r="N56" i="73"/>
  <c r="N60" i="73" s="1"/>
  <c r="E978" i="93"/>
  <c r="E986" i="93" s="1"/>
  <c r="M1150" i="93"/>
  <c r="N1150" i="93"/>
  <c r="J384" i="72"/>
  <c r="M384" i="72"/>
  <c r="H62" i="73"/>
  <c r="I62" i="73"/>
  <c r="I67" i="73" s="1"/>
  <c r="H69" i="73" s="1"/>
  <c r="F67" i="73"/>
  <c r="F69" i="73" s="1"/>
  <c r="F480" i="93"/>
  <c r="J154" i="78"/>
  <c r="J155" i="78" s="1"/>
  <c r="G15" i="82" s="1"/>
  <c r="G19" i="82" s="1"/>
  <c r="P590" i="93"/>
  <c r="P591" i="93" s="1"/>
  <c r="P593" i="93" s="1"/>
  <c r="H1156" i="93"/>
  <c r="I1156" i="93"/>
  <c r="I1161" i="93" s="1"/>
  <c r="P413" i="93"/>
  <c r="P414" i="93"/>
  <c r="I423" i="93"/>
  <c r="J876" i="93"/>
  <c r="O876" i="93" s="1"/>
  <c r="O874" i="93"/>
  <c r="H969" i="93"/>
  <c r="G970" i="93"/>
  <c r="G971" i="93"/>
  <c r="G975" i="93"/>
  <c r="G977" i="93"/>
  <c r="P154" i="78"/>
  <c r="P155" i="78" s="1"/>
  <c r="P157" i="78" s="1"/>
  <c r="B88" i="74"/>
  <c r="K73" i="82"/>
  <c r="K1014" i="93"/>
  <c r="K18" i="88"/>
  <c r="H16" i="85"/>
  <c r="H9" i="88"/>
  <c r="O62" i="75"/>
  <c r="C81" i="84"/>
  <c r="C80" i="84"/>
  <c r="G570" i="93"/>
  <c r="P43" i="78"/>
  <c r="G134" i="78"/>
  <c r="K13" i="84"/>
  <c r="P157" i="66"/>
  <c r="P168" i="93"/>
  <c r="P167" i="93"/>
  <c r="F43" i="78"/>
  <c r="O168" i="93"/>
  <c r="L49" i="72"/>
  <c r="O157" i="66"/>
  <c r="K52" i="72"/>
  <c r="L52" i="72"/>
  <c r="J1599" i="93"/>
  <c r="K48" i="72"/>
  <c r="P156" i="66"/>
  <c r="J45" i="72"/>
  <c r="L48" i="72"/>
  <c r="K49" i="72"/>
  <c r="O945" i="93"/>
  <c r="P944" i="93"/>
  <c r="P945" i="93" s="1"/>
  <c r="O944" i="93"/>
  <c r="N67" i="73"/>
  <c r="B971" i="93"/>
  <c r="P479" i="93"/>
  <c r="O1951" i="93"/>
  <c r="K819" i="93"/>
  <c r="O819" i="93" s="1"/>
  <c r="O817" i="93"/>
  <c r="J590" i="93"/>
  <c r="J591" i="93" s="1"/>
  <c r="J593" i="93" s="1"/>
  <c r="P180" i="75"/>
  <c r="B977" i="93"/>
  <c r="P936" i="93"/>
  <c r="E172" i="90"/>
  <c r="E173" i="90" s="1"/>
  <c r="M180" i="75"/>
  <c r="B21" i="74"/>
  <c r="P190" i="75"/>
  <c r="C66" i="84"/>
  <c r="F972" i="93"/>
  <c r="F992" i="93"/>
  <c r="F978" i="93"/>
  <c r="F986" i="93" s="1"/>
  <c r="G41" i="74"/>
  <c r="F997" i="93"/>
  <c r="O122" i="75"/>
  <c r="H879" i="93"/>
  <c r="O879" i="93" s="1"/>
  <c r="D14" i="74"/>
  <c r="B15" i="74"/>
  <c r="B16" i="74" s="1"/>
  <c r="F14" i="74"/>
  <c r="C14" i="74"/>
  <c r="C52" i="84"/>
  <c r="H14" i="74"/>
  <c r="E14" i="74"/>
  <c r="G14" i="74"/>
  <c r="I14" i="74"/>
  <c r="M590" i="93"/>
  <c r="M591" i="93" s="1"/>
  <c r="M593" i="93" s="1"/>
  <c r="I19" i="74" l="1"/>
  <c r="I20" i="74"/>
  <c r="J13" i="74"/>
  <c r="P52" i="68"/>
  <c r="J594" i="93"/>
  <c r="J157" i="78"/>
  <c r="J158" i="78" s="1"/>
  <c r="P415" i="93"/>
  <c r="M69" i="73"/>
  <c r="M1163" i="93" s="1"/>
  <c r="C54" i="84"/>
  <c r="J4" i="91"/>
  <c r="B36" i="74"/>
  <c r="B22" i="74"/>
  <c r="K5" i="74"/>
  <c r="K7" i="74"/>
  <c r="B972" i="93"/>
  <c r="B992" i="93" s="1"/>
  <c r="P48" i="72"/>
  <c r="L1602" i="93"/>
  <c r="P49" i="72"/>
  <c r="P1603" i="93" s="1"/>
  <c r="L1603" i="93"/>
  <c r="H977" i="93"/>
  <c r="H970" i="93"/>
  <c r="I969" i="93"/>
  <c r="H971" i="93"/>
  <c r="H975" i="93"/>
  <c r="I66" i="84"/>
  <c r="G66" i="84"/>
  <c r="E66" i="84"/>
  <c r="K66" i="84"/>
  <c r="G997" i="93"/>
  <c r="H41" i="74"/>
  <c r="C88" i="74"/>
  <c r="B1044" i="93"/>
  <c r="E52" i="84"/>
  <c r="G52" i="84"/>
  <c r="I52" i="84"/>
  <c r="K52" i="84"/>
  <c r="F21" i="74"/>
  <c r="G13" i="86" s="1"/>
  <c r="J21" i="74"/>
  <c r="D33" i="86" s="1"/>
  <c r="E21" i="74"/>
  <c r="F13" i="86" s="1"/>
  <c r="G21" i="74"/>
  <c r="H13" i="86" s="1"/>
  <c r="D21" i="74"/>
  <c r="E13" i="86" s="1"/>
  <c r="I21" i="74"/>
  <c r="C33" i="86" s="1"/>
  <c r="H21" i="74"/>
  <c r="I13" i="86" s="1"/>
  <c r="C13" i="86"/>
  <c r="C21" i="74"/>
  <c r="D13" i="86" s="1"/>
  <c r="O48" i="72"/>
  <c r="K1602" i="93"/>
  <c r="J180" i="75"/>
  <c r="M301" i="73"/>
  <c r="F124" i="78"/>
  <c r="P177" i="75"/>
  <c r="M175" i="75" s="1"/>
  <c r="N94" i="93"/>
  <c r="J181" i="75"/>
  <c r="M408" i="72"/>
  <c r="J282" i="72"/>
  <c r="L282" i="72" s="1"/>
  <c r="L397" i="72"/>
  <c r="O1975" i="93"/>
  <c r="O1976" i="93" s="1"/>
  <c r="M1962" i="93"/>
  <c r="O155" i="72"/>
  <c r="D134" i="78"/>
  <c r="E514" i="93"/>
  <c r="O1980" i="93"/>
  <c r="O1981" i="93" s="1"/>
  <c r="C13" i="84"/>
  <c r="J182" i="75"/>
  <c r="E483" i="93"/>
  <c r="J1836" i="93"/>
  <c r="L1836" i="93" s="1"/>
  <c r="P155" i="72"/>
  <c r="N171" i="75"/>
  <c r="L1951" i="93"/>
  <c r="F560" i="93"/>
  <c r="N86" i="66"/>
  <c r="E78" i="78"/>
  <c r="O426" i="72"/>
  <c r="O427" i="72" s="1"/>
  <c r="E47" i="78"/>
  <c r="N83" i="66"/>
  <c r="O176" i="75"/>
  <c r="M305" i="73"/>
  <c r="J43" i="78"/>
  <c r="N172" i="75"/>
  <c r="N97" i="93"/>
  <c r="D570" i="93"/>
  <c r="O421" i="72"/>
  <c r="O422" i="72" s="1"/>
  <c r="J479" i="93"/>
  <c r="P52" i="72"/>
  <c r="L1606" i="93"/>
  <c r="I9" i="88"/>
  <c r="I13" i="88" s="1"/>
  <c r="H12" i="88"/>
  <c r="D34" i="90" s="1"/>
  <c r="N928" i="93"/>
  <c r="N929" i="93"/>
  <c r="J938" i="93"/>
  <c r="J937" i="93"/>
  <c r="O933" i="93"/>
  <c r="J939" i="93"/>
  <c r="P947" i="93"/>
  <c r="M937" i="93"/>
  <c r="P937" i="93"/>
  <c r="O52" i="72"/>
  <c r="K1606" i="93"/>
  <c r="H20" i="84"/>
  <c r="C20" i="84"/>
  <c r="H1163" i="93"/>
  <c r="P63" i="73"/>
  <c r="C15" i="74"/>
  <c r="C16" i="74" s="1"/>
  <c r="D15" i="74"/>
  <c r="D16" i="74" s="1"/>
  <c r="H15" i="74"/>
  <c r="H16" i="74" s="1"/>
  <c r="F15" i="74"/>
  <c r="F16" i="74" s="1"/>
  <c r="F36" i="74" s="1"/>
  <c r="C53" i="84"/>
  <c r="C56" i="84" s="1"/>
  <c r="C64" i="84" s="1"/>
  <c r="C70" i="84" s="1"/>
  <c r="G15" i="74"/>
  <c r="G16" i="74" s="1"/>
  <c r="G22" i="74" s="1"/>
  <c r="E15" i="74"/>
  <c r="I15" i="74"/>
  <c r="I16" i="74" s="1"/>
  <c r="J15" i="74"/>
  <c r="E16" i="74"/>
  <c r="K1603" i="93"/>
  <c r="O49" i="72"/>
  <c r="O1603" i="93" s="1"/>
  <c r="F54" i="89"/>
  <c r="D33" i="90" s="1"/>
  <c r="G972" i="93"/>
  <c r="G992" i="93" s="1"/>
  <c r="E36" i="74" l="1"/>
  <c r="E22" i="74"/>
  <c r="J20" i="74"/>
  <c r="J19" i="74"/>
  <c r="K13" i="74"/>
  <c r="J14" i="74"/>
  <c r="C36" i="74"/>
  <c r="C22" i="74"/>
  <c r="G44" i="82"/>
  <c r="G30" i="74"/>
  <c r="H9" i="86" s="1"/>
  <c r="H36" i="74"/>
  <c r="H22" i="74"/>
  <c r="I971" i="93"/>
  <c r="I975" i="93"/>
  <c r="I977" i="93"/>
  <c r="I970" i="93"/>
  <c r="J969" i="93"/>
  <c r="O1606" i="93"/>
  <c r="O51" i="72"/>
  <c r="O1605" i="93" s="1"/>
  <c r="B978" i="93"/>
  <c r="B986" i="93" s="1"/>
  <c r="I36" i="74"/>
  <c r="B44" i="82"/>
  <c r="B30" i="74"/>
  <c r="G36" i="74"/>
  <c r="G53" i="84"/>
  <c r="G54" i="84" s="1"/>
  <c r="K53" i="84"/>
  <c r="K54" i="84" s="1"/>
  <c r="I53" i="84"/>
  <c r="I54" i="84" s="1"/>
  <c r="E53" i="84"/>
  <c r="E54" i="84" s="1"/>
  <c r="P282" i="72"/>
  <c r="O282" i="72"/>
  <c r="D88" i="74"/>
  <c r="C1044" i="93"/>
  <c r="P1709" i="93"/>
  <c r="P153" i="72"/>
  <c r="P1707" i="93" s="1"/>
  <c r="I22" i="74"/>
  <c r="C72" i="84"/>
  <c r="C76" i="84"/>
  <c r="C73" i="84" s="1"/>
  <c r="K19" i="88"/>
  <c r="H19" i="84"/>
  <c r="F16" i="85"/>
  <c r="F52" i="89"/>
  <c r="D16" i="83"/>
  <c r="C19" i="84"/>
  <c r="P51" i="72"/>
  <c r="P1605" i="93" s="1"/>
  <c r="P1606" i="93"/>
  <c r="F22" i="74"/>
  <c r="H997" i="93"/>
  <c r="I41" i="74"/>
  <c r="G978" i="93"/>
  <c r="G986" i="93" s="1"/>
  <c r="E30" i="74"/>
  <c r="F9" i="86" s="1"/>
  <c r="E44" i="82"/>
  <c r="D55" i="92"/>
  <c r="D35" i="90"/>
  <c r="I64" i="92" s="1"/>
  <c r="P405" i="72"/>
  <c r="O405" i="72"/>
  <c r="C30" i="74"/>
  <c r="D9" i="86" s="1"/>
  <c r="C44" i="82"/>
  <c r="H972" i="93"/>
  <c r="H992" i="93" s="1"/>
  <c r="M1399" i="93"/>
  <c r="L1399" i="93" s="1"/>
  <c r="L305" i="73"/>
  <c r="J16" i="74"/>
  <c r="J36" i="74" s="1"/>
  <c r="D36" i="74"/>
  <c r="O1709" i="93"/>
  <c r="O153" i="72"/>
  <c r="O1602" i="93"/>
  <c r="O47" i="72"/>
  <c r="D22" i="74"/>
  <c r="K13" i="88"/>
  <c r="P1157" i="93"/>
  <c r="J162" i="78"/>
  <c r="J163" i="78" s="1"/>
  <c r="J598" i="93"/>
  <c r="M1395" i="93"/>
  <c r="L1395" i="93" s="1"/>
  <c r="L301" i="73"/>
  <c r="P1602" i="93"/>
  <c r="P47" i="72"/>
  <c r="K19" i="74" l="1"/>
  <c r="B43" i="74"/>
  <c r="K14" i="74"/>
  <c r="K20" i="74"/>
  <c r="K36" i="74" s="1"/>
  <c r="K21" i="74"/>
  <c r="E33" i="86" s="1"/>
  <c r="K15" i="74"/>
  <c r="K16" i="74" s="1"/>
  <c r="G56" i="84"/>
  <c r="G64" i="84" s="1"/>
  <c r="G70" i="84" s="1"/>
  <c r="G76" i="84" s="1"/>
  <c r="G73" i="84" s="1"/>
  <c r="O1959" i="93"/>
  <c r="O396" i="72"/>
  <c r="J41" i="74"/>
  <c r="I997" i="93"/>
  <c r="H978" i="93"/>
  <c r="H986" i="93" s="1"/>
  <c r="J22" i="74"/>
  <c r="P396" i="72"/>
  <c r="P1950" i="93" s="1"/>
  <c r="P1959" i="93"/>
  <c r="F44" i="82"/>
  <c r="F30" i="74"/>
  <c r="G9" i="86" s="1"/>
  <c r="P43" i="72"/>
  <c r="P1601" i="93"/>
  <c r="D44" i="82"/>
  <c r="D30" i="74"/>
  <c r="E9" i="86" s="1"/>
  <c r="F17" i="86"/>
  <c r="F18" i="86" s="1"/>
  <c r="F20" i="86" s="1"/>
  <c r="F24" i="86" s="1"/>
  <c r="K9" i="86" s="1"/>
  <c r="K56" i="84"/>
  <c r="K64" i="84" s="1"/>
  <c r="K70" i="84" s="1"/>
  <c r="I56" i="84"/>
  <c r="I64" i="84" s="1"/>
  <c r="I70" i="84" s="1"/>
  <c r="S22" i="74"/>
  <c r="C9" i="86"/>
  <c r="S20" i="74"/>
  <c r="S19" i="74"/>
  <c r="S21" i="74"/>
  <c r="I972" i="93"/>
  <c r="I978" i="93" s="1"/>
  <c r="I986" i="93" s="1"/>
  <c r="I992" i="93"/>
  <c r="H17" i="86"/>
  <c r="H18" i="86" s="1"/>
  <c r="H20" i="86" s="1"/>
  <c r="H24" i="86" s="1"/>
  <c r="K11" i="86" s="1"/>
  <c r="P1836" i="93"/>
  <c r="P270" i="72"/>
  <c r="P1824" i="93" s="1"/>
  <c r="H44" i="82"/>
  <c r="H30" i="74"/>
  <c r="I9" i="86" s="1"/>
  <c r="O1601" i="93"/>
  <c r="O43" i="72"/>
  <c r="E51" i="82"/>
  <c r="E46" i="82"/>
  <c r="I39" i="88"/>
  <c r="K38" i="88" s="1"/>
  <c r="K21" i="88"/>
  <c r="K30" i="88" s="1"/>
  <c r="K34" i="88" s="1"/>
  <c r="O1707" i="93"/>
  <c r="E32" i="72"/>
  <c r="E1586" i="93" s="1"/>
  <c r="J971" i="93"/>
  <c r="J977" i="93"/>
  <c r="K969" i="93"/>
  <c r="J975" i="93"/>
  <c r="J970" i="93"/>
  <c r="J165" i="78"/>
  <c r="J167" i="78" s="1"/>
  <c r="J599" i="93"/>
  <c r="G162" i="78"/>
  <c r="C51" i="82"/>
  <c r="C46" i="82"/>
  <c r="E56" i="84"/>
  <c r="E64" i="84" s="1"/>
  <c r="E70" i="84" s="1"/>
  <c r="E88" i="74"/>
  <c r="D1044" i="93"/>
  <c r="D17" i="86"/>
  <c r="D18" i="86" s="1"/>
  <c r="D20" i="86" s="1"/>
  <c r="D24" i="86" s="1"/>
  <c r="K7" i="86" s="1"/>
  <c r="I30" i="74"/>
  <c r="C29" i="86" s="1"/>
  <c r="I44" i="82"/>
  <c r="O1836" i="93"/>
  <c r="O270" i="72"/>
  <c r="O1824" i="93" s="1"/>
  <c r="B51" i="82"/>
  <c r="B46" i="82"/>
  <c r="G51" i="82"/>
  <c r="G46" i="82"/>
  <c r="S23" i="74" l="1"/>
  <c r="K22" i="74"/>
  <c r="G72" i="84"/>
  <c r="B44" i="74"/>
  <c r="B49" i="74"/>
  <c r="C43" i="74"/>
  <c r="B45" i="74"/>
  <c r="B46" i="74" s="1"/>
  <c r="B51" i="74"/>
  <c r="F33" i="86" s="1"/>
  <c r="B50" i="74"/>
  <c r="S24" i="74"/>
  <c r="C37" i="86"/>
  <c r="C38" i="86" s="1"/>
  <c r="C40" i="86" s="1"/>
  <c r="C44" i="86" s="1"/>
  <c r="K13" i="86" s="1"/>
  <c r="I17" i="86"/>
  <c r="I18" i="86" s="1"/>
  <c r="I20" i="86" s="1"/>
  <c r="I24" i="86" s="1"/>
  <c r="K12" i="86" s="1"/>
  <c r="F51" i="82"/>
  <c r="F46" i="82"/>
  <c r="G598" i="93"/>
  <c r="J601" i="93"/>
  <c r="J603" i="93" s="1"/>
  <c r="J605" i="93" s="1"/>
  <c r="J607" i="93" s="1"/>
  <c r="I72" i="84"/>
  <c r="I76" i="84"/>
  <c r="I73" i="84" s="1"/>
  <c r="J169" i="78"/>
  <c r="J171" i="78" s="1"/>
  <c r="B15" i="82"/>
  <c r="K72" i="84"/>
  <c r="K76" i="84"/>
  <c r="K73" i="84" s="1"/>
  <c r="D46" i="82"/>
  <c r="D51" i="82"/>
  <c r="F88" i="74"/>
  <c r="E1044" i="93"/>
  <c r="P441" i="72"/>
  <c r="P1597" i="93"/>
  <c r="P1995" i="93" s="1"/>
  <c r="J30" i="74"/>
  <c r="D29" i="86" s="1"/>
  <c r="J44" i="82"/>
  <c r="E76" i="84"/>
  <c r="E73" i="84" s="1"/>
  <c r="E72" i="84"/>
  <c r="R43" i="72"/>
  <c r="O441" i="72"/>
  <c r="O1597" i="93"/>
  <c r="O1950" i="93"/>
  <c r="E40" i="72"/>
  <c r="E1594" i="93" s="1"/>
  <c r="H51" i="82"/>
  <c r="H46" i="82"/>
  <c r="S26" i="74"/>
  <c r="J972" i="93"/>
  <c r="J992" i="93" s="1"/>
  <c r="K971" i="93"/>
  <c r="K975" i="93"/>
  <c r="K977" i="93"/>
  <c r="B999" i="93"/>
  <c r="K970" i="93"/>
  <c r="J997" i="93"/>
  <c r="K41" i="74"/>
  <c r="S25" i="74"/>
  <c r="I51" i="82"/>
  <c r="I46" i="82"/>
  <c r="C17" i="86"/>
  <c r="C18" i="86" s="1"/>
  <c r="C20" i="86" s="1"/>
  <c r="C24" i="86" s="1"/>
  <c r="K6" i="86" s="1"/>
  <c r="G66" i="86" s="1"/>
  <c r="N85" i="85" s="1"/>
  <c r="E17" i="86"/>
  <c r="E18" i="86" s="1"/>
  <c r="E20" i="86" s="1"/>
  <c r="E24" i="86" s="1"/>
  <c r="K8" i="86" s="1"/>
  <c r="G17" i="86"/>
  <c r="G18" i="86" s="1"/>
  <c r="G20" i="86"/>
  <c r="G24" i="86" s="1"/>
  <c r="K10" i="86" s="1"/>
  <c r="B52" i="74" l="1"/>
  <c r="K30" i="74"/>
  <c r="E29" i="86" s="1"/>
  <c r="K44" i="82"/>
  <c r="C51" i="74"/>
  <c r="G33" i="86" s="1"/>
  <c r="C45" i="74"/>
  <c r="C44" i="74"/>
  <c r="C50" i="74"/>
  <c r="C49" i="74"/>
  <c r="D43" i="74"/>
  <c r="B66" i="74"/>
  <c r="O6" i="72"/>
  <c r="R1995" i="93"/>
  <c r="M609" i="93"/>
  <c r="J611" i="93"/>
  <c r="E535" i="93" s="1"/>
  <c r="J535" i="93" s="1"/>
  <c r="D37" i="86"/>
  <c r="D38" i="86" s="1"/>
  <c r="D40" i="86" s="1"/>
  <c r="D44" i="86" s="1"/>
  <c r="K14" i="86" s="1"/>
  <c r="S27" i="74"/>
  <c r="K972" i="93"/>
  <c r="K992" i="93" s="1"/>
  <c r="G88" i="74"/>
  <c r="F1044" i="93"/>
  <c r="K997" i="93"/>
  <c r="B71" i="74"/>
  <c r="P1560" i="93"/>
  <c r="P1998" i="93"/>
  <c r="P444" i="72"/>
  <c r="P6" i="72"/>
  <c r="S28" i="74"/>
  <c r="B1007" i="93"/>
  <c r="B1000" i="93"/>
  <c r="C999" i="93"/>
  <c r="B1001" i="93"/>
  <c r="B1005" i="93"/>
  <c r="M173" i="78"/>
  <c r="J175" i="78"/>
  <c r="J978" i="93"/>
  <c r="J986" i="93" s="1"/>
  <c r="R1597" i="93"/>
  <c r="O1995" i="93"/>
  <c r="O1560" i="93" s="1"/>
  <c r="J51" i="82"/>
  <c r="J46" i="82"/>
  <c r="C66" i="74" l="1"/>
  <c r="C46" i="74"/>
  <c r="C52" i="74" s="1"/>
  <c r="K51" i="82"/>
  <c r="K46" i="82"/>
  <c r="B25" i="82" s="1"/>
  <c r="E37" i="86"/>
  <c r="E38" i="86" s="1"/>
  <c r="E40" i="86"/>
  <c r="E44" i="86" s="1"/>
  <c r="K15" i="86" s="1"/>
  <c r="D51" i="74"/>
  <c r="H33" i="86" s="1"/>
  <c r="D50" i="74"/>
  <c r="D49" i="74"/>
  <c r="D44" i="74"/>
  <c r="E43" i="74"/>
  <c r="D45" i="74"/>
  <c r="B60" i="74"/>
  <c r="B64" i="82"/>
  <c r="K978" i="93"/>
  <c r="K986" i="93" s="1"/>
  <c r="B1027" i="93"/>
  <c r="C71" i="74"/>
  <c r="E99" i="78"/>
  <c r="J99" i="78" s="1"/>
  <c r="I9" i="66"/>
  <c r="M61" i="85"/>
  <c r="P61" i="85" s="1"/>
  <c r="L412" i="93"/>
  <c r="N412" i="93" s="1"/>
  <c r="C21" i="86"/>
  <c r="L49" i="68"/>
  <c r="L413" i="93"/>
  <c r="N413" i="93" s="1"/>
  <c r="I20" i="93"/>
  <c r="L50" i="68"/>
  <c r="N50" i="68" s="1"/>
  <c r="C1007" i="93"/>
  <c r="C1000" i="93"/>
  <c r="C1001" i="93"/>
  <c r="C1005" i="93"/>
  <c r="D999" i="93"/>
  <c r="B1002" i="93"/>
  <c r="B1008" i="93" s="1"/>
  <c r="B1016" i="93" s="1"/>
  <c r="G1044" i="93"/>
  <c r="H88" i="74"/>
  <c r="G52" i="82" l="1"/>
  <c r="G54" i="82" s="1"/>
  <c r="E72" i="82"/>
  <c r="H72" i="82"/>
  <c r="K52" i="82"/>
  <c r="K54" i="82" s="1"/>
  <c r="B26" i="82"/>
  <c r="C72" i="82"/>
  <c r="F52" i="82"/>
  <c r="F54" i="82" s="1"/>
  <c r="F55" i="82" s="1"/>
  <c r="F56" i="82" s="1"/>
  <c r="J72" i="82"/>
  <c r="G72" i="82"/>
  <c r="B72" i="82"/>
  <c r="F72" i="82"/>
  <c r="C52" i="82"/>
  <c r="C54" i="82" s="1"/>
  <c r="C56" i="82" s="1"/>
  <c r="B52" i="82"/>
  <c r="B54" i="82" s="1"/>
  <c r="D72" i="82"/>
  <c r="J52" i="82"/>
  <c r="J54" i="82" s="1"/>
  <c r="J55" i="82" s="1"/>
  <c r="J56" i="82" s="1"/>
  <c r="E52" i="82"/>
  <c r="E54" i="82" s="1"/>
  <c r="E56" i="82" s="1"/>
  <c r="I72" i="82"/>
  <c r="H52" i="82"/>
  <c r="H54" i="82" s="1"/>
  <c r="I52" i="82"/>
  <c r="I54" i="82" s="1"/>
  <c r="D52" i="82"/>
  <c r="D54" i="82" s="1"/>
  <c r="D55" i="82" s="1"/>
  <c r="D56" i="82" s="1"/>
  <c r="K72" i="82"/>
  <c r="F29" i="86"/>
  <c r="F37" i="86" s="1"/>
  <c r="F38" i="86" s="1"/>
  <c r="F40" i="86" s="1"/>
  <c r="F44" i="86" s="1"/>
  <c r="K16" i="86" s="1"/>
  <c r="S29" i="74"/>
  <c r="E51" i="74"/>
  <c r="I33" i="86" s="1"/>
  <c r="F43" i="74"/>
  <c r="E45" i="74"/>
  <c r="E50" i="74"/>
  <c r="E49" i="74"/>
  <c r="E44" i="74"/>
  <c r="E46" i="74" s="1"/>
  <c r="E52" i="74" s="1"/>
  <c r="D46" i="74"/>
  <c r="D66" i="74" s="1"/>
  <c r="D52" i="74"/>
  <c r="B71" i="82"/>
  <c r="B66" i="82"/>
  <c r="C64" i="82"/>
  <c r="C60" i="74"/>
  <c r="B14" i="82"/>
  <c r="N49" i="68"/>
  <c r="G55" i="82"/>
  <c r="G56" i="82"/>
  <c r="D1007" i="93"/>
  <c r="D1001" i="93"/>
  <c r="D1000" i="93"/>
  <c r="E999" i="93"/>
  <c r="D1005" i="93"/>
  <c r="D21" i="86"/>
  <c r="C22" i="86"/>
  <c r="C42" i="86" s="1"/>
  <c r="D42" i="86" s="1"/>
  <c r="E42" i="86" s="1"/>
  <c r="C41" i="86"/>
  <c r="D41" i="86" s="1"/>
  <c r="E41" i="86" s="1"/>
  <c r="E55" i="82"/>
  <c r="H55" i="82"/>
  <c r="H56" i="82" s="1"/>
  <c r="I55" i="82"/>
  <c r="I56" i="82" s="1"/>
  <c r="C1002" i="93"/>
  <c r="C1022" i="93" s="1"/>
  <c r="B55" i="82"/>
  <c r="B56" i="82" s="1"/>
  <c r="C55" i="82"/>
  <c r="B1022" i="93"/>
  <c r="H1044" i="93"/>
  <c r="I88" i="74"/>
  <c r="C1027" i="93"/>
  <c r="D71" i="74"/>
  <c r="B28" i="82"/>
  <c r="B29"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K55" i="82"/>
  <c r="K56" i="82" s="1"/>
  <c r="D60" i="74" l="1"/>
  <c r="D64" i="82"/>
  <c r="E64" i="82"/>
  <c r="E60" i="74"/>
  <c r="I29" i="86" s="1"/>
  <c r="I37" i="86" s="1"/>
  <c r="I38" i="86" s="1"/>
  <c r="I40" i="86" s="1"/>
  <c r="I44" i="86" s="1"/>
  <c r="K19" i="86" s="1"/>
  <c r="G29" i="86"/>
  <c r="G37" i="86" s="1"/>
  <c r="G38" i="86" s="1"/>
  <c r="G40" i="86" s="1"/>
  <c r="G44" i="86" s="1"/>
  <c r="K17" i="86" s="1"/>
  <c r="S30" i="74"/>
  <c r="E66" i="74"/>
  <c r="C71" i="82"/>
  <c r="C74" i="82" s="1"/>
  <c r="C66" i="82"/>
  <c r="B74" i="82"/>
  <c r="B75" i="82" s="1"/>
  <c r="B76" i="82" s="1"/>
  <c r="S31" i="74"/>
  <c r="G43" i="74"/>
  <c r="F50" i="74"/>
  <c r="F45" i="74"/>
  <c r="F51" i="74"/>
  <c r="C53" i="86" s="1"/>
  <c r="F49" i="74"/>
  <c r="F44" i="74"/>
  <c r="D1027" i="93"/>
  <c r="E71" i="74"/>
  <c r="C1008" i="93"/>
  <c r="C1016" i="93" s="1"/>
  <c r="D22" i="86"/>
  <c r="E21" i="86"/>
  <c r="F999" i="93"/>
  <c r="E1000" i="93"/>
  <c r="E1005" i="93"/>
  <c r="E1007" i="93"/>
  <c r="E1001" i="93"/>
  <c r="D1002" i="93"/>
  <c r="D1022" i="93" s="1"/>
  <c r="J88" i="74"/>
  <c r="I1044" i="93"/>
  <c r="G20" i="82"/>
  <c r="G21" i="82" s="1"/>
  <c r="B20" i="82"/>
  <c r="B21" i="82" s="1"/>
  <c r="C75" i="82" l="1"/>
  <c r="C76" i="82"/>
  <c r="G50" i="74"/>
  <c r="H43" i="74"/>
  <c r="G51" i="74"/>
  <c r="D53" i="86" s="1"/>
  <c r="D57" i="86" s="1"/>
  <c r="D58" i="86" s="1"/>
  <c r="D60" i="86" s="1"/>
  <c r="D64" i="86" s="1"/>
  <c r="K21" i="86" s="1"/>
  <c r="G49" i="74"/>
  <c r="G44" i="74"/>
  <c r="G45" i="74"/>
  <c r="E71" i="82"/>
  <c r="E74" i="82" s="1"/>
  <c r="E66" i="82"/>
  <c r="D71" i="82"/>
  <c r="D74" i="82" s="1"/>
  <c r="D66" i="82"/>
  <c r="F46" i="74"/>
  <c r="F52" i="74" s="1"/>
  <c r="S32" i="74"/>
  <c r="H29" i="86"/>
  <c r="H37" i="86" s="1"/>
  <c r="H38" i="86" s="1"/>
  <c r="H40" i="86" s="1"/>
  <c r="H44" i="86" s="1"/>
  <c r="K18" i="86" s="1"/>
  <c r="K88" i="74"/>
  <c r="J1044" i="93"/>
  <c r="E1027" i="93"/>
  <c r="F71" i="74"/>
  <c r="F21" i="86"/>
  <c r="E22" i="86"/>
  <c r="F1000" i="93"/>
  <c r="G999" i="93"/>
  <c r="F1001" i="93"/>
  <c r="F1007" i="93"/>
  <c r="F1005" i="93"/>
  <c r="E1002" i="93"/>
  <c r="E1022" i="93" s="1"/>
  <c r="E1008" i="93"/>
  <c r="E1016" i="93" s="1"/>
  <c r="D1008" i="93"/>
  <c r="D1016" i="93" s="1"/>
  <c r="G46" i="74" l="1"/>
  <c r="G52" i="74" s="1"/>
  <c r="F60" i="74"/>
  <c r="F64" i="82"/>
  <c r="D75" i="82"/>
  <c r="D76" i="82" s="1"/>
  <c r="H45" i="74"/>
  <c r="H50" i="74"/>
  <c r="H44" i="74"/>
  <c r="I43" i="74"/>
  <c r="H49" i="74"/>
  <c r="H51" i="74"/>
  <c r="E53" i="86" s="1"/>
  <c r="E57" i="86" s="1"/>
  <c r="E58" i="86" s="1"/>
  <c r="E60" i="86" s="1"/>
  <c r="E64" i="86" s="1"/>
  <c r="K22" i="86" s="1"/>
  <c r="G66" i="74"/>
  <c r="F66" i="74"/>
  <c r="E75" i="82"/>
  <c r="E76" i="82" s="1"/>
  <c r="F1027" i="93"/>
  <c r="G71" i="74"/>
  <c r="G1027" i="93" s="1"/>
  <c r="G21" i="86"/>
  <c r="F22" i="86"/>
  <c r="H999" i="93"/>
  <c r="G1005" i="93"/>
  <c r="G1000" i="93"/>
  <c r="G1001" i="93"/>
  <c r="G1007" i="93"/>
  <c r="F1002" i="93"/>
  <c r="F1008" i="93"/>
  <c r="F1016" i="93" s="1"/>
  <c r="F1022" i="93"/>
  <c r="B116" i="74"/>
  <c r="K1044" i="93"/>
  <c r="H52" i="74" l="1"/>
  <c r="H46" i="74"/>
  <c r="H66" i="74" s="1"/>
  <c r="F66" i="82"/>
  <c r="F71" i="82"/>
  <c r="F74" i="82" s="1"/>
  <c r="F75" i="82" s="1"/>
  <c r="F76" i="82" s="1"/>
  <c r="C49" i="86"/>
  <c r="C57" i="86" s="1"/>
  <c r="C58" i="86" s="1"/>
  <c r="C60" i="86" s="1"/>
  <c r="C64" i="86" s="1"/>
  <c r="K20" i="86" s="1"/>
  <c r="S33" i="74"/>
  <c r="F44" i="68" s="1"/>
  <c r="S34" i="74"/>
  <c r="I45" i="74"/>
  <c r="J43" i="74"/>
  <c r="I51" i="74"/>
  <c r="F53" i="86" s="1"/>
  <c r="F57" i="86" s="1"/>
  <c r="F58" i="86" s="1"/>
  <c r="F60" i="86" s="1"/>
  <c r="F64" i="86" s="1"/>
  <c r="K23" i="86" s="1"/>
  <c r="I50" i="74"/>
  <c r="I49" i="74"/>
  <c r="I44" i="74"/>
  <c r="G64" i="82"/>
  <c r="G60" i="74"/>
  <c r="G1002" i="93"/>
  <c r="G1022" i="93" s="1"/>
  <c r="H1007" i="93"/>
  <c r="H1005" i="93"/>
  <c r="H1000" i="93"/>
  <c r="I999" i="93"/>
  <c r="H1001" i="93"/>
  <c r="B1072" i="93"/>
  <c r="C116" i="74"/>
  <c r="H21" i="86"/>
  <c r="G22" i="86"/>
  <c r="I45" i="68" l="1"/>
  <c r="F407" i="93"/>
  <c r="I46" i="74"/>
  <c r="I66" i="74" s="1"/>
  <c r="G66" i="82"/>
  <c r="G71" i="82"/>
  <c r="G74" i="82" s="1"/>
  <c r="G75" i="82" s="1"/>
  <c r="G76" i="82" s="1"/>
  <c r="J50" i="74"/>
  <c r="J49" i="74"/>
  <c r="J51" i="74"/>
  <c r="G53" i="86" s="1"/>
  <c r="G57" i="86" s="1"/>
  <c r="G58" i="86" s="1"/>
  <c r="G60" i="86" s="1"/>
  <c r="G64" i="86" s="1"/>
  <c r="K24" i="86" s="1"/>
  <c r="J44" i="74"/>
  <c r="K43" i="74"/>
  <c r="J45" i="74"/>
  <c r="H64" i="82"/>
  <c r="H60" i="74"/>
  <c r="S35" i="74" s="1"/>
  <c r="G1008" i="93"/>
  <c r="G1016" i="93" s="1"/>
  <c r="C1072" i="93"/>
  <c r="D116" i="74"/>
  <c r="I1007" i="93"/>
  <c r="J999" i="93"/>
  <c r="I1000" i="93"/>
  <c r="I1005" i="93"/>
  <c r="I1001" i="93"/>
  <c r="H1002" i="93"/>
  <c r="H1008" i="93" s="1"/>
  <c r="H1016" i="93" s="1"/>
  <c r="H1022" i="93"/>
  <c r="H22" i="86"/>
  <c r="I21" i="86"/>
  <c r="I22" i="86" s="1"/>
  <c r="H71" i="82" l="1"/>
  <c r="H74" i="82" s="1"/>
  <c r="H75" i="82" s="1"/>
  <c r="H76" i="82" s="1"/>
  <c r="H66" i="82"/>
  <c r="I52" i="74"/>
  <c r="K50" i="74"/>
  <c r="B73" i="74"/>
  <c r="K44" i="74"/>
  <c r="K45" i="74"/>
  <c r="K49" i="74"/>
  <c r="K51" i="74"/>
  <c r="H53" i="86" s="1"/>
  <c r="H57" i="86" s="1"/>
  <c r="H58" i="86" s="1"/>
  <c r="H60" i="86" s="1"/>
  <c r="H64" i="86" s="1"/>
  <c r="K25" i="86" s="1"/>
  <c r="J46" i="74"/>
  <c r="J66" i="74" s="1"/>
  <c r="I408" i="93"/>
  <c r="F85" i="92"/>
  <c r="F89" i="92" s="1"/>
  <c r="F105" i="92" s="1"/>
  <c r="F45" i="68"/>
  <c r="F408" i="93" s="1"/>
  <c r="D1072" i="93"/>
  <c r="E116" i="74"/>
  <c r="J1001" i="93"/>
  <c r="J1005" i="93"/>
  <c r="J1007" i="93"/>
  <c r="J1000" i="93"/>
  <c r="K999" i="93"/>
  <c r="I1002" i="93"/>
  <c r="I1008" i="93" s="1"/>
  <c r="I1016" i="93" s="1"/>
  <c r="K46" i="74" l="1"/>
  <c r="K52" i="74" s="1"/>
  <c r="B81" i="74"/>
  <c r="B74" i="74"/>
  <c r="B75" i="74"/>
  <c r="B80" i="74"/>
  <c r="C73" i="74"/>
  <c r="B79" i="74"/>
  <c r="K66" i="74"/>
  <c r="J52" i="74"/>
  <c r="I64" i="82"/>
  <c r="I60" i="74"/>
  <c r="I1022" i="93"/>
  <c r="B1029" i="93"/>
  <c r="K1000" i="93"/>
  <c r="K1001" i="93"/>
  <c r="K1005" i="93"/>
  <c r="K1007" i="93"/>
  <c r="J1002" i="93"/>
  <c r="J1008" i="93" s="1"/>
  <c r="J1016" i="93" s="1"/>
  <c r="E1072" i="93"/>
  <c r="F116" i="74"/>
  <c r="F1072" i="93" s="1"/>
  <c r="C79" i="74" l="1"/>
  <c r="D73" i="74"/>
  <c r="C74" i="74"/>
  <c r="C75" i="74"/>
  <c r="C80" i="74"/>
  <c r="C81" i="74"/>
  <c r="S36" i="74"/>
  <c r="S38" i="74"/>
  <c r="B76" i="74"/>
  <c r="B95" i="74" s="1"/>
  <c r="B82" i="74"/>
  <c r="B89" i="74" s="1"/>
  <c r="I71" i="82"/>
  <c r="I74" i="82" s="1"/>
  <c r="I75" i="82" s="1"/>
  <c r="I76" i="82" s="1"/>
  <c r="I66" i="82"/>
  <c r="J64" i="82"/>
  <c r="J60" i="74"/>
  <c r="S37" i="74" s="1"/>
  <c r="K60" i="74"/>
  <c r="K64" i="82"/>
  <c r="K1002" i="93"/>
  <c r="K1008" i="93" s="1"/>
  <c r="K1016" i="93" s="1"/>
  <c r="C1029" i="93"/>
  <c r="B1030" i="93"/>
  <c r="B1031" i="93"/>
  <c r="B1035" i="93"/>
  <c r="B1037" i="93"/>
  <c r="J1022" i="93"/>
  <c r="K66" i="82" l="1"/>
  <c r="K71" i="82"/>
  <c r="K74" i="82" s="1"/>
  <c r="J71" i="82"/>
  <c r="J74" i="82" s="1"/>
  <c r="J66" i="82"/>
  <c r="C76" i="74"/>
  <c r="C95" i="74" s="1"/>
  <c r="C82" i="74"/>
  <c r="C89" i="74" s="1"/>
  <c r="E73" i="74"/>
  <c r="D74" i="74"/>
  <c r="D76" i="74" s="1"/>
  <c r="D75" i="74"/>
  <c r="D81" i="74"/>
  <c r="D79" i="74"/>
  <c r="D80" i="74"/>
  <c r="D95" i="74" s="1"/>
  <c r="B1032" i="93"/>
  <c r="B1051" i="93" s="1"/>
  <c r="C1031" i="93"/>
  <c r="C1035" i="93"/>
  <c r="D1029" i="93"/>
  <c r="C1037" i="93"/>
  <c r="C1030" i="93"/>
  <c r="K1022" i="93"/>
  <c r="E80" i="74" l="1"/>
  <c r="E79" i="74"/>
  <c r="E74" i="74"/>
  <c r="E75" i="74"/>
  <c r="E81" i="74"/>
  <c r="F73" i="74"/>
  <c r="D82" i="74"/>
  <c r="D89" i="74" s="1"/>
  <c r="J75" i="82"/>
  <c r="J76" i="82" s="1"/>
  <c r="K75" i="82"/>
  <c r="K76" i="82"/>
  <c r="D1031" i="93"/>
  <c r="D1035" i="93"/>
  <c r="D1030" i="93"/>
  <c r="D1037" i="93"/>
  <c r="E1029" i="93"/>
  <c r="B1038" i="93"/>
  <c r="B1045" i="93" s="1"/>
  <c r="C1051" i="93"/>
  <c r="C1032" i="93"/>
  <c r="C1038" i="93" s="1"/>
  <c r="C1045" i="93" s="1"/>
  <c r="G73" i="74" l="1"/>
  <c r="F80" i="74"/>
  <c r="F79" i="74"/>
  <c r="F75" i="74"/>
  <c r="F74" i="74"/>
  <c r="F81" i="74"/>
  <c r="E76" i="74"/>
  <c r="E95" i="74" s="1"/>
  <c r="E1037" i="93"/>
  <c r="F1029" i="93"/>
  <c r="E1030" i="93"/>
  <c r="E1031" i="93"/>
  <c r="E1035" i="93"/>
  <c r="D1051" i="93"/>
  <c r="D1038" i="93"/>
  <c r="D1045" i="93" s="1"/>
  <c r="D1032" i="93"/>
  <c r="F76" i="74" l="1"/>
  <c r="F82" i="74" s="1"/>
  <c r="F89" i="74" s="1"/>
  <c r="E82" i="74"/>
  <c r="E89" i="74" s="1"/>
  <c r="F95" i="74"/>
  <c r="G79" i="74"/>
  <c r="G74" i="74"/>
  <c r="G76" i="74" s="1"/>
  <c r="G81" i="74"/>
  <c r="H73" i="74"/>
  <c r="G75" i="74"/>
  <c r="G80" i="74"/>
  <c r="E1032" i="93"/>
  <c r="E1038" i="93" s="1"/>
  <c r="E1045" i="93" s="1"/>
  <c r="F1037" i="93"/>
  <c r="F1030" i="93"/>
  <c r="G1029" i="93"/>
  <c r="F1035" i="93"/>
  <c r="F1031" i="93"/>
  <c r="G82" i="74" l="1"/>
  <c r="G89" i="74" s="1"/>
  <c r="G95" i="74"/>
  <c r="H80" i="74"/>
  <c r="I73" i="74"/>
  <c r="H79" i="74"/>
  <c r="H75" i="74"/>
  <c r="H81" i="74"/>
  <c r="H74" i="74"/>
  <c r="E1051" i="93"/>
  <c r="F1032" i="93"/>
  <c r="F1051" i="93" s="1"/>
  <c r="F1038" i="93"/>
  <c r="F1045" i="93" s="1"/>
  <c r="G1030" i="93"/>
  <c r="G1031" i="93"/>
  <c r="G1035" i="93"/>
  <c r="H1029" i="93"/>
  <c r="G1037" i="93"/>
  <c r="H76" i="74" l="1"/>
  <c r="H82" i="74" s="1"/>
  <c r="H89" i="74" s="1"/>
  <c r="I81" i="74"/>
  <c r="J73" i="74"/>
  <c r="I79" i="74"/>
  <c r="I80" i="74"/>
  <c r="I74" i="74"/>
  <c r="I75" i="74"/>
  <c r="H95" i="74"/>
  <c r="H1035" i="93"/>
  <c r="I1029" i="93"/>
  <c r="H1037" i="93"/>
  <c r="H1030" i="93"/>
  <c r="H1031" i="93"/>
  <c r="G1032" i="93"/>
  <c r="G1051" i="93" s="1"/>
  <c r="J81" i="74" l="1"/>
  <c r="J75" i="74"/>
  <c r="J80" i="74"/>
  <c r="J95" i="74" s="1"/>
  <c r="J74" i="74"/>
  <c r="J76" i="74" s="1"/>
  <c r="K73" i="74"/>
  <c r="J79" i="74"/>
  <c r="G1038" i="93"/>
  <c r="G1045" i="93" s="1"/>
  <c r="I76" i="74"/>
  <c r="I95" i="74" s="1"/>
  <c r="I1030" i="93"/>
  <c r="I1031" i="93"/>
  <c r="I1035" i="93"/>
  <c r="J1029" i="93"/>
  <c r="I1037" i="93"/>
  <c r="H1032" i="93"/>
  <c r="H1038" i="93" s="1"/>
  <c r="H1045" i="93" s="1"/>
  <c r="J82" i="74" l="1"/>
  <c r="J89" i="74" s="1"/>
  <c r="B101" i="74"/>
  <c r="K80" i="74"/>
  <c r="K74" i="74"/>
  <c r="K79" i="74"/>
  <c r="K81" i="74"/>
  <c r="K75" i="74"/>
  <c r="I82" i="74"/>
  <c r="I89" i="74" s="1"/>
  <c r="H1051" i="93"/>
  <c r="J1030" i="93"/>
  <c r="J1031" i="93"/>
  <c r="K1029" i="93"/>
  <c r="J1035" i="93"/>
  <c r="J1037" i="93"/>
  <c r="I1032" i="93"/>
  <c r="I1038" i="93" s="1"/>
  <c r="I1045" i="93" s="1"/>
  <c r="K76" i="74" l="1"/>
  <c r="K95" i="74" s="1"/>
  <c r="B108" i="74"/>
  <c r="B107" i="74"/>
  <c r="B102" i="74"/>
  <c r="C101" i="74"/>
  <c r="B103" i="74"/>
  <c r="B109" i="74"/>
  <c r="B1057" i="93"/>
  <c r="K1037" i="93"/>
  <c r="K1030" i="93"/>
  <c r="K1031" i="93"/>
  <c r="K1035" i="93"/>
  <c r="I1051" i="93"/>
  <c r="J1032" i="93"/>
  <c r="J1038" i="93" s="1"/>
  <c r="J1045" i="93" s="1"/>
  <c r="B104" i="74" l="1"/>
  <c r="B123" i="74" s="1"/>
  <c r="B110" i="74"/>
  <c r="B117" i="74" s="1"/>
  <c r="K82" i="74"/>
  <c r="K89" i="74" s="1"/>
  <c r="C108" i="74"/>
  <c r="D101" i="74"/>
  <c r="C103" i="74"/>
  <c r="C109" i="74"/>
  <c r="C107" i="74"/>
  <c r="C102" i="74"/>
  <c r="J1051" i="93"/>
  <c r="K1032" i="93"/>
  <c r="K1051" i="93" s="1"/>
  <c r="B1059" i="93"/>
  <c r="B1063" i="93"/>
  <c r="B1065" i="93"/>
  <c r="C1057" i="93"/>
  <c r="B1058" i="93"/>
  <c r="D102" i="74" l="1"/>
  <c r="D109" i="74"/>
  <c r="D107" i="74"/>
  <c r="E101" i="74"/>
  <c r="D103" i="74"/>
  <c r="D108" i="74"/>
  <c r="C104" i="74"/>
  <c r="C123" i="74" s="1"/>
  <c r="C110" i="74"/>
  <c r="C117" i="74" s="1"/>
  <c r="K1038" i="93"/>
  <c r="K1045" i="93" s="1"/>
  <c r="B1060" i="93"/>
  <c r="B1066" i="93" s="1"/>
  <c r="B1073" i="93" s="1"/>
  <c r="C1065" i="93"/>
  <c r="D1057" i="93"/>
  <c r="C1058" i="93"/>
  <c r="C1059" i="93"/>
  <c r="C1063" i="93"/>
  <c r="E107" i="74" l="1"/>
  <c r="E103" i="74"/>
  <c r="F101" i="74"/>
  <c r="E102" i="74"/>
  <c r="E104" i="74" s="1"/>
  <c r="E109" i="74"/>
  <c r="E108" i="74"/>
  <c r="E123" i="74" s="1"/>
  <c r="D104" i="74"/>
  <c r="D110" i="74" s="1"/>
  <c r="D117" i="74" s="1"/>
  <c r="D1059" i="93"/>
  <c r="E1057" i="93"/>
  <c r="D1058" i="93"/>
  <c r="D1063" i="93"/>
  <c r="D1065" i="93"/>
  <c r="C1060" i="93"/>
  <c r="C1079" i="93" s="1"/>
  <c r="B1079" i="93"/>
  <c r="E110" i="74" l="1"/>
  <c r="E117" i="74" s="1"/>
  <c r="F109" i="74"/>
  <c r="F107" i="74"/>
  <c r="F102" i="74"/>
  <c r="F103" i="74"/>
  <c r="F108" i="74"/>
  <c r="D123" i="74"/>
  <c r="C1066" i="93"/>
  <c r="C1073" i="93" s="1"/>
  <c r="D1060" i="93"/>
  <c r="D1079" i="93" s="1"/>
  <c r="D1066" i="93"/>
  <c r="D1073" i="93" s="1"/>
  <c r="E1058" i="93"/>
  <c r="E1059" i="93"/>
  <c r="F1057" i="93"/>
  <c r="E1063" i="93"/>
  <c r="E1065" i="93"/>
  <c r="F104" i="74" l="1"/>
  <c r="F123" i="74" s="1"/>
  <c r="F1059" i="93"/>
  <c r="F1065" i="93"/>
  <c r="F1063" i="93"/>
  <c r="F1058" i="93"/>
  <c r="E1060" i="93"/>
  <c r="E1066" i="93" s="1"/>
  <c r="E1073" i="93" s="1"/>
  <c r="E1079" i="93"/>
  <c r="F110" i="74" l="1"/>
  <c r="F117" i="74" s="1"/>
  <c r="F1060" i="93"/>
  <c r="F1079" i="93" s="1"/>
  <c r="F1066" i="93" l="1"/>
  <c r="F1073"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<sst xmlns="http://schemas.openxmlformats.org/spreadsheetml/2006/main" count="13322" uniqueCount="4878">
  <si>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</si>
  <si>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</si>
  <si>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</si>
  <si>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</si>
  <si>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</si>
  <si>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</si>
  <si>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</si>
  <si>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</si>
  <si>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</si>
  <si>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</si>
  <si>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</si>
  <si>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</si>
  <si>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</si>
  <si>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</si>
  <si>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</si>
  <si>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</si>
  <si>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</si>
  <si>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</si>
  <si>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</si>
  <si>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</si>
  <si>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</si>
  <si>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</si>
  <si>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</si>
  <si>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</si>
  <si>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</si>
  <si>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</si>
  <si>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</si>
  <si>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</si>
  <si>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</si>
  <si>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</si>
  <si>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</si>
  <si>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</si>
  <si>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</si>
  <si>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</si>
  <si>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</si>
  <si>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</si>
  <si>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</si>
  <si>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</si>
  <si>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</si>
  <si>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</si>
  <si>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</si>
  <si>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</si>
  <si>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</si>
  <si>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</si>
  <si>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</si>
  <si>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</si>
  <si>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</si>
  <si>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</si>
  <si>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</si>
  <si>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</si>
  <si>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</si>
  <si>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</si>
  <si>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</si>
  <si>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</si>
  <si>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</si>
  <si>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</si>
  <si>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</si>
  <si>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</si>
  <si>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</si>
  <si>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</si>
  <si>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</si>
  <si>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</si>
  <si>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</si>
  <si>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</si>
  <si>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</si>
  <si>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</si>
  <si>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</si>
  <si>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</si>
  <si>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</si>
  <si>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</si>
  <si>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</si>
  <si>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</si>
  <si>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</si>
  <si>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</si>
  <si>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</si>
  <si>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</si>
  <si>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</si>
  <si>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</si>
  <si>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</si>
  <si>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</si>
  <si>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</si>
  <si>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</si>
  <si>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</si>
  <si>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</si>
  <si>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</si>
  <si>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</si>
  <si>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</si>
  <si>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</si>
  <si>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</si>
  <si>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</si>
  <si>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</si>
  <si>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</si>
  <si>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</si>
  <si>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</si>
  <si>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</si>
  <si>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</si>
  <si>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</si>
  <si>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</si>
  <si>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</si>
  <si>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</si>
  <si>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</si>
  <si>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</si>
  <si>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</si>
  <si>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</si>
  <si>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</si>
  <si>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</si>
  <si>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</si>
  <si>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</si>
  <si>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</si>
  <si>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</si>
  <si>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</si>
  <si>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</si>
  <si>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</si>
  <si>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</si>
  <si>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</si>
  <si>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</si>
  <si>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</si>
  <si>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</si>
  <si>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</si>
  <si>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</si>
  <si>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</si>
  <si>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</si>
  <si>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</si>
  <si>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</si>
  <si>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</si>
  <si>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</si>
  <si>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</si>
  <si>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</si>
  <si>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</si>
  <si>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</si>
  <si>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</si>
  <si>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</si>
  <si>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</si>
  <si>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</si>
  <si>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</si>
  <si>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</si>
  <si>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</si>
  <si>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</si>
  <si>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</si>
  <si>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</si>
  <si>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</si>
  <si>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</si>
  <si>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</si>
  <si>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</si>
  <si>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</si>
  <si>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</si>
  <si>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</si>
  <si>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</si>
  <si>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</si>
  <si>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</si>
  <si>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</si>
  <si>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</si>
  <si>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</si>
  <si>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</si>
  <si>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</si>
  <si>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</si>
  <si>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</si>
  <si>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</si>
  <si>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</si>
  <si>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</si>
  <si>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</si>
  <si>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</si>
  <si>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</si>
  <si>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</si>
  <si>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</si>
  <si>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</si>
  <si>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</si>
  <si>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</si>
  <si>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</si>
  <si>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</si>
  <si>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</si>
  <si>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</si>
  <si>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</si>
  <si>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</si>
  <si>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</si>
  <si>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</si>
  <si>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</si>
  <si>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</si>
  <si>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</si>
  <si>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</si>
  <si>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</si>
  <si>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</si>
  <si>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</si>
  <si>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</si>
  <si>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</si>
  <si>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</si>
  <si>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</si>
  <si>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</si>
  <si>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</si>
  <si>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</si>
  <si>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</si>
  <si>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</si>
  <si>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</si>
  <si>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</si>
  <si>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</si>
  <si>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</si>
  <si>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</si>
  <si>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</si>
  <si>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</si>
  <si>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</si>
  <si>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</si>
  <si>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</si>
  <si>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</si>
  <si>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</si>
  <si>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</si>
  <si>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</si>
  <si>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</si>
  <si>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</si>
  <si>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</si>
  <si>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</si>
  <si>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</si>
  <si>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</si>
  <si>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</si>
  <si>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</si>
  <si>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</si>
  <si>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</si>
  <si>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</si>
  <si>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</si>
  <si>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</si>
  <si>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</si>
  <si>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</si>
  <si>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</si>
  <si>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</si>
  <si>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</si>
  <si>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</si>
  <si>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</si>
  <si>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</si>
  <si>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</si>
  <si>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</si>
  <si>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</si>
  <si>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</si>
  <si>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</si>
  <si>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</si>
  <si>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</si>
  <si>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</si>
  <si>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</si>
  <si>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</si>
  <si>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</si>
  <si>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</si>
  <si>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</si>
  <si>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</si>
  <si>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</si>
  <si>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</si>
  <si>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</si>
  <si>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</si>
  <si>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</si>
  <si>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</si>
  <si>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</si>
  <si>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</si>
  <si>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</si>
  <si>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</si>
  <si>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</si>
  <si>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</si>
  <si>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</si>
  <si>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</si>
  <si>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</si>
  <si>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</si>
  <si>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</si>
  <si>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</si>
  <si>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</si>
  <si>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</si>
  <si>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</si>
  <si>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</si>
  <si>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</si>
  <si>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</si>
  <si>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</si>
  <si>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</si>
  <si>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</si>
  <si>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</si>
  <si>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</si>
  <si>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</si>
  <si>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</si>
  <si>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</si>
  <si>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</si>
  <si>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</si>
  <si>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</si>
  <si>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</si>
  <si>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</si>
  <si>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</si>
  <si>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</si>
  <si>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</si>
  <si>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</si>
  <si>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</si>
  <si>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</si>
  <si>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</si>
  <si>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</si>
  <si>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</si>
  <si>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</si>
  <si>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</si>
  <si>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</si>
  <si>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</si>
  <si>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</si>
  <si>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</si>
  <si>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</si>
  <si>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</si>
  <si>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</si>
  <si>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</si>
  <si>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</si>
  <si>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</si>
  <si>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</si>
  <si>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</si>
  <si>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</si>
  <si>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</si>
  <si>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</si>
  <si>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</si>
  <si>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</si>
  <si>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</si>
  <si>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</si>
  <si>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</si>
  <si>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</si>
  <si>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</si>
  <si>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</si>
  <si>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</si>
  <si>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</si>
  <si>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</si>
  <si>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</si>
  <si>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</si>
  <si>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</si>
  <si>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</si>
  <si>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</si>
  <si>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</si>
  <si>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</si>
  <si>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</si>
  <si>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</si>
  <si>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</si>
  <si>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</si>
  <si>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</si>
  <si>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</si>
  <si>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</si>
  <si>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</si>
  <si>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</si>
  <si>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</si>
  <si>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</si>
  <si>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</si>
  <si>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</si>
  <si>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</si>
  <si>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</si>
  <si>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</si>
  <si>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</si>
  <si>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</si>
  <si>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</si>
  <si>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</si>
  <si>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</si>
  <si>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</si>
  <si>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</si>
  <si>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</si>
  <si>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</si>
  <si>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</si>
  <si>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</si>
  <si>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</si>
  <si>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</si>
  <si>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</si>
  <si>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</si>
  <si>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</si>
  <si>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</si>
  <si>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</si>
  <si>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</si>
  <si>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</si>
  <si>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</si>
  <si>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</si>
  <si>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</si>
  <si>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</si>
  <si>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</si>
  <si>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</si>
  <si>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</si>
  <si>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</si>
  <si>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</si>
  <si>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</si>
  <si>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</si>
  <si>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</si>
  <si>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</si>
  <si>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</si>
  <si>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</si>
  <si>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</si>
  <si>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</si>
  <si>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</si>
  <si>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</si>
  <si>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</si>
  <si>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</si>
  <si>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</si>
  <si>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</si>
  <si>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</si>
  <si>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</si>
  <si>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</si>
  <si>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</si>
  <si>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</si>
  <si>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</si>
  <si>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</si>
  <si>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</si>
  <si>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</si>
  <si>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</si>
  <si>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</si>
  <si>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</si>
  <si>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</si>
  <si>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</si>
  <si>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</si>
  <si>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</si>
  <si>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</si>
  <si>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</si>
  <si>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</si>
  <si>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</si>
  <si>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</si>
  <si>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</si>
  <si>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</si>
  <si>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</si>
  <si>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</si>
  <si>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</si>
  <si>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</si>
  <si>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</si>
  <si>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</si>
  <si>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</si>
  <si>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</si>
  <si>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</si>
  <si>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</si>
  <si>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</si>
  <si>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</si>
  <si>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</si>
  <si>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</si>
  <si>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</si>
  <si>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</si>
  <si>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</si>
  <si>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</si>
  <si>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</si>
  <si>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</si>
  <si>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</si>
  <si>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</si>
  <si>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</si>
  <si>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</si>
  <si>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</si>
  <si>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</si>
  <si>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</si>
  <si>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</si>
  <si>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</si>
  <si>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</si>
  <si>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</si>
  <si>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</si>
  <si>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</si>
  <si>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</si>
  <si>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</si>
  <si>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</si>
  <si>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</si>
  <si>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</si>
  <si>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</si>
  <si>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</si>
  <si>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</si>
  <si>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</si>
  <si>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</si>
  <si>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</si>
  <si>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</si>
  <si>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</si>
  <si>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</si>
  <si>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</si>
  <si>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</si>
  <si>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</si>
  <si>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</si>
  <si>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</si>
  <si>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</si>
  <si>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</si>
  <si>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</si>
  <si>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</si>
  <si>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</si>
  <si>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</si>
  <si>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</si>
  <si>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</si>
  <si>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</si>
  <si>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</si>
  <si>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</si>
  <si>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</si>
  <si>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</si>
  <si>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</si>
  <si>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</si>
  <si>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</si>
  <si>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</si>
  <si>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</si>
  <si>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</si>
  <si>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</si>
  <si>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</si>
  <si>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</si>
  <si>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</si>
  <si>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</si>
  <si>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</si>
  <si>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</si>
  <si>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</si>
  <si>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</si>
  <si>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</si>
  <si>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</si>
  <si>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</si>
  <si>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</si>
  <si>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</si>
  <si>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</si>
  <si>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</si>
  <si>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</si>
  <si>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</si>
  <si>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</si>
  <si>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</si>
  <si>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</si>
  <si>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</si>
  <si>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</si>
  <si>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</si>
  <si>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</si>
  <si>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</si>
  <si>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</si>
  <si>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</si>
  <si>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</si>
  <si>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</si>
  <si>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</si>
  <si>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</si>
  <si>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</si>
  <si>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</si>
  <si>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</si>
  <si>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</si>
  <si>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</si>
  <si>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</si>
  <si>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</si>
  <si>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</si>
  <si>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</si>
  <si>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</si>
  <si>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</si>
  <si>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</si>
  <si>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</si>
  <si>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</si>
  <si>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</si>
  <si>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</si>
  <si>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</si>
  <si>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</si>
  <si>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</si>
  <si>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</si>
  <si>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</si>
  <si>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</si>
  <si>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</si>
  <si>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</si>
  <si>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</si>
  <si>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</si>
  <si>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</si>
  <si>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</si>
  <si>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</si>
  <si>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</si>
  <si>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</si>
  <si>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</si>
  <si>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</si>
  <si>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</si>
  <si>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</si>
  <si>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</si>
  <si>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</si>
  <si>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</si>
  <si>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</si>
  <si>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</si>
  <si>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</si>
  <si>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</si>
  <si>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</si>
  <si>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</si>
  <si>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</si>
  <si>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</si>
  <si>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</si>
  <si>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</si>
  <si>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</si>
  <si>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</si>
  <si>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</si>
  <si>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</si>
  <si>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</si>
  <si>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</si>
  <si>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</si>
  <si>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</si>
  <si>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</si>
  <si>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</si>
  <si>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</si>
  <si>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</si>
  <si>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</si>
  <si>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</si>
  <si>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</si>
  <si>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</si>
  <si>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</si>
  <si>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</si>
  <si>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</si>
  <si>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</si>
  <si>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</si>
  <si>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</si>
  <si>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</si>
  <si>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</si>
  <si>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</si>
  <si>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</si>
  <si>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</si>
  <si>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</si>
  <si>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</si>
  <si>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</si>
  <si>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</si>
  <si>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</si>
  <si>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</si>
  <si>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</si>
  <si>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</si>
  <si>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</si>
  <si>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</si>
  <si>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</si>
  <si>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</si>
  <si>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</si>
  <si>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</si>
  <si>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</si>
  <si>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</si>
  <si>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</si>
  <si>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</si>
  <si>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</si>
  <si>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</si>
  <si>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</si>
  <si>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</si>
  <si>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</si>
  <si>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</si>
  <si>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</si>
  <si>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</si>
  <si>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</si>
  <si>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</si>
  <si>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</si>
  <si>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</si>
  <si>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</si>
  <si>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</si>
  <si>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</si>
  <si>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</si>
  <si>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</si>
  <si>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</si>
  <si>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</si>
  <si>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</si>
  <si>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</si>
  <si>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</si>
  <si>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</si>
  <si>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</si>
  <si>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</si>
  <si>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</si>
  <si>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</si>
  <si>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</si>
  <si>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</si>
  <si>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</si>
  <si>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</si>
  <si>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</si>
  <si>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</si>
  <si>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</si>
  <si>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</si>
  <si>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</si>
  <si>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</si>
  <si>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</si>
  <si>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</si>
  <si>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</si>
  <si>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</si>
  <si>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</si>
  <si>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</si>
  <si>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</si>
  <si>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</si>
  <si>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</si>
  <si>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</si>
  <si>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</si>
  <si>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</si>
  <si>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</si>
  <si>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</si>
  <si>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</si>
  <si>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</si>
  <si>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</si>
  <si>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</si>
  <si>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</si>
  <si>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</si>
  <si>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</si>
  <si>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</si>
  <si>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</si>
  <si>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</si>
  <si>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</si>
  <si>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</si>
  <si>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</si>
  <si>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</si>
  <si>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</si>
  <si>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</si>
  <si>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</si>
  <si>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</si>
  <si>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</si>
  <si>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</si>
  <si>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</si>
  <si>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</si>
  <si>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</si>
  <si>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</si>
  <si>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</si>
  <si>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</si>
  <si>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</si>
  <si>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</si>
  <si>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</si>
  <si>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</si>
  <si>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</si>
  <si>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</si>
  <si>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</si>
  <si>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</si>
  <si>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</si>
  <si>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</si>
  <si>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</si>
  <si>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</si>
  <si>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</si>
  <si>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</si>
  <si>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</si>
  <si>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</si>
  <si>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</si>
  <si>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</si>
  <si>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</si>
  <si>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</si>
  <si>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</si>
  <si>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</si>
  <si>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</si>
  <si>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</si>
  <si>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</si>
  <si>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</si>
  <si>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</si>
  <si>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</si>
  <si>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</si>
  <si>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</si>
  <si>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</si>
  <si>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</si>
  <si>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</si>
  <si>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</si>
  <si>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</si>
  <si>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</si>
  <si>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</si>
  <si>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</si>
  <si>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</si>
  <si>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</si>
  <si>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</si>
  <si>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</si>
  <si>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</si>
  <si>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</si>
  <si>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</si>
  <si>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</si>
  <si>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</si>
  <si>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</si>
  <si>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</si>
  <si>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</si>
  <si>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</si>
  <si>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</si>
  <si>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</si>
  <si>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</si>
  <si>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</si>
  <si>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</si>
  <si>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</si>
  <si>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</si>
  <si>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</si>
  <si>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</si>
  <si>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</si>
  <si>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</si>
  <si>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</si>
  <si>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</si>
  <si>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</si>
  <si>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</si>
  <si>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</si>
  <si>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</si>
  <si>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</si>
  <si>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</si>
  <si>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</si>
  <si>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</si>
  <si>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</si>
  <si>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</si>
  <si>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</si>
  <si>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</si>
  <si>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</si>
  <si>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</si>
  <si>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</si>
  <si>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</si>
  <si>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</si>
  <si>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</si>
  <si>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</si>
  <si>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</si>
  <si>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</si>
  <si>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</si>
  <si>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</si>
  <si>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</si>
  <si>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</si>
  <si>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</si>
  <si>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</si>
  <si>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</si>
  <si>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</si>
  <si>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</si>
  <si>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</si>
  <si>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</si>
  <si>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</si>
  <si>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</si>
  <si>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</si>
  <si>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</si>
  <si>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</si>
  <si>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</si>
  <si>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</si>
  <si>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</si>
  <si>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</si>
  <si>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</si>
  <si>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</si>
  <si>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</si>
  <si>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</si>
  <si>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</si>
  <si>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</si>
  <si>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</si>
  <si>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</si>
  <si>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</si>
  <si>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</si>
  <si>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</si>
  <si>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</si>
  <si>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</si>
  <si>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</si>
  <si>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</si>
  <si>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</si>
  <si>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</si>
  <si>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</si>
  <si>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</si>
  <si>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</si>
  <si>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</si>
  <si>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</si>
  <si>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</si>
  <si>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</si>
  <si>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</si>
  <si>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</si>
  <si>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</si>
  <si>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</si>
  <si>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</si>
  <si>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</si>
  <si>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</si>
  <si>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</si>
  <si>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</si>
  <si>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</si>
  <si>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</si>
  <si>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</si>
  <si>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</si>
  <si>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</si>
  <si>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</si>
  <si>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</si>
  <si>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</si>
  <si>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</si>
  <si>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</si>
  <si>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</si>
  <si>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</si>
  <si>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</si>
  <si>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</si>
  <si>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</si>
  <si>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</si>
  <si>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</si>
  <si>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</si>
  <si>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</si>
  <si>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</si>
  <si>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</si>
  <si>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</si>
  <si>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</si>
  <si>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</si>
  <si>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</si>
  <si>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</si>
  <si>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</si>
  <si>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</si>
  <si>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</si>
  <si>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</si>
  <si>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</si>
  <si>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</si>
  <si>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</si>
  <si>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</si>
  <si>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</si>
  <si>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</si>
  <si>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</si>
  <si>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</si>
  <si>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</si>
  <si>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</si>
  <si>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</si>
  <si>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</si>
  <si>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</si>
  <si>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</si>
  <si>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</si>
  <si>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</si>
  <si>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</si>
  <si>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</si>
  <si>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</si>
  <si>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</si>
  <si>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</si>
  <si>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</si>
  <si>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</si>
  <si>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</si>
  <si>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</si>
  <si>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</si>
  <si>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</si>
  <si>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</si>
  <si>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</si>
  <si>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</si>
  <si>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</si>
  <si>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</si>
  <si>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</si>
  <si>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</si>
  <si>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</si>
  <si>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</si>
  <si>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</si>
  <si>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</si>
  <si>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</si>
  <si>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</si>
  <si>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</si>
  <si>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</si>
  <si>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</si>
  <si>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</si>
  <si>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</si>
  <si>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</si>
  <si>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</si>
  <si>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</si>
  <si>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</si>
  <si>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</si>
  <si>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</si>
  <si>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</si>
  <si>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</si>
  <si>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</si>
  <si>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</si>
  <si>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</si>
  <si>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</si>
  <si>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</si>
  <si>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</si>
  <si>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</si>
  <si>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</si>
  <si>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</si>
  <si>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</si>
  <si>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</si>
  <si>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</si>
  <si>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</si>
  <si>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</si>
  <si>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</si>
  <si>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</si>
  <si>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</si>
  <si>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</si>
  <si>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</si>
  <si>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</si>
  <si>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</si>
  <si>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</si>
  <si>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</si>
  <si>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</si>
  <si>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</si>
  <si>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</si>
  <si>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</si>
  <si>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</si>
  <si>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</si>
  <si>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</si>
  <si>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</si>
  <si>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</si>
  <si>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</si>
  <si>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</si>
  <si>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</si>
  <si>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</si>
  <si>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</si>
  <si>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</si>
  <si>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</si>
  <si>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</si>
  <si>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</si>
  <si>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</si>
  <si>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</si>
  <si>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</si>
  <si>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</si>
  <si>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</si>
  <si>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</si>
  <si>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</si>
  <si>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</si>
  <si>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</si>
  <si>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</si>
  <si>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</si>
  <si>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</si>
  <si>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</si>
  <si>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</si>
  <si>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</si>
  <si>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</si>
  <si>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</si>
  <si>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</si>
  <si>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</si>
  <si>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</si>
  <si>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</si>
  <si>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</si>
  <si>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</si>
  <si>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</si>
  <si>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</si>
  <si>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</si>
  <si>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</si>
  <si>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</si>
  <si>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</si>
  <si>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</si>
  <si>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</si>
  <si>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</si>
  <si>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</si>
  <si>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</si>
  <si>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</si>
  <si>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</si>
  <si>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</si>
  <si>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</si>
  <si>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</si>
  <si>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</si>
  <si>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</si>
  <si>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</si>
  <si>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</si>
  <si>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</si>
  <si>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</si>
  <si>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</si>
  <si>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</si>
  <si>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</si>
  <si>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</si>
  <si>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</si>
  <si>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</si>
  <si>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</si>
  <si>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</si>
  <si>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</si>
  <si>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</si>
  <si>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</si>
  <si>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</si>
  <si>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</si>
  <si>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</si>
  <si>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</si>
  <si>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</si>
  <si>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</si>
  <si>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</si>
  <si>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</si>
  <si>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</si>
  <si>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</si>
  <si>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</si>
  <si>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</si>
  <si>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</si>
  <si>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</si>
  <si>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</si>
  <si>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</si>
  <si>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</si>
  <si>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</si>
  <si>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</si>
  <si>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</si>
  <si>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</si>
  <si>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</si>
  <si>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</si>
  <si>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</si>
  <si>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</si>
  <si>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</si>
  <si>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</si>
  <si>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</si>
  <si>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</si>
  <si>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</si>
  <si>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</si>
  <si>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</si>
  <si>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</si>
  <si>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</si>
  <si>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</si>
  <si>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</si>
  <si>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</si>
  <si>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</si>
  <si>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</si>
  <si>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</si>
  <si>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</si>
  <si>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</si>
  <si>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</si>
  <si>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</si>
  <si>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</si>
  <si>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</si>
  <si>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</si>
  <si>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</si>
  <si>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</si>
  <si>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</si>
  <si>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</si>
  <si>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</si>
  <si>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</si>
  <si>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</si>
  <si>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</si>
  <si>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</si>
  <si>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</si>
  <si>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</si>
  <si>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</si>
  <si>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</si>
  <si>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</si>
  <si>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</si>
  <si>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</si>
  <si>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</si>
  <si>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</si>
  <si>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</si>
  <si>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</si>
  <si>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</si>
  <si>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</si>
  <si>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</si>
  <si>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</si>
  <si>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</si>
  <si>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</si>
  <si>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</si>
  <si>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</si>
  <si>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</si>
  <si>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</si>
  <si>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</si>
  <si>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</si>
  <si>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</si>
  <si>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</si>
  <si>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</si>
  <si>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</si>
  <si>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</si>
  <si>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</si>
  <si>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</si>
  <si>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</si>
  <si>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</si>
  <si>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</si>
  <si>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</si>
  <si>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</si>
  <si>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</si>
  <si>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</si>
  <si>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</si>
  <si>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</si>
  <si>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</si>
  <si>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</si>
  <si>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</si>
  <si>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</si>
  <si>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</si>
  <si>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</si>
  <si>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</si>
  <si>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</si>
  <si>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</si>
  <si>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</si>
  <si>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</si>
  <si>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</si>
  <si>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</si>
  <si>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</si>
  <si>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</si>
  <si>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</si>
  <si>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</si>
  <si>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</si>
  <si>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</si>
  <si>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</si>
  <si>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</si>
  <si>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</si>
  <si>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</si>
  <si>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</si>
  <si>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</si>
  <si>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</si>
  <si>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</si>
  <si>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</si>
  <si>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</si>
  <si>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</si>
  <si>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</si>
  <si>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</si>
  <si>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</si>
  <si>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</si>
  <si>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</si>
  <si>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</si>
  <si>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</si>
  <si>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</si>
  <si>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</si>
  <si>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</si>
  <si>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</si>
  <si>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</si>
  <si>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</si>
  <si>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</si>
  <si>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</si>
  <si>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</si>
  <si>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</si>
  <si>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</si>
  <si>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</si>
  <si>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</si>
  <si>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</si>
  <si>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</si>
  <si>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</si>
  <si>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</si>
  <si>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</si>
  <si>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</si>
  <si>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</si>
  <si>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</si>
  <si>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</si>
  <si>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</si>
  <si>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</si>
  <si>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</si>
  <si>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</si>
  <si>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</si>
  <si>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</si>
  <si>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</si>
  <si>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</si>
  <si>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</si>
  <si>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</si>
  <si>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</si>
  <si>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</si>
  <si>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</si>
  <si>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</si>
  <si>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</si>
  <si>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</si>
  <si>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</si>
  <si>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</si>
  <si>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</si>
  <si>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</si>
  <si>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</si>
  <si>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</si>
  <si>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</si>
  <si>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</si>
  <si>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</si>
  <si>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</si>
  <si>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</si>
  <si>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</si>
  <si>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</si>
  <si>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</si>
  <si>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</si>
  <si>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</si>
  <si>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</si>
  <si>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</si>
  <si>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</si>
  <si>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</si>
  <si>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</si>
  <si>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</si>
  <si>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</si>
  <si>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</si>
  <si>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</si>
  <si>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</si>
  <si>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</si>
  <si>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</si>
  <si>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</si>
  <si>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</si>
  <si>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</si>
  <si>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</si>
  <si>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</si>
  <si>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</si>
  <si>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</si>
  <si>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</si>
  <si>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</si>
  <si>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</si>
  <si>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</si>
  <si>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</si>
  <si>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</si>
  <si>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</si>
  <si>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</si>
  <si>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</si>
  <si>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</si>
  <si>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</si>
  <si>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</si>
  <si>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</si>
  <si>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</si>
  <si>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</si>
  <si>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</si>
  <si>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</si>
  <si>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</si>
  <si>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</si>
  <si>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</si>
  <si>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</si>
  <si>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</si>
  <si>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</si>
  <si>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</si>
  <si>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</si>
  <si>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</si>
  <si>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</si>
  <si>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</si>
  <si>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</si>
  <si>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</si>
  <si>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</si>
  <si>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</si>
  <si>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</si>
  <si>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</si>
  <si>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</si>
  <si>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</si>
  <si>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</si>
  <si>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</si>
  <si>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</si>
  <si>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</si>
  <si>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</si>
  <si>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</si>
  <si>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</si>
  <si>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</si>
  <si>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</si>
  <si>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</si>
  <si>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</si>
  <si>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</si>
  <si>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</si>
  <si>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</si>
  <si>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</si>
  <si>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</si>
  <si>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</si>
  <si>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</si>
  <si>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</si>
  <si>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</si>
  <si>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</si>
  <si>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</si>
  <si>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</si>
  <si>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</si>
  <si>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</si>
  <si>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</si>
  <si>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</si>
  <si>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</si>
  <si>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</si>
  <si>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</si>
  <si>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</si>
  <si>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</si>
  <si>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</si>
  <si>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</si>
  <si>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</si>
  <si>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</si>
  <si>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</si>
  <si>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</si>
  <si>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</si>
  <si>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</si>
  <si>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</si>
  <si>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</si>
  <si>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</si>
  <si>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</si>
  <si>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</si>
  <si>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</si>
  <si>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</si>
  <si>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</si>
  <si>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</si>
  <si>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</si>
  <si>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</si>
  <si>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</si>
  <si>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</si>
  <si>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</si>
  <si>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</si>
  <si>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</si>
  <si>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</si>
  <si>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</si>
  <si>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</si>
  <si>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</si>
  <si>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</si>
  <si>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</si>
  <si>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</si>
  <si>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</si>
  <si>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</si>
  <si>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</si>
  <si>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</si>
  <si>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</si>
  <si>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</si>
  <si>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</si>
  <si>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</si>
  <si>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</si>
  <si>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</si>
  <si>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</si>
  <si>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</si>
  <si>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</si>
  <si>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</si>
  <si>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</si>
  <si>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</si>
  <si>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</si>
  <si>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</si>
  <si>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</si>
  <si>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</si>
  <si>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</si>
  <si>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</si>
  <si>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</si>
  <si>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</si>
  <si>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</si>
  <si>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</si>
  <si>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</si>
  <si>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</si>
  <si>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</si>
  <si>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</si>
  <si>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</si>
  <si>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</si>
  <si>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</si>
  <si>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</si>
  <si>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</si>
  <si>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</si>
  <si>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</si>
  <si>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</si>
  <si>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</si>
  <si>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</si>
  <si>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</si>
  <si>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</si>
  <si>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</si>
  <si>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</si>
  <si>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</si>
  <si>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</si>
  <si>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</si>
  <si>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</si>
  <si>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</si>
  <si>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</si>
  <si>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</si>
  <si>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</si>
  <si>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</si>
  <si>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</si>
  <si>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</si>
  <si>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</si>
  <si>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</si>
  <si>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</si>
  <si>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</si>
  <si>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</si>
  <si>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</si>
  <si>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</si>
  <si>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</si>
  <si>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</si>
  <si>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</si>
  <si>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</si>
  <si>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</si>
  <si>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</si>
  <si>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</si>
  <si>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</si>
  <si>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</si>
  <si>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</si>
  <si>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</si>
  <si>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</si>
  <si>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</si>
  <si>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</si>
  <si>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</si>
  <si>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</si>
  <si>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</si>
  <si>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</si>
  <si>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</si>
  <si>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</si>
  <si>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</si>
  <si>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</si>
  <si>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</si>
  <si>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</si>
  <si>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</si>
  <si>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</si>
  <si>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</si>
  <si>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</si>
  <si>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</si>
  <si>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</si>
  <si>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</si>
  <si>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</si>
  <si>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</si>
  <si>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</si>
  <si>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</si>
  <si>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</si>
  <si>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</si>
  <si>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</si>
  <si>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</si>
  <si>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</si>
  <si>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</si>
  <si>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</si>
  <si>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</si>
  <si>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</si>
  <si>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</si>
  <si>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</si>
  <si>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</si>
  <si>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</si>
  <si>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</si>
  <si>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</si>
  <si>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</si>
  <si>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</si>
  <si>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</si>
  <si>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</si>
  <si>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</si>
  <si>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</si>
  <si>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</si>
  <si>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</si>
  <si>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</si>
  <si>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</si>
  <si>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</si>
  <si>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</si>
  <si>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</si>
  <si>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</si>
  <si>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</si>
  <si>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</si>
  <si>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</si>
  <si>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</si>
  <si>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</si>
  <si>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</si>
  <si>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</si>
  <si>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</si>
  <si>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</si>
  <si>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</si>
  <si>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</si>
  <si>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</si>
  <si>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</si>
  <si>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</si>
  <si>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</si>
  <si>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</si>
  <si>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</si>
  <si>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</si>
  <si>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</si>
  <si>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</si>
  <si>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</si>
  <si>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</si>
  <si>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</si>
  <si>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</si>
  <si>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</si>
  <si>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</si>
  <si>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</si>
  <si>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</si>
  <si>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</si>
  <si>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</si>
  <si>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</si>
  <si>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</si>
  <si>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</si>
  <si>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</si>
  <si>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</si>
  <si>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</si>
  <si>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</si>
  <si>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</si>
  <si>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</si>
  <si>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</si>
  <si>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</si>
  <si>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</si>
  <si>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</si>
  <si>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</si>
  <si>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</si>
  <si>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</si>
  <si>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</si>
  <si>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</si>
  <si>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</si>
  <si>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</si>
  <si>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</si>
  <si>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</si>
  <si>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</si>
  <si>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</si>
  <si>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</si>
  <si>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</si>
  <si>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</si>
  <si>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</si>
  <si>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</si>
  <si>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</si>
  <si>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</si>
  <si>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</si>
  <si>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</si>
  <si>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</si>
  <si>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</si>
  <si>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</si>
  <si>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</si>
  <si>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</si>
  <si>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</si>
  <si>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</si>
  <si>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</si>
  <si>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</si>
  <si>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</si>
  <si>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</si>
  <si>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</si>
  <si>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</si>
  <si>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</si>
  <si>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</si>
  <si>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</si>
  <si>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</si>
  <si>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</si>
  <si>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</si>
  <si>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</si>
  <si>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</si>
  <si>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</si>
  <si>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</si>
  <si>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</si>
  <si>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</si>
  <si>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</si>
  <si>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</si>
  <si>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</si>
  <si>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</si>
  <si>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</si>
  <si>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</si>
  <si>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</si>
  <si>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</si>
  <si>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</si>
  <si>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</si>
  <si>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</si>
  <si>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</si>
  <si>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</si>
  <si>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</si>
  <si>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</si>
  <si>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</si>
  <si>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</si>
  <si>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</si>
  <si>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</si>
  <si>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</si>
  <si>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</si>
  <si>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</si>
  <si>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</si>
  <si>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</si>
  <si>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</si>
  <si>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</si>
  <si>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</si>
  <si>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</si>
  <si>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</si>
  <si>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</si>
  <si>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</si>
  <si>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</si>
  <si>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</si>
  <si>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</si>
  <si>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</si>
  <si>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</si>
  <si>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</si>
  <si>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</si>
  <si>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</si>
  <si>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</si>
  <si>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</si>
  <si>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</si>
  <si>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</si>
  <si>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</si>
  <si>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</si>
  <si>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</si>
  <si>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</si>
  <si>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</si>
  <si>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</si>
  <si>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</si>
  <si>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</si>
  <si>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</si>
  <si>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</si>
  <si>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</si>
  <si>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</si>
  <si>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</si>
  <si>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</si>
  <si>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</si>
  <si>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</si>
  <si>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</si>
  <si>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</si>
  <si>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</si>
  <si>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</si>
  <si>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</si>
  <si>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</si>
  <si>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</si>
  <si>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</si>
  <si>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</si>
  <si>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</si>
  <si>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</si>
  <si>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</si>
  <si>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</si>
  <si>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</si>
  <si>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</si>
  <si>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</si>
  <si>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</si>
  <si>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</si>
  <si>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</si>
  <si>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</si>
  <si>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</si>
  <si>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</si>
  <si>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</si>
  <si>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</si>
  <si>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</si>
  <si>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</si>
  <si>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</si>
  <si>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</si>
  <si>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</si>
  <si>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</si>
  <si>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</si>
  <si>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</si>
  <si>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</si>
  <si>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</si>
  <si>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</si>
  <si>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</si>
  <si>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</si>
  <si>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</si>
  <si>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</si>
  <si>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</si>
  <si>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</si>
  <si>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</si>
  <si>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</si>
  <si>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</si>
  <si>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</si>
  <si>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</si>
  <si>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</si>
  <si>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</si>
  <si>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</si>
  <si>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</si>
  <si>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</si>
  <si>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</si>
  <si>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</si>
  <si>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</si>
  <si>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</si>
  <si>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</si>
  <si>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</si>
  <si>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</si>
  <si>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</si>
  <si>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</si>
  <si>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</si>
  <si>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</si>
  <si>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</si>
  <si>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</si>
  <si>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</si>
  <si>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</si>
  <si>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</si>
  <si>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</si>
  <si>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</si>
  <si>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</si>
  <si>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</si>
  <si>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</si>
  <si>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</si>
  <si>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</si>
  <si>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</si>
  <si>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</si>
  <si>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</si>
  <si>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</si>
  <si>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</si>
  <si>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</si>
  <si>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</si>
  <si>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</si>
  <si>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</si>
  <si>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</si>
  <si>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</si>
  <si>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</si>
  <si>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</si>
  <si>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</si>
  <si>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</si>
  <si>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</si>
  <si>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</si>
  <si>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</si>
  <si>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</si>
  <si>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</si>
  <si>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</si>
  <si>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</si>
  <si>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</si>
  <si>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</si>
  <si>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</si>
  <si>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</si>
  <si>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</si>
  <si>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</si>
  <si>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</si>
  <si>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</si>
  <si>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</si>
  <si>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</si>
  <si>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</si>
  <si>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</si>
  <si>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</si>
  <si>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</si>
  <si>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</si>
  <si>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</si>
  <si>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</si>
  <si>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</si>
  <si>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</si>
  <si>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</si>
  <si>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</si>
  <si>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</si>
  <si>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</si>
  <si>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</si>
  <si>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</si>
  <si>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</si>
  <si>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</si>
  <si>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</si>
  <si>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</si>
  <si>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</si>
  <si>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</si>
  <si>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</si>
  <si>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</si>
  <si>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</si>
  <si>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</si>
  <si>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</si>
  <si>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</si>
  <si>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</si>
  <si>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</si>
  <si>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</si>
  <si>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</si>
  <si>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</si>
  <si>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</si>
  <si>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</si>
  <si>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</si>
  <si>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</si>
  <si>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</si>
  <si>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</si>
  <si>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</si>
  <si>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</si>
  <si>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</si>
  <si>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</si>
  <si>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</si>
  <si>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</si>
  <si>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</si>
  <si>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</si>
  <si>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</si>
  <si>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</si>
  <si>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</si>
  <si>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</si>
  <si>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</si>
  <si>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</si>
  <si>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</si>
  <si>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</si>
  <si>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</si>
  <si>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</si>
  <si>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</si>
  <si>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</si>
  <si>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</si>
  <si>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</si>
  <si>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</si>
  <si>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</si>
  <si>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</si>
  <si>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</si>
  <si>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</si>
  <si>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</si>
  <si>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</si>
  <si>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</si>
  <si>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</si>
  <si>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</si>
  <si>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</si>
  <si>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</si>
  <si>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</si>
  <si>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</si>
  <si>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</si>
  <si>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</si>
  <si>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</si>
  <si>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</si>
  <si>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</si>
  <si>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</si>
  <si>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</si>
  <si>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</si>
  <si>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</si>
  <si>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</si>
  <si>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</si>
  <si>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</si>
  <si>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</si>
  <si>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</si>
  <si>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</si>
  <si>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</si>
  <si>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</si>
  <si>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</si>
  <si>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</si>
  <si>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</si>
  <si>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</si>
  <si>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</si>
  <si>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</si>
  <si>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</si>
  <si>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</si>
  <si>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</si>
  <si>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</si>
  <si>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</si>
  <si>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</si>
  <si>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</si>
  <si>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</si>
  <si>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</si>
  <si>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</si>
  <si>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</si>
  <si>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</si>
  <si>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</si>
  <si>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</si>
  <si>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</si>
  <si>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</si>
  <si>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</si>
  <si>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</si>
  <si>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</si>
  <si>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</si>
  <si>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</si>
  <si>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</si>
  <si>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</si>
  <si>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</si>
  <si>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</si>
  <si>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</si>
  <si>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</si>
  <si>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</si>
  <si>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</si>
  <si>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</si>
  <si>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</si>
  <si>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</si>
  <si>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</si>
  <si>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</si>
  <si>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</si>
  <si>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</si>
  <si>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</si>
  <si>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</si>
  <si>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</si>
  <si>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</si>
  <si>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</si>
  <si>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</si>
  <si>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</si>
  <si>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</si>
  <si>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</si>
  <si>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</si>
  <si>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</si>
  <si>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</si>
  <si>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</si>
  <si>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</si>
  <si>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</si>
  <si>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</si>
  <si>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</si>
  <si>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</si>
  <si>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</si>
  <si>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</si>
  <si>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</si>
  <si>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</si>
  <si>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</si>
  <si>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</si>
  <si>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</si>
  <si>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</si>
  <si>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</si>
  <si>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</si>
  <si>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</si>
  <si>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</si>
  <si>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</si>
  <si>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</si>
  <si>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</si>
  <si>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</si>
  <si>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</si>
  <si>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</si>
  <si>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</si>
  <si>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</si>
  <si>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</si>
  <si>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</si>
  <si>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</si>
  <si>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</si>
  <si>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</si>
  <si>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</si>
  <si>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</si>
  <si>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</si>
  <si>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</si>
  <si>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</si>
  <si>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</si>
  <si>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</si>
  <si>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</si>
  <si>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</si>
  <si>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</si>
  <si>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</si>
  <si>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</si>
  <si>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</si>
  <si>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</si>
  <si>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</si>
  <si>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</si>
  <si>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</si>
  <si>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</si>
  <si>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</si>
  <si>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</si>
  <si>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</si>
  <si>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</si>
  <si>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</si>
  <si>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</si>
  <si>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</si>
  <si>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</si>
  <si>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</si>
  <si>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</si>
  <si>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</si>
  <si>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</si>
  <si>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</si>
  <si>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</si>
  <si>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</si>
  <si>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</si>
  <si>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</si>
  <si>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</si>
  <si>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</si>
  <si>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</si>
  <si>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</si>
  <si>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</si>
  <si>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</si>
  <si>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</si>
  <si>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</si>
  <si>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</si>
  <si>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</si>
  <si>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</si>
  <si>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</si>
  <si>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</si>
  <si>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</si>
  <si>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</si>
  <si>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</si>
  <si>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</si>
  <si>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</si>
  <si>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</si>
  <si>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</si>
  <si>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</si>
  <si>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</si>
  <si>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</si>
  <si>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</si>
  <si>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</si>
  <si>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</si>
  <si>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</si>
  <si>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</si>
  <si>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</si>
  <si>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</si>
  <si>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</si>
  <si>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</si>
  <si>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</si>
  <si>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</si>
  <si>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</si>
  <si>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</si>
  <si>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</si>
  <si>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</si>
  <si>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</si>
  <si>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</si>
  <si>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</si>
  <si>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</si>
  <si>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</si>
  <si>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</si>
  <si>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</si>
  <si>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</si>
  <si>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</si>
  <si>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</si>
  <si>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</si>
  <si>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</si>
  <si>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</si>
  <si>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</si>
  <si>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</si>
  <si>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</si>
  <si>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</si>
  <si>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</si>
  <si>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</si>
  <si>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</si>
  <si>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</si>
  <si>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</si>
  <si>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</si>
  <si>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</si>
  <si>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</si>
  <si>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</si>
  <si>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</si>
  <si>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</si>
  <si>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</si>
  <si>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</si>
  <si>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</si>
  <si>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</si>
  <si>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</si>
  <si>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</si>
  <si>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</si>
  <si>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</si>
  <si>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</si>
  <si>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</si>
  <si>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</si>
  <si>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</si>
  <si>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</si>
  <si>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</si>
  <si>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</si>
  <si>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</si>
  <si>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</si>
  <si>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</si>
  <si>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</si>
  <si>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</si>
  <si>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</si>
  <si>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</si>
  <si>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</si>
  <si>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</si>
  <si>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</si>
  <si>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</si>
  <si>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</si>
  <si>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</si>
  <si>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</si>
  <si>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</si>
  <si>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</si>
  <si>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</si>
  <si>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</si>
  <si>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</si>
  <si>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</si>
  <si>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</si>
  <si>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</si>
  <si>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</si>
  <si>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</si>
  <si>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</si>
  <si>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</si>
  <si>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</si>
  <si>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</si>
  <si>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</si>
  <si>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</si>
  <si>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</si>
  <si>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</si>
  <si>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</si>
  <si>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</si>
  <si>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</si>
  <si>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</si>
  <si>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</si>
  <si>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</si>
  <si>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</si>
  <si>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</si>
  <si>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</si>
  <si>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</si>
  <si>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</si>
  <si>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</si>
  <si>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</si>
  <si>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</si>
  <si>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</si>
  <si>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</si>
  <si>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</si>
  <si>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</si>
  <si>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</si>
  <si>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</si>
  <si>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</si>
  <si>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</si>
  <si>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</si>
  <si>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</si>
  <si>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</si>
  <si>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</si>
  <si>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</si>
  <si>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</si>
  <si>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</si>
  <si>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</si>
  <si>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</si>
  <si>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</si>
  <si>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</si>
  <si>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</si>
  <si>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</si>
  <si>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</si>
  <si>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</si>
  <si>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</si>
  <si>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</si>
  <si>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</si>
  <si>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</si>
  <si>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</si>
  <si>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</si>
  <si>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</si>
  <si>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</si>
  <si>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</si>
  <si>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</si>
  <si>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</si>
  <si>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</si>
  <si>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</si>
  <si>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</si>
  <si>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</si>
  <si>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</si>
  <si>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</si>
  <si>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</si>
  <si>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</si>
  <si>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</si>
  <si>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</si>
  <si>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</si>
  <si>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</si>
  <si>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</si>
  <si>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</si>
  <si>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</si>
  <si>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</si>
  <si>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</si>
  <si>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</si>
  <si>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</si>
  <si>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</si>
  <si>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</si>
  <si>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</si>
  <si>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</si>
  <si>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</si>
  <si>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</si>
  <si>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</si>
  <si>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</si>
  <si>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</si>
  <si>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</si>
  <si>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</si>
  <si>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</si>
  <si>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</si>
  <si>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</si>
  <si>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</si>
  <si>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</si>
  <si>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</si>
  <si>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</si>
  <si>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</si>
  <si>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</si>
  <si>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</si>
  <si>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</si>
  <si>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</si>
  <si>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</si>
  <si>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</si>
  <si>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</si>
  <si>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</si>
  <si>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</si>
  <si>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</si>
  <si>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</si>
  <si>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</si>
  <si>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</si>
  <si>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</si>
  <si>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</si>
  <si>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</si>
  <si>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</si>
  <si>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</si>
  <si>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</si>
  <si>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</si>
  <si>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</si>
  <si>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</si>
  <si>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</si>
  <si>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</si>
  <si>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</si>
  <si>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</si>
  <si>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</si>
  <si>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</si>
  <si>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</si>
  <si>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</si>
  <si>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</si>
  <si>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</si>
  <si>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</si>
  <si>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</si>
  <si>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</si>
  <si>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</si>
  <si>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</si>
  <si>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</si>
  <si>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</si>
  <si>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</si>
  <si>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</si>
  <si>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</si>
  <si>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</si>
  <si>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</si>
  <si>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</si>
  <si>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</si>
  <si>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</si>
  <si>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</si>
  <si>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</si>
  <si>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</si>
  <si>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</si>
  <si>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</si>
  <si>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</si>
  <si>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</si>
  <si>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</si>
  <si>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</si>
  <si>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</si>
  <si>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</si>
  <si>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</si>
  <si>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</si>
  <si>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</si>
  <si>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</si>
  <si>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</si>
  <si>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</si>
  <si>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</si>
  <si>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</si>
  <si>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</si>
  <si>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</si>
  <si>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</si>
  <si>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</si>
  <si>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</si>
  <si>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</si>
  <si>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</si>
  <si>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</si>
  <si>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</si>
  <si>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</si>
  <si>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</si>
  <si>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</si>
  <si>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</si>
  <si>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</si>
  <si>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</si>
  <si>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</si>
  <si>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</si>
  <si>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</si>
  <si>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</si>
  <si>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</si>
  <si>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</si>
  <si>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</si>
  <si>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</si>
  <si>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</si>
  <si>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</si>
  <si>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</si>
  <si>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</si>
  <si>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</si>
  <si>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</si>
  <si>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</si>
  <si>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</si>
  <si>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</si>
  <si>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</si>
  <si>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</si>
  <si>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</si>
  <si>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</si>
  <si>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</si>
  <si>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</si>
  <si>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</si>
  <si>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</si>
  <si>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</si>
  <si>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</si>
  <si>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</si>
  <si>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</si>
  <si>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</si>
  <si>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</si>
  <si>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</si>
  <si>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</si>
  <si>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</si>
  <si>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</si>
  <si>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</si>
  <si>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</si>
  <si>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</si>
  <si>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</si>
  <si>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</si>
  <si>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</si>
  <si>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</si>
  <si>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</si>
  <si>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</si>
  <si>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</si>
  <si>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</si>
  <si>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</si>
  <si>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</si>
  <si>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</si>
  <si>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</si>
  <si>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</si>
  <si>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</si>
  <si>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</si>
  <si>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</si>
  <si>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</si>
  <si>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</si>
  <si>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</si>
  <si>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</si>
  <si>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</si>
  <si>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</si>
  <si>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</si>
  <si>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</si>
  <si>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</si>
  <si>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</si>
  <si>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</si>
  <si>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</si>
  <si>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</si>
  <si>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</si>
  <si>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</si>
  <si>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</si>
  <si>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</si>
  <si>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</si>
  <si>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</si>
  <si>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</si>
  <si>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</si>
  <si>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</si>
  <si>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</si>
  <si>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</si>
  <si>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</si>
  <si>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</si>
  <si>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</si>
  <si>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</si>
  <si>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</si>
  <si>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</si>
  <si>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</si>
  <si>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</si>
  <si>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</si>
  <si>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</si>
  <si>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</si>
  <si>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</si>
  <si>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</si>
  <si>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</si>
  <si>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</si>
  <si>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</si>
  <si>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</si>
  <si>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</si>
  <si>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</si>
  <si>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</si>
  <si>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</si>
  <si>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</si>
  <si>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</si>
  <si>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</si>
  <si>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</si>
  <si>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</si>
  <si>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</si>
  <si>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</si>
  <si>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</si>
  <si>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</si>
  <si>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</si>
  <si>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</si>
  <si>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</si>
  <si>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</si>
  <si>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</si>
  <si>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</si>
  <si>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</si>
  <si>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</si>
  <si>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</si>
  <si>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</si>
  <si>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</si>
  <si>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</si>
  <si>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</si>
  <si>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</si>
  <si>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</si>
  <si>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</si>
  <si>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</si>
  <si>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</si>
  <si>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</si>
  <si>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</si>
  <si>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</si>
  <si>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</si>
  <si>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</si>
  <si>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</si>
  <si>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</si>
  <si>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</si>
  <si>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</si>
  <si>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</si>
  <si>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</si>
  <si>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</si>
  <si>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</si>
  <si>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</si>
  <si>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</si>
  <si>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</si>
  <si>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</si>
  <si>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</si>
  <si>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</si>
  <si>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</si>
  <si>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</si>
  <si>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</si>
  <si>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</si>
  <si>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</si>
  <si>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</si>
  <si>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</si>
  <si>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</si>
  <si>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</si>
  <si>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</si>
  <si>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</si>
  <si>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</si>
  <si>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</si>
  <si>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</si>
  <si>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</si>
  <si>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</si>
  <si>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</si>
  <si>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</si>
  <si>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</si>
  <si>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</si>
  <si>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</si>
  <si>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</si>
  <si>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</si>
  <si>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</si>
  <si>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</si>
  <si>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</si>
  <si>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</si>
  <si>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</si>
  <si>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</si>
  <si>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</si>
  <si>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</si>
  <si>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</si>
  <si>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</si>
  <si>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</si>
  <si>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</si>
  <si>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</si>
  <si>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</si>
  <si>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</si>
  <si>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</si>
  <si>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</si>
  <si>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</si>
  <si>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</si>
  <si>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</si>
  <si>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</si>
  <si>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</si>
  <si>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</si>
  <si>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</si>
  <si>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</si>
  <si>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</si>
  <si>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</si>
  <si>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</si>
  <si>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</si>
  <si>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</si>
  <si>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</si>
  <si>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</si>
  <si>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</si>
  <si>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</si>
  <si>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</si>
  <si>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</si>
  <si>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</si>
  <si>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</si>
  <si>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</si>
  <si>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</si>
  <si>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</si>
  <si>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</si>
  <si>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</si>
  <si>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</si>
  <si>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</si>
  <si>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</si>
  <si>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</si>
  <si>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</si>
  <si>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</si>
  <si>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</si>
  <si>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</si>
  <si>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</si>
  <si>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</si>
  <si>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</si>
  <si>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</si>
  <si>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</si>
  <si>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</si>
  <si>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</si>
  <si>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</si>
  <si>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</si>
  <si>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</si>
  <si>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</si>
  <si>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</si>
  <si>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</si>
  <si>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</si>
  <si>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</si>
  <si>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</si>
  <si>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</si>
  <si>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</si>
  <si>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</si>
  <si>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</si>
  <si>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</si>
  <si>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</si>
  <si>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</si>
  <si>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</si>
  <si>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</si>
  <si>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</si>
  <si>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</si>
  <si>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</si>
  <si>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</si>
  <si>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</si>
  <si>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</si>
  <si>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</si>
  <si>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</si>
  <si>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</si>
  <si>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</si>
  <si>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</si>
  <si>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</si>
  <si>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</si>
  <si>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</si>
  <si>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</si>
  <si>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</si>
  <si>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</si>
  <si>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</si>
  <si>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</si>
  <si>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</si>
  <si>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</si>
  <si>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</si>
  <si>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</si>
  <si>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</si>
  <si>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</si>
  <si>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</si>
  <si>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</si>
  <si>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</si>
  <si>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</si>
  <si>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</si>
  <si>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</si>
  <si>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</si>
  <si>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</si>
  <si>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</si>
  <si>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</si>
  <si>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</si>
  <si>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</si>
  <si>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</si>
  <si>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</si>
  <si>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</si>
  <si>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</si>
  <si>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</si>
  <si>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</si>
  <si>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</si>
  <si>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</si>
  <si>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</si>
  <si>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</si>
  <si>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</si>
  <si>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</si>
  <si>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</si>
  <si>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</si>
  <si>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</si>
  <si>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</si>
  <si>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</si>
  <si>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</si>
  <si>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</si>
  <si>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</si>
  <si>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</si>
  <si>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</si>
  <si>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</si>
  <si>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</si>
  <si>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</si>
  <si>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</si>
  <si>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</si>
  <si>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</si>
  <si>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</si>
  <si>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</si>
  <si>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</si>
  <si>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</si>
  <si>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</si>
  <si>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</si>
  <si>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</si>
  <si>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</si>
  <si>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</si>
  <si>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</si>
  <si>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</si>
  <si>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</si>
  <si>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</si>
  <si>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</si>
  <si>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</si>
  <si>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</si>
  <si>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</si>
  <si>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</si>
  <si>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</si>
  <si>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</si>
  <si>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</si>
  <si>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</si>
  <si>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</si>
  <si>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</si>
  <si>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</si>
  <si>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</si>
  <si>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</si>
  <si>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</si>
  <si>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</si>
  <si>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</si>
  <si>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</si>
  <si>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</si>
  <si>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</si>
  <si>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</si>
  <si>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</si>
  <si>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</si>
  <si>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</si>
  <si>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</si>
  <si>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</si>
  <si>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</si>
  <si>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</si>
  <si>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</si>
  <si>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</si>
  <si>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</si>
  <si>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</si>
  <si>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</si>
  <si>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</si>
  <si>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</si>
  <si>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</si>
  <si>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</si>
  <si>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</si>
  <si>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</si>
  <si>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</si>
  <si>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</si>
  <si>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</si>
  <si>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</si>
  <si>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</si>
  <si>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</si>
  <si>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</si>
  <si>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</si>
  <si>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</si>
  <si>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</si>
  <si>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</si>
  <si>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</si>
  <si>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</si>
  <si>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</si>
  <si>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</si>
  <si>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</si>
  <si>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</si>
  <si>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</si>
  <si>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</si>
  <si>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</si>
  <si>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</si>
  <si>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</si>
  <si>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</si>
  <si>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</si>
  <si>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</si>
  <si>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</si>
  <si>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</si>
  <si>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</si>
  <si>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</si>
  <si>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</si>
  <si>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</si>
  <si>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</si>
  <si>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</si>
  <si>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</si>
  <si>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</si>
  <si>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</si>
  <si>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</si>
  <si>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</si>
  <si>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</si>
  <si>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</si>
  <si>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</si>
  <si>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</si>
  <si>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</si>
  <si>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</si>
  <si>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</si>
  <si>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</si>
  <si>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</si>
  <si>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</si>
  <si>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</si>
  <si>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</si>
  <si>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</si>
  <si>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</si>
  <si>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</si>
  <si>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</si>
  <si>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</si>
  <si>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</si>
  <si>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</si>
  <si>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</si>
  <si>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</si>
  <si>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</si>
  <si>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</si>
  <si>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</si>
  <si>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</si>
  <si>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</si>
  <si>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</si>
  <si>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</si>
  <si>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</si>
  <si>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</si>
  <si>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</si>
  <si>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</si>
  <si>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</si>
  <si>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</si>
  <si>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</si>
  <si>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</si>
  <si>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</si>
  <si>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</si>
  <si>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</si>
  <si>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</si>
  <si>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</si>
  <si>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</si>
  <si>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</si>
  <si>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</si>
  <si>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</si>
  <si>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</si>
  <si>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</si>
  <si>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</si>
  <si>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</si>
  <si>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</si>
  <si>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</si>
  <si>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</si>
  <si>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</si>
  <si>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</si>
  <si>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</si>
  <si>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</si>
  <si>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</si>
  <si>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</si>
  <si>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</si>
  <si>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</si>
  <si>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</si>
  <si>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</si>
  <si>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</si>
  <si>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</si>
  <si>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</si>
  <si>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</si>
  <si>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</si>
  <si>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</si>
  <si>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</si>
  <si>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</si>
  <si>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</si>
  <si>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</si>
  <si>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</si>
  <si>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</si>
  <si>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</si>
  <si>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</si>
  <si>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</si>
  <si>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</si>
  <si>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</si>
  <si>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</si>
  <si>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</si>
  <si>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</si>
  <si>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</si>
  <si>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</si>
  <si>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</si>
  <si>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</si>
  <si>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</si>
  <si>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</si>
  <si>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</si>
  <si>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</si>
  <si>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</si>
  <si>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</si>
  <si>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</si>
  <si>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</si>
  <si>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</si>
  <si>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</si>
  <si>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</si>
  <si>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</si>
  <si>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</si>
  <si>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</si>
  <si>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</si>
  <si>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</si>
  <si>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</si>
  <si>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</si>
  <si>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</si>
  <si>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</si>
  <si>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</si>
  <si>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</si>
  <si>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</si>
  <si>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</si>
  <si>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</si>
  <si>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</si>
  <si>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</si>
  <si>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</si>
  <si>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</si>
  <si>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</si>
  <si>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</si>
  <si>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</si>
  <si>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</si>
  <si>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</si>
  <si>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</si>
  <si>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</si>
  <si>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</si>
  <si>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</si>
  <si>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</si>
  <si>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</si>
  <si>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</si>
  <si>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</si>
  <si>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</si>
  <si>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</si>
  <si>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</si>
  <si>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</si>
  <si>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</si>
  <si>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</si>
  <si>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</si>
  <si>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</si>
  <si>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</si>
  <si>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</si>
  <si>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</si>
  <si>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</si>
  <si>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</si>
  <si>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</si>
  <si>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</si>
  <si>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</si>
  <si>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</si>
  <si>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</si>
  <si>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</si>
  <si>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</si>
  <si>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</si>
  <si>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</si>
  <si>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</si>
  <si>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</si>
  <si>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</si>
  <si>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</si>
  <si>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</si>
  <si>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</si>
  <si>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</si>
  <si>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</si>
  <si>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</si>
  <si>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</si>
  <si>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</si>
  <si>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</si>
  <si>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</si>
  <si>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</si>
  <si>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</si>
  <si>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</si>
  <si>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</si>
  <si>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</si>
  <si>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</si>
  <si>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</si>
  <si>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</si>
  <si>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</si>
  <si>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</si>
  <si>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</si>
  <si>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</si>
  <si>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</si>
  <si>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</si>
  <si>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</si>
  <si>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</si>
  <si>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</si>
  <si>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</si>
  <si>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</si>
  <si>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</si>
  <si>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</si>
  <si>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</si>
  <si>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</si>
  <si>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</si>
  <si>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</si>
  <si>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</si>
  <si>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</si>
  <si>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</si>
  <si>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</si>
  <si>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</si>
  <si>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</si>
  <si>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</si>
  <si>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</si>
  <si>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</si>
  <si>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</si>
  <si>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</si>
  <si>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</si>
  <si>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</si>
  <si>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</si>
  <si>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</si>
  <si>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</si>
  <si>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</si>
  <si>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</si>
  <si>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</si>
  <si>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</si>
  <si>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</si>
  <si>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</si>
  <si>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</si>
  <si>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</si>
  <si>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</si>
  <si>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</si>
  <si>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</si>
  <si>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</si>
  <si>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</si>
  <si>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</si>
  <si>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</si>
  <si>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</si>
  <si>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</si>
  <si>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</si>
  <si>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</si>
  <si>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</si>
  <si>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</si>
  <si>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</si>
  <si>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</si>
  <si>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</si>
  <si>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</si>
  <si>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</si>
  <si>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</si>
  <si>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</si>
  <si>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</si>
  <si>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</si>
  <si>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</si>
  <si>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</si>
  <si>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</si>
  <si>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</si>
  <si>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</si>
  <si>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</si>
  <si>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</si>
  <si>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</si>
  <si>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</si>
  <si>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</si>
  <si>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</si>
  <si>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</si>
  <si>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</si>
  <si>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</si>
  <si>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</si>
  <si>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</si>
  <si>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</si>
  <si>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</si>
  <si>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</si>
  <si>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</si>
  <si>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</si>
  <si>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</si>
  <si>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</si>
  <si>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</si>
  <si>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</si>
  <si>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</si>
  <si>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</si>
  <si>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</si>
  <si>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</si>
  <si>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</si>
  <si>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</si>
  <si>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</si>
  <si>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</si>
  <si>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</si>
  <si>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</si>
  <si>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</si>
  <si>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</si>
  <si>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</si>
  <si>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</si>
  <si>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</si>
  <si>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</si>
  <si>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</si>
  <si>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</si>
  <si>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</si>
  <si>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</si>
  <si>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</si>
  <si>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</si>
  <si>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</si>
  <si>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</si>
  <si>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</si>
  <si>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</si>
  <si>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</si>
  <si>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</si>
  <si>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</si>
  <si>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</si>
  <si>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</si>
  <si>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</si>
  <si>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</si>
  <si>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</si>
  <si>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</si>
  <si>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</si>
  <si>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</si>
  <si>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</si>
  <si>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</si>
  <si>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</si>
  <si>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</si>
  <si>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</si>
  <si>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</si>
  <si>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</si>
  <si>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</si>
  <si>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</si>
  <si>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</si>
  <si>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</si>
  <si>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</si>
  <si>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</si>
  <si>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</si>
  <si>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</si>
  <si>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</si>
  <si>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</si>
  <si>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</si>
  <si>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</si>
  <si>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</si>
  <si>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</si>
  <si>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</si>
  <si>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</si>
  <si>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</si>
  <si>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</si>
  <si>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</si>
  <si>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</si>
  <si>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</si>
  <si>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</si>
  <si>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</si>
  <si>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</si>
  <si>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</si>
  <si>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</si>
  <si>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</si>
  <si>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</si>
  <si>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</si>
  <si>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</si>
  <si>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</si>
  <si>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</si>
  <si>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</si>
  <si>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</si>
  <si>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</si>
  <si>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</si>
  <si>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</si>
  <si>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</si>
  <si>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</si>
  <si>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</si>
  <si>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</si>
  <si>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</si>
  <si>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</si>
  <si>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</si>
  <si>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</si>
  <si>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</si>
  <si>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</si>
  <si>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</si>
  <si>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</si>
  <si>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</si>
  <si>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</si>
  <si>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</si>
  <si>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</si>
  <si>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</si>
  <si>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</si>
  <si>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</si>
  <si>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</si>
  <si>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</si>
  <si>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</si>
  <si>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</si>
  <si>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</si>
  <si>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</si>
  <si>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</si>
  <si>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</si>
  <si>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</si>
  <si>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</si>
  <si>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</si>
  <si>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</si>
  <si>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</si>
  <si>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</si>
  <si>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</si>
  <si>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</si>
  <si>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</si>
  <si>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</si>
  <si>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</si>
  <si>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</si>
  <si>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</si>
  <si>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</si>
  <si>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</si>
  <si>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</si>
  <si>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</si>
  <si>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</si>
  <si>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</si>
  <si>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</si>
  <si>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</si>
  <si>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</si>
  <si>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</si>
  <si>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</si>
  <si>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</si>
  <si>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</si>
  <si>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</si>
  <si>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</si>
  <si>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</si>
  <si>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</si>
  <si>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</si>
  <si>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</si>
  <si>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</si>
  <si>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</si>
  <si>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</si>
  <si>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</si>
  <si>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</si>
  <si>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</si>
  <si>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</si>
  <si>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</si>
  <si>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</si>
  <si>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</si>
  <si>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</si>
  <si>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</si>
  <si>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</si>
  <si>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</si>
  <si>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</si>
  <si>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</si>
  <si>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</si>
  <si>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</si>
  <si>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</si>
  <si>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</si>
  <si>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</si>
  <si>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</si>
  <si>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</si>
  <si>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</si>
  <si>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</si>
  <si>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</si>
  <si>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</si>
  <si>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</si>
  <si>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</si>
  <si>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</si>
  <si>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</si>
  <si>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</si>
  <si>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</si>
  <si>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</si>
  <si>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</si>
  <si>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</si>
  <si>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</si>
  <si>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</si>
  <si>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</si>
  <si>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</si>
  <si>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</si>
  <si>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</si>
  <si>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</si>
  <si>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</si>
  <si>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</si>
  <si>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</si>
  <si>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</si>
  <si>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</si>
  <si>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</si>
  <si>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</si>
  <si>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</si>
  <si>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</si>
  <si>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</si>
  <si>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</si>
  <si>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</si>
  <si>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</si>
  <si>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</si>
  <si>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</si>
  <si>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</si>
  <si>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</si>
  <si>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</si>
  <si>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</si>
  <si>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</si>
  <si>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</si>
  <si>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</si>
  <si>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</si>
  <si>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</si>
  <si>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</si>
  <si>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</si>
  <si>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</si>
  <si>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</si>
  <si>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</si>
  <si>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</si>
  <si>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</si>
  <si>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</si>
  <si>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</si>
  <si>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</si>
  <si>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</si>
  <si>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</si>
  <si>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</si>
  <si>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</si>
  <si>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</si>
  <si>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</si>
  <si>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</si>
  <si>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</si>
  <si>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</si>
  <si>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</si>
  <si>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</si>
  <si>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</si>
  <si>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</si>
  <si>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</si>
  <si>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</si>
  <si>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</si>
  <si>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</si>
  <si>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</si>
  <si>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</si>
  <si>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</si>
  <si>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</si>
  <si>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</si>
  <si>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</si>
  <si>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</si>
  <si>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</si>
  <si>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</si>
  <si>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</si>
  <si>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</si>
  <si>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</si>
  <si>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</si>
  <si>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</si>
  <si>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</si>
  <si>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</si>
  <si>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</si>
  <si>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</si>
  <si>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</si>
  <si>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</si>
  <si>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</si>
  <si>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</si>
  <si>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</si>
  <si>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</si>
  <si>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</si>
  <si>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</si>
  <si>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</si>
  <si>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</si>
  <si>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</si>
  <si>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</si>
  <si>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</si>
  <si>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</si>
  <si>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</si>
  <si>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</si>
  <si>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</si>
  <si>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</si>
  <si>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</si>
  <si>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</si>
  <si>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</si>
  <si>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</si>
  <si>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</si>
  <si>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</si>
  <si>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</si>
  <si>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</si>
  <si>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</si>
  <si>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</si>
  <si>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</si>
  <si>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</si>
  <si>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</si>
  <si>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</si>
  <si>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</si>
  <si>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</si>
  <si>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</si>
  <si>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</si>
  <si>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</si>
  <si>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</si>
  <si>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</si>
  <si>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</si>
  <si>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</si>
  <si>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</si>
  <si>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</si>
  <si>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</si>
  <si>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</si>
  <si>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</si>
  <si>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</si>
  <si>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</si>
  <si>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</si>
  <si>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</si>
  <si>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</si>
  <si>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</si>
  <si>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</si>
  <si>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</si>
  <si>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</si>
  <si>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</si>
  <si>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</si>
  <si>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</si>
  <si>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</si>
  <si>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</si>
  <si>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</si>
  <si>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</si>
  <si>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</si>
  <si>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</si>
  <si>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</si>
  <si>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</si>
  <si>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</si>
  <si>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</si>
  <si>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</si>
  <si>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</si>
  <si>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</si>
  <si>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</si>
  <si>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</si>
  <si>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</si>
  <si>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</si>
  <si>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</si>
  <si>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</si>
  <si>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</si>
  <si>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</si>
  <si>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</si>
  <si>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</si>
  <si>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</si>
  <si>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</si>
  <si>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</si>
  <si>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</si>
  <si>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</si>
  <si>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</si>
  <si>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</si>
  <si>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</si>
  <si>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</si>
  <si>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</si>
  <si>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</si>
  <si>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</si>
  <si>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</si>
  <si>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</si>
  <si>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</si>
  <si>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</si>
  <si>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</si>
  <si>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</si>
  <si>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</si>
  <si>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</si>
  <si>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</si>
  <si>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</si>
  <si>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</si>
  <si>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</si>
  <si>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</si>
  <si>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</si>
  <si>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</si>
  <si>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</si>
  <si>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</si>
  <si>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</si>
  <si>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</si>
  <si>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</si>
  <si>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</si>
  <si>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</si>
  <si>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</si>
  <si>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</si>
  <si>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</si>
  <si>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</si>
  <si>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</si>
  <si>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</si>
  <si>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</si>
  <si>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</si>
  <si>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</si>
  <si>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</si>
  <si>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</si>
  <si>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</si>
  <si>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</si>
  <si>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</si>
  <si>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</si>
  <si>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</si>
  <si>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</si>
  <si>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</si>
  <si>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</si>
  <si>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</si>
  <si>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</si>
  <si>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</si>
  <si>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</si>
  <si>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</si>
  <si>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</si>
  <si>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</si>
  <si>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</si>
  <si>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</si>
  <si>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</si>
  <si>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</si>
  <si>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</si>
  <si>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</si>
  <si>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</si>
  <si>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</si>
  <si>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</si>
  <si>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</si>
  <si>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</si>
  <si>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</si>
  <si>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</si>
  <si>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</si>
  <si>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</si>
  <si>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</si>
  <si>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</si>
  <si>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</si>
  <si>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</si>
  <si>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</si>
  <si>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</si>
  <si>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</si>
  <si>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</si>
  <si>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</si>
  <si>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</si>
  <si>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</si>
  <si>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</si>
  <si>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</si>
  <si>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</si>
  <si>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</si>
  <si>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</si>
  <si>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</si>
  <si>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</si>
  <si>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</si>
  <si>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</si>
  <si>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</si>
  <si>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</si>
  <si>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</si>
  <si>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</si>
  <si>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</si>
  <si>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</si>
  <si>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</si>
  <si>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</si>
  <si>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</si>
  <si>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</si>
  <si>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</si>
  <si>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</si>
  <si>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</si>
  <si>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</si>
  <si>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</si>
  <si>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</si>
  <si>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</si>
  <si>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</si>
  <si>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</si>
  <si>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</si>
  <si>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</si>
  <si>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</si>
  <si>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</si>
  <si>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</si>
  <si>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</si>
  <si>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</si>
  <si>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</si>
  <si>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</si>
  <si>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</si>
  <si>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</si>
  <si>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</si>
  <si>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</si>
  <si>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</si>
  <si>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</si>
  <si>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</si>
  <si>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</si>
  <si>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</si>
  <si>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</si>
  <si>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</si>
  <si>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</si>
  <si>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</si>
  <si>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</si>
  <si>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</si>
  <si>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</si>
  <si>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</si>
  <si>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</si>
  <si>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</si>
  <si>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</si>
  <si>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</si>
  <si>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</si>
  <si>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</si>
  <si>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</si>
  <si>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</si>
  <si>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</si>
  <si>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</si>
  <si>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</si>
  <si>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</si>
  <si>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</si>
  <si>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</si>
  <si>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</si>
  <si>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</si>
  <si>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</si>
  <si>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</si>
  <si>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</si>
  <si>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</si>
  <si>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</si>
  <si>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</si>
  <si>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</si>
  <si>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</si>
  <si>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</si>
  <si>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</si>
  <si>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</si>
  <si>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</si>
  <si>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</si>
  <si>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</si>
  <si>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</si>
  <si>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</si>
  <si>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</si>
  <si>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</si>
  <si>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</si>
  <si>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</si>
  <si>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</si>
  <si>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</si>
  <si>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</si>
  <si>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</si>
  <si>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</si>
  <si>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</si>
  <si>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</si>
  <si>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</si>
  <si>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</si>
  <si>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</si>
  <si>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</si>
  <si>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</si>
  <si>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</si>
  <si>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</si>
  <si>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</si>
  <si>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</si>
  <si>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</si>
  <si>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</si>
  <si>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</si>
  <si>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</si>
  <si>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</si>
  <si>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</si>
  <si>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</si>
  <si>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</si>
  <si>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</si>
  <si>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</si>
  <si>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</si>
  <si>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</si>
  <si>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</si>
  <si>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</si>
  <si>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</si>
  <si>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</si>
  <si>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</si>
  <si>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</si>
  <si>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</si>
  <si>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</si>
  <si>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</si>
  <si>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</si>
  <si>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</si>
  <si>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</si>
  <si>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</si>
  <si>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</si>
  <si>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</si>
  <si>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</si>
  <si>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</si>
  <si>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</si>
  <si>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</si>
  <si>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</si>
  <si>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</si>
  <si>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</si>
  <si>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</si>
  <si>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</si>
  <si>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</si>
  <si>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</si>
  <si>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</si>
  <si>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</si>
  <si>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</si>
  <si>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</si>
  <si>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</si>
  <si>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</si>
  <si>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</si>
  <si>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</si>
  <si>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</si>
  <si>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</si>
  <si>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</si>
  <si>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</si>
  <si>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</si>
  <si>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</si>
  <si>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</si>
  <si>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</si>
  <si>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</si>
  <si>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</si>
  <si>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</si>
  <si>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</si>
  <si>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</si>
  <si>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</si>
  <si>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</si>
  <si>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</si>
  <si>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</si>
  <si>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</si>
  <si>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</si>
  <si>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</si>
  <si>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</si>
  <si>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</si>
  <si>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</si>
  <si>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</si>
  <si>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</si>
  <si>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</si>
  <si>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</si>
  <si>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</si>
  <si>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</si>
  <si>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</si>
  <si>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</si>
  <si>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</si>
  <si>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</si>
  <si>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</si>
  <si>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</si>
  <si>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</si>
  <si>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</si>
  <si>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</si>
  <si>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</si>
  <si>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</si>
  <si>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</si>
  <si>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</si>
  <si>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</si>
  <si>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</si>
  <si>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</si>
  <si>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</si>
  <si>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</si>
  <si>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</si>
  <si>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</si>
  <si>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</si>
  <si>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</si>
  <si>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</si>
  <si>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</si>
  <si>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</si>
  <si>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</si>
  <si>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</si>
  <si>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</si>
  <si>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</si>
  <si>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</si>
  <si>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</si>
  <si>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</si>
  <si>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</si>
  <si>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</si>
  <si>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</si>
  <si>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</si>
  <si>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</si>
  <si>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</si>
  <si>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</si>
  <si>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</si>
  <si>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</si>
  <si>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</si>
  <si>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</si>
  <si>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</si>
  <si>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</si>
  <si>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</si>
  <si>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</si>
  <si>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</si>
  <si>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</si>
  <si>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</si>
  <si>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</si>
  <si>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</si>
  <si>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</si>
  <si>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</si>
  <si>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</si>
  <si>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</si>
  <si>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</si>
  <si>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</si>
  <si>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</si>
  <si>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</si>
  <si>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</si>
  <si>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</si>
  <si>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</si>
  <si>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</si>
  <si>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</si>
  <si>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</si>
  <si>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</si>
  <si>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</si>
  <si>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</si>
  <si>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</si>
  <si>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</si>
  <si>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</si>
  <si>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</si>
  <si>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</si>
  <si>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</si>
  <si>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</si>
  <si>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</si>
  <si>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</si>
  <si>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</si>
  <si>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</si>
  <si>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</si>
  <si>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</si>
  <si>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</si>
  <si>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</si>
  <si>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</si>
  <si>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</si>
  <si>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</si>
  <si>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</si>
  <si>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</si>
  <si>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</si>
  <si>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</si>
  <si>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</si>
  <si>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</si>
  <si>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</si>
  <si>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</si>
  <si>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</si>
  <si>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</si>
  <si>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</si>
  <si>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</si>
  <si>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</si>
  <si>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</si>
  <si>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</si>
  <si>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</si>
  <si>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</si>
  <si>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</si>
  <si>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</si>
  <si>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</si>
  <si>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</si>
  <si>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</si>
  <si>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</si>
  <si>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</si>
  <si>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</si>
  <si>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</si>
  <si>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</si>
  <si>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</si>
  <si>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</si>
  <si>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</si>
  <si>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</si>
  <si>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</si>
  <si>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</si>
  <si>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</si>
  <si>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</si>
  <si>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</si>
  <si>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</si>
  <si>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</si>
  <si>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</si>
  <si>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</si>
  <si>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</si>
  <si>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</si>
  <si>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</si>
  <si>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</si>
  <si>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</si>
  <si>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</si>
  <si>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</si>
  <si>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</si>
  <si>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</si>
  <si>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</si>
  <si>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</si>
  <si>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</si>
  <si>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</si>
  <si>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</si>
  <si>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</si>
  <si>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</si>
  <si>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</si>
  <si>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</si>
  <si>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</si>
  <si>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</si>
  <si>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</si>
  <si>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</si>
  <si>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</si>
  <si>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</si>
  <si>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</si>
  <si>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</si>
  <si>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</si>
  <si>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</si>
  <si>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</si>
  <si>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</si>
  <si>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</si>
  <si>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</si>
  <si>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</si>
  <si>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</si>
  <si>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</si>
  <si>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</si>
  <si>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</si>
  <si>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</si>
  <si>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</si>
  <si>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</si>
  <si>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</si>
  <si>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</si>
  <si>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</si>
  <si>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</si>
  <si>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</si>
  <si>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</si>
  <si>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</si>
  <si>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</si>
  <si>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</si>
  <si>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</si>
  <si>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</si>
  <si>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</si>
  <si>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</si>
  <si>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</si>
  <si>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</si>
  <si>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</si>
  <si>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</si>
  <si>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</si>
  <si>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</si>
  <si>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</si>
  <si>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</si>
  <si>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</si>
  <si>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</si>
  <si>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</si>
  <si>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</si>
  <si>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</si>
  <si>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</si>
  <si>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</si>
  <si>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</si>
  <si>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</si>
  <si>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</si>
  <si>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</si>
  <si>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</si>
  <si>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</si>
  <si>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</si>
  <si>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</si>
  <si>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</si>
  <si>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</si>
  <si>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</si>
  <si>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</si>
  <si>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</si>
  <si>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</si>
  <si>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</si>
  <si>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</si>
  <si>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</si>
  <si>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</si>
  <si>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</si>
  <si>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</si>
  <si>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</si>
  <si>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</si>
  <si>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</si>
  <si>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</si>
  <si>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</si>
  <si>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</si>
  <si>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</si>
  <si>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</si>
  <si>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</si>
  <si>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</si>
  <si>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</si>
  <si>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</si>
  <si>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</si>
  <si>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</si>
  <si>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</si>
  <si>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</si>
  <si>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</si>
  <si>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</si>
  <si>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</si>
  <si>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</si>
  <si>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</si>
  <si>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</si>
  <si>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</si>
  <si>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</si>
  <si>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</si>
  <si>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</si>
  <si>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</si>
  <si>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</si>
  <si>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</si>
  <si>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</si>
  <si>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</si>
  <si>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</si>
  <si>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</si>
  <si>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</si>
  <si>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</si>
  <si>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</si>
  <si>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</si>
  <si>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</si>
  <si>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</si>
  <si>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</si>
  <si>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</si>
  <si>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</si>
  <si>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</si>
  <si>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</si>
  <si>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</si>
  <si>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</si>
  <si>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</si>
  <si>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</si>
  <si>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</si>
  <si>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</si>
  <si>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</si>
  <si>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</si>
  <si>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</si>
  <si>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</si>
  <si>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</si>
  <si>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</si>
  <si>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</si>
  <si>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</si>
  <si>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</si>
  <si>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</si>
  <si>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</si>
  <si>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</si>
  <si>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</si>
  <si>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</si>
  <si>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</si>
  <si>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</si>
  <si>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</si>
  <si>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</si>
  <si>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</si>
  <si>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</si>
  <si>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</si>
  <si>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</si>
  <si>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</si>
  <si>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</si>
  <si>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</si>
  <si>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</si>
  <si>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</si>
  <si>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</si>
  <si>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</si>
  <si>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</si>
  <si>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</si>
  <si>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</si>
  <si>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</si>
  <si>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</si>
  <si>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</si>
  <si>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</si>
  <si>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</si>
  <si>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</si>
  <si>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</si>
  <si>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</si>
  <si>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</si>
  <si>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</si>
  <si>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</si>
  <si>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</si>
  <si>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</si>
  <si>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</si>
  <si>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</si>
  <si>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</si>
  <si>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</si>
  <si>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</si>
  <si>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</si>
  <si>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</si>
  <si>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</si>
  <si>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</si>
  <si>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</si>
  <si>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</si>
  <si>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</si>
  <si>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</si>
  <si>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</si>
  <si>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</si>
  <si>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</si>
  <si>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</si>
  <si>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</si>
  <si>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</si>
  <si>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</si>
  <si>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</si>
  <si>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</si>
  <si>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</si>
  <si>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</si>
  <si>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</si>
  <si>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</si>
  <si>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</si>
  <si>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</si>
  <si>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</si>
  <si>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</si>
  <si>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</si>
  <si>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</si>
  <si>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</si>
  <si>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</si>
  <si>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</si>
  <si>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</si>
  <si>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</si>
  <si>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</si>
  <si>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</si>
  <si>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</si>
  <si>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</si>
  <si>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</si>
  <si>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</si>
  <si>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</si>
  <si>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</si>
  <si>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</si>
  <si>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</si>
  <si>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</si>
  <si>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</si>
  <si>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</si>
  <si>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</si>
  <si>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</si>
  <si>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</si>
  <si>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</si>
  <si>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</si>
  <si>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</si>
  <si>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</si>
  <si>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</si>
  <si>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</si>
  <si>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</si>
  <si>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</si>
  <si>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</si>
  <si>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</si>
  <si>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</si>
  <si>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</si>
  <si>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</si>
  <si>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</si>
  <si>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</si>
  <si>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</si>
  <si>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</si>
  <si>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</si>
  <si>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</si>
  <si>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</si>
  <si>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</si>
  <si>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</si>
  <si>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</si>
  <si>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</si>
  <si>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</si>
  <si>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</si>
  <si>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</si>
  <si>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</si>
  <si>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</si>
  <si>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</si>
  <si>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</si>
  <si>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</si>
  <si>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</si>
  <si>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</si>
  <si>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</si>
  <si>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</si>
  <si>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</si>
  <si>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</si>
  <si>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</si>
  <si>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</si>
  <si>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</si>
  <si>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</si>
  <si>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</si>
  <si>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</si>
  <si>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</si>
  <si>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</si>
  <si>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</si>
  <si>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</si>
  <si>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</si>
  <si>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</si>
  <si>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</si>
  <si>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</si>
  <si>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</si>
  <si>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</si>
  <si>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</si>
  <si>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</si>
  <si>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</si>
  <si>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</si>
  <si>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</si>
  <si>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</si>
  <si>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</si>
  <si>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</si>
  <si>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</si>
  <si>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</si>
  <si>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</si>
  <si>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</si>
  <si>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</si>
  <si>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</si>
  <si>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</si>
  <si>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</si>
  <si>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</si>
  <si>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</si>
  <si>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</si>
  <si>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</si>
  <si>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</si>
  <si>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</si>
  <si>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</si>
  <si>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</si>
  <si>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</si>
  <si>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</si>
  <si>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</si>
  <si>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</si>
  <si>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</si>
  <si>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</si>
  <si>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</si>
  <si>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</si>
  <si>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</si>
  <si>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</si>
  <si>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</si>
  <si>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</si>
  <si>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</si>
  <si>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</si>
  <si>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</si>
  <si>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</si>
  <si>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</si>
  <si>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</si>
  <si>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</si>
  <si>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</si>
  <si>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</si>
  <si>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</si>
  <si>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</si>
  <si>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</si>
  <si>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</si>
  <si>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</si>
  <si>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</si>
  <si>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</si>
  <si>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</si>
  <si>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</si>
  <si>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</si>
  <si>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</si>
  <si>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</si>
  <si>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</si>
  <si>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</si>
  <si>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</si>
  <si>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</si>
  <si>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</si>
  <si>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</si>
  <si>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</si>
  <si>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</si>
  <si>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</si>
  <si>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</si>
  <si>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</si>
  <si>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</si>
  <si>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</si>
  <si>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</si>
  <si>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</si>
  <si>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</si>
  <si>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</si>
  <si>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</si>
  <si>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</si>
  <si>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</si>
  <si>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</si>
  <si>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</si>
  <si>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</si>
  <si>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</si>
  <si>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</si>
  <si>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</si>
  <si>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</si>
  <si>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</si>
  <si>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</si>
  <si>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</si>
  <si>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</si>
  <si>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</si>
  <si>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</si>
  <si>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</si>
  <si>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</si>
  <si>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</si>
  <si>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</si>
  <si>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</si>
  <si>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</si>
  <si>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</si>
  <si>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</si>
  <si>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</si>
  <si>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</si>
  <si>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</si>
  <si>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</si>
  <si>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</si>
  <si>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</si>
  <si>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</si>
  <si>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</si>
  <si>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</si>
  <si>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</si>
  <si>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</si>
  <si>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</si>
  <si>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</si>
  <si>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</si>
  <si>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</si>
  <si>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</si>
  <si>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</si>
  <si>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</si>
  <si>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</si>
  <si>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</si>
  <si>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</si>
  <si>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</si>
  <si>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</si>
  <si>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</si>
  <si>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</si>
  <si>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</si>
  <si>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</si>
  <si>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</si>
  <si>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</si>
  <si>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</si>
  <si>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</si>
  <si>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</si>
  <si>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</si>
  <si>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</si>
  <si>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</si>
  <si>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</si>
  <si>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</si>
  <si>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</si>
  <si>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</si>
  <si>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</si>
  <si>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</si>
  <si>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</si>
  <si>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</si>
  <si>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</si>
  <si>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</si>
  <si>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</si>
  <si>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</si>
  <si>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</si>
  <si>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</si>
  <si>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</si>
  <si>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</si>
  <si>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</si>
  <si>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</si>
  <si>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</si>
  <si>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</si>
  <si>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</si>
  <si>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</si>
  <si>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</si>
  <si>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</si>
  <si>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</si>
  <si>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</si>
  <si>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</si>
  <si>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</si>
  <si>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</si>
  <si>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</si>
  <si>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</si>
  <si>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</si>
  <si>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</si>
  <si>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</si>
  <si>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</si>
  <si>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</si>
  <si>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</si>
  <si>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</si>
  <si>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</si>
  <si>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</si>
  <si>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</si>
  <si>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</si>
  <si>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</si>
  <si>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</si>
  <si>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</si>
  <si>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</si>
  <si>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</si>
  <si>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</si>
  <si>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</si>
  <si>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</si>
  <si>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</si>
  <si>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</si>
  <si>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</si>
  <si>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</si>
  <si>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</si>
  <si>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</si>
  <si>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</si>
  <si>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</si>
  <si>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</si>
  <si>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</si>
  <si>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</si>
  <si>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</si>
  <si>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</si>
  <si>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</si>
  <si>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</si>
  <si>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</si>
  <si>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</si>
  <si>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</si>
  <si>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</si>
  <si>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</si>
  <si>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</si>
  <si>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</si>
  <si>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</si>
  <si>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</si>
  <si>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</si>
  <si>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</si>
  <si>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</si>
  <si>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</si>
  <si>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</si>
  <si>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</si>
  <si>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</si>
  <si>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</si>
  <si>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</si>
  <si>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</si>
  <si>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</si>
  <si>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</si>
  <si>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</si>
  <si>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</si>
  <si>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</si>
  <si>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</si>
  <si>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</si>
  <si>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</si>
  <si>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</si>
  <si>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</si>
  <si>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</si>
  <si>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</si>
  <si>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</si>
  <si>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</si>
  <si>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</si>
  <si>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</si>
  <si>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</si>
  <si>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</si>
  <si>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</si>
  <si>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</si>
  <si>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</si>
  <si>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</si>
  <si>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</si>
  <si>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</si>
  <si>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</si>
  <si>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</si>
  <si>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</si>
  <si>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</si>
  <si>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</si>
  <si>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</si>
  <si>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</si>
  <si>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</si>
  <si>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</si>
  <si>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</si>
  <si>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</si>
  <si>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</si>
  <si>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</si>
  <si>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</si>
  <si>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</si>
  <si>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</si>
  <si>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</si>
  <si>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</si>
  <si>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</si>
  <si>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</si>
  <si>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</si>
  <si>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</si>
  <si>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</si>
  <si>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</si>
  <si>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</si>
  <si>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</si>
  <si>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</si>
  <si>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</si>
  <si>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</si>
  <si>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</si>
  <si>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</si>
  <si>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</si>
  <si>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</si>
  <si>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</si>
  <si>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</si>
  <si>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</si>
  <si>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</si>
  <si>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</si>
  <si>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</si>
  <si>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</si>
  <si>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</si>
  <si>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</si>
  <si>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</si>
  <si>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</si>
  <si>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</si>
  <si>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</si>
  <si>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</si>
  <si>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</si>
  <si>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</si>
  <si>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</si>
  <si>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</si>
  <si>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</si>
  <si>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</si>
  <si>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</si>
  <si>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</si>
  <si>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</si>
  <si>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</si>
  <si>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</si>
  <si>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</si>
  <si>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</si>
  <si>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</si>
  <si>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</si>
  <si>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</si>
  <si>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</si>
  <si>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</si>
  <si>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</si>
  <si>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</si>
  <si>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</si>
  <si>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</si>
  <si>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</si>
  <si>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</si>
  <si>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</si>
  <si>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</si>
  <si>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</si>
  <si>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</si>
  <si>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</si>
  <si>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</si>
  <si>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</si>
  <si>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</si>
  <si>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</si>
  <si>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</si>
  <si>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</si>
  <si>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</si>
  <si>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</si>
  <si>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</si>
  <si>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</si>
  <si>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</si>
  <si>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</si>
  <si>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</si>
  <si>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</si>
  <si>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</si>
  <si>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</si>
  <si>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</si>
  <si>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</si>
  <si>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</si>
  <si>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</si>
  <si>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</si>
  <si>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</si>
  <si>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</si>
  <si>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</si>
  <si>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</si>
  <si>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</si>
  <si>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</si>
  <si>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</si>
  <si>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</si>
  <si>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</si>
  <si>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</si>
  <si>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</si>
  <si>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</si>
  <si>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</si>
  <si>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</si>
  <si>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</si>
  <si>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</si>
  <si>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</si>
  <si>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</si>
  <si>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</si>
  <si>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</si>
  <si>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</si>
  <si>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</si>
  <si>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</si>
  <si>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</si>
  <si>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</si>
  <si>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</si>
  <si>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</si>
  <si>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</si>
  <si>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</si>
  <si>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</si>
  <si>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</si>
  <si>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</si>
  <si>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</si>
  <si>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</si>
  <si>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</si>
  <si>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</si>
  <si>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</si>
  <si>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</si>
  <si>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</si>
  <si>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</si>
  <si>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</si>
  <si>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</si>
  <si>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</si>
  <si>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</si>
  <si>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</si>
  <si>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</si>
  <si>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</si>
  <si>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</si>
  <si>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</si>
  <si>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</si>
  <si>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</si>
  <si>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</si>
  <si>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</si>
  <si>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</si>
  <si>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</si>
  <si>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</si>
  <si>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</si>
  <si>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</si>
  <si>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</si>
  <si>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</si>
  <si>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</si>
  <si>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</si>
  <si>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</si>
  <si>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</si>
  <si>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</si>
  <si>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</si>
  <si>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</si>
  <si>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</si>
  <si>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</si>
  <si>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</si>
  <si>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</si>
  <si>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</si>
  <si>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</si>
  <si>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</si>
  <si>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</si>
  <si>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</si>
  <si>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</si>
  <si>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</si>
  <si>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</si>
  <si>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</si>
  <si>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</si>
  <si>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</si>
  <si>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</si>
  <si>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</si>
  <si>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</si>
  <si>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</si>
  <si>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</si>
  <si>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</si>
  <si>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</si>
  <si>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</si>
  <si>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</si>
  <si>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</si>
  <si>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</si>
  <si>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</si>
  <si>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</si>
  <si>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</si>
  <si>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</si>
  <si>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</si>
  <si>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</si>
  <si>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</si>
  <si>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</si>
  <si>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</si>
  <si>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</si>
  <si>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</si>
  <si>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</si>
  <si>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</si>
  <si>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</si>
  <si>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</si>
  <si>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</si>
  <si>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</si>
  <si>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</si>
  <si>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</si>
  <si>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</si>
  <si>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</si>
  <si>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</si>
  <si>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</si>
  <si>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</si>
  <si>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</si>
  <si>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</si>
  <si>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</si>
  <si>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</si>
  <si>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</si>
  <si>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</si>
  <si>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</si>
  <si>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</si>
  <si>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</si>
  <si>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</si>
  <si>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</si>
  <si>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</si>
  <si>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</si>
  <si>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</si>
  <si>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</si>
  <si>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</si>
  <si>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</si>
  <si>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</si>
  <si>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</si>
  <si>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</si>
  <si>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</si>
  <si>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</si>
  <si>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</si>
  <si>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</si>
  <si>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</si>
  <si>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</si>
  <si>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</si>
  <si>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</si>
  <si>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</si>
  <si>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</si>
  <si>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</si>
  <si>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</si>
  <si>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</si>
  <si>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</si>
  <si>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</si>
  <si>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</si>
  <si>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</si>
  <si>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</si>
  <si>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</si>
  <si>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</si>
  <si>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</si>
  <si>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</si>
  <si>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</si>
  <si>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</si>
  <si>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</si>
  <si>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</si>
  <si>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</si>
  <si>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</si>
  <si>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</si>
  <si>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</si>
  <si>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</si>
  <si>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</si>
  <si>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</si>
  <si>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</si>
  <si>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</si>
  <si>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</si>
  <si>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</si>
  <si>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</si>
  <si>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</si>
  <si>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</si>
  <si>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</si>
  <si>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</si>
  <si>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</si>
  <si>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</si>
  <si>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</si>
  <si>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</si>
  <si>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</si>
  <si>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</si>
  <si>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</si>
  <si>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</si>
  <si>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</si>
  <si>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</si>
  <si>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</si>
  <si>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</si>
  <si>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</si>
  <si>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</si>
  <si>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</si>
  <si>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</si>
  <si>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</si>
  <si>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</si>
  <si>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</si>
  <si>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</si>
  <si>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</si>
  <si>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</si>
  <si>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</si>
  <si>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</si>
  <si>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</si>
  <si>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</si>
  <si>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</si>
  <si>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</si>
  <si>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</si>
  <si>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</si>
  <si>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</si>
  <si>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</si>
  <si>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</si>
  <si>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</si>
  <si>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</si>
  <si>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</si>
  <si>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</si>
  <si>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</si>
  <si>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</si>
  <si>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</si>
  <si>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</si>
  <si>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</si>
  <si>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</si>
  <si>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</si>
  <si>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</si>
  <si>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</si>
  <si>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</si>
  <si>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</si>
  <si>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</si>
  <si>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</si>
  <si>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</si>
  <si>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</si>
  <si>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</si>
  <si>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</si>
  <si>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</si>
  <si>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</si>
  <si>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</si>
  <si>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</si>
  <si>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</si>
  <si>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</si>
  <si>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</si>
  <si>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</si>
  <si>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</si>
  <si>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</si>
  <si>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</si>
  <si>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</si>
  <si>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</si>
  <si>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</si>
  <si>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</si>
  <si>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</si>
  <si>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</si>
  <si>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</si>
  <si>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</si>
  <si>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</si>
  <si>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</si>
  <si>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</si>
  <si>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</si>
  <si>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</si>
  <si>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</si>
  <si>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</si>
  <si>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</si>
  <si>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</si>
  <si>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</si>
  <si>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</si>
  <si>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</si>
  <si>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</si>
  <si>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</si>
  <si>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</si>
  <si>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</si>
  <si>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</si>
  <si>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</si>
  <si>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</si>
  <si>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</si>
  <si>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</si>
  <si>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</si>
  <si>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</si>
  <si>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</si>
  <si>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</si>
  <si>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</si>
  <si>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</si>
  <si>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</si>
  <si>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</si>
  <si>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</si>
  <si>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</si>
  <si>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</si>
  <si>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</si>
  <si>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</si>
  <si>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</si>
  <si>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</si>
  <si>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</si>
  <si>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</si>
  <si>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</si>
  <si>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</si>
  <si>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</si>
  <si>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</si>
  <si>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</si>
  <si>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</si>
  <si>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</si>
  <si>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</si>
  <si>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</si>
  <si>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</si>
  <si>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</si>
  <si>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</si>
  <si>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</si>
  <si>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</si>
  <si>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</si>
  <si>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</si>
  <si>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</si>
  <si>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</si>
  <si>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</si>
  <si>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</si>
  <si>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</si>
  <si>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</si>
  <si>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</si>
  <si>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</si>
  <si>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</si>
  <si>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</si>
  <si>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</si>
  <si>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</si>
  <si>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</si>
  <si>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</si>
  <si>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</si>
  <si>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</si>
  <si>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</si>
  <si>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</si>
  <si>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</si>
  <si>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</si>
  <si>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</si>
  <si>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</si>
  <si>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</si>
  <si>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</si>
  <si>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</si>
  <si>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</si>
  <si>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</si>
  <si>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</si>
  <si>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</si>
  <si>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</si>
  <si>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</si>
  <si>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</si>
  <si>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</si>
  <si>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</si>
  <si>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</si>
  <si>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</si>
  <si>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</si>
  <si>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</si>
  <si>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</si>
  <si>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</si>
  <si>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</si>
  <si>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</si>
  <si>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</si>
  <si>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</si>
  <si>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</si>
  <si>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</si>
  <si>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</si>
  <si>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</si>
  <si>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</si>
  <si>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</si>
  <si>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</si>
  <si>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</si>
  <si>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</si>
  <si>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</si>
  <si>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</si>
  <si>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</si>
  <si>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</si>
  <si>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</si>
  <si>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</si>
  <si>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</si>
  <si>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</si>
  <si>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</si>
  <si>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</si>
  <si>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</si>
  <si>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</si>
  <si>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</si>
  <si>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</si>
  <si>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William J. Rea, Jr.</t>
  </si>
  <si>
    <t>2964 Peachtree Rd NW, Suite 200</t>
  </si>
  <si>
    <t>billrea@reaventures.com</t>
  </si>
  <si>
    <t>Sandra Hudson</t>
  </si>
  <si>
    <t>Executive Director</t>
  </si>
  <si>
    <t>329 W 9th St</t>
  </si>
  <si>
    <t>shudson@nwgha.com</t>
  </si>
  <si>
    <t>Altoview Terrace</t>
  </si>
  <si>
    <t>410 E 14th St and Maple St</t>
  </si>
  <si>
    <t>Within City Limits</t>
  </si>
  <si>
    <t>13115001600</t>
  </si>
  <si>
    <t>City of Rome</t>
  </si>
  <si>
    <t>www.romefloyd.com</t>
  </si>
  <si>
    <t>Jamie Doss</t>
  </si>
  <si>
    <t>Mayor</t>
  </si>
  <si>
    <t>601 Broad St</t>
  </si>
  <si>
    <t>jdoss@romega.us</t>
  </si>
  <si>
    <t>Altoview Terrace, LP</t>
  </si>
  <si>
    <t>329 West 9th St</t>
  </si>
  <si>
    <t>For Profit</t>
  </si>
  <si>
    <t>Altoview Terrace GP 2018, LLC</t>
  </si>
  <si>
    <t>www.nwgha.com</t>
  </si>
  <si>
    <t>shudson@nwgha,com</t>
  </si>
  <si>
    <t>www.reaventures.com</t>
  </si>
  <si>
    <t>Boston Capital</t>
  </si>
  <si>
    <t>Peter Flynn</t>
  </si>
  <si>
    <t>One Boston Place, 21st Floor</t>
  </si>
  <si>
    <t>VP Acquistions</t>
  </si>
  <si>
    <t xml:space="preserve">Boston  </t>
  </si>
  <si>
    <t>www.bostoncapital.com</t>
  </si>
  <si>
    <t>pflynn@bostoncapital.com</t>
  </si>
  <si>
    <t>2964 Peachtree Rd NW Suite 200</t>
  </si>
  <si>
    <t>Manager</t>
  </si>
  <si>
    <t>www.nwgha,com</t>
  </si>
  <si>
    <t>Great Southern, LLC</t>
  </si>
  <si>
    <t>Mike McGlamry</t>
  </si>
  <si>
    <t>2009 Springhill Drive</t>
  </si>
  <si>
    <t>www.greatsouthernllc.com</t>
  </si>
  <si>
    <t>mike@greatsouthernllc.com</t>
  </si>
  <si>
    <t>Brinson Askew Berry</t>
  </si>
  <si>
    <t>615 West First St</t>
  </si>
  <si>
    <t>Stewart Duncan</t>
  </si>
  <si>
    <t>Partner</t>
  </si>
  <si>
    <t>www.brinson-askew.com</t>
  </si>
  <si>
    <t xml:space="preserve">Rome </t>
  </si>
  <si>
    <t>isduggan@brinson-askew.com</t>
  </si>
  <si>
    <t>Aprio</t>
  </si>
  <si>
    <t>Five Concourse Pkwy, STE 1000</t>
  </si>
  <si>
    <t>Frank Gudger</t>
  </si>
  <si>
    <t>www.hawcpa.com</t>
  </si>
  <si>
    <t>frank.gudger@hawcpa.com</t>
  </si>
  <si>
    <t>Parnter</t>
  </si>
  <si>
    <t>Seven Hills Architecture</t>
  </si>
  <si>
    <t>21 Somerset Lane</t>
  </si>
  <si>
    <t>www.sevenhillsarchitectue.com</t>
  </si>
  <si>
    <t>bruce@sevenhillsarchitecture.com</t>
  </si>
  <si>
    <t>Bruce Mitchell</t>
  </si>
  <si>
    <t>Ground Lease- See GL</t>
  </si>
  <si>
    <t>William J. Rea, Jr. owns 45% interest in the Contractor and 58% of the Developer, Rea Ventures Group, LLC.</t>
  </si>
  <si>
    <t xml:space="preserve">Northwest Georgia Housing Authority, a co-developer of this development, will continue to own the land and lease it through a long-term ground lease to the partnership's ownership entity.  </t>
  </si>
  <si>
    <t>RAD</t>
  </si>
  <si>
    <t>Synovus Bank of Rome</t>
  </si>
  <si>
    <t xml:space="preserve">Boston Capital </t>
  </si>
  <si>
    <t>PA18-070</t>
  </si>
  <si>
    <t>Yes - see Comment</t>
  </si>
  <si>
    <t>MF</t>
  </si>
  <si>
    <t>2-Story Walkup</t>
  </si>
  <si>
    <t>Pool Supplies and Maintenance</t>
  </si>
  <si>
    <t>App Screening and Compliance</t>
  </si>
  <si>
    <t>Payroll tax $13,564 Bank charges $1265</t>
  </si>
  <si>
    <t>DDA/QCT</t>
  </si>
  <si>
    <t xml:space="preserve">Family </t>
  </si>
  <si>
    <t>Agree</t>
  </si>
  <si>
    <t>Semi-Monthly Gatherings and Special Family Programs</t>
  </si>
  <si>
    <t>GED Educational Services,  After-school tutoring</t>
  </si>
  <si>
    <t>Bowen National Research</t>
  </si>
  <si>
    <t>Five months</t>
  </si>
  <si>
    <t>McCall Place</t>
  </si>
  <si>
    <t>Burrell Square</t>
  </si>
  <si>
    <t>Etowah Blend</t>
  </si>
  <si>
    <t>Ground lease/Option</t>
  </si>
  <si>
    <t>Site is accessible by paved roads. There are city streets connected to all entrances and sidewalks.</t>
  </si>
  <si>
    <t>N/Ap</t>
  </si>
  <si>
    <t>Georgia Power</t>
  </si>
  <si>
    <t>No gas on the property. Georgia Power letter included with this application.</t>
  </si>
  <si>
    <t>Rome Water and Sewer Division</t>
  </si>
  <si>
    <t>Rome Water and Sewer provides public water and sewer to the properties. The lines are already installed since service was previously supplied to the sites.</t>
  </si>
  <si>
    <t>Covered Porch</t>
  </si>
  <si>
    <t>On-site laundry</t>
  </si>
  <si>
    <t>Playground</t>
  </si>
  <si>
    <t>Covered Pavilion with Picnic Tables/BBQ Facilities</t>
  </si>
  <si>
    <t>The amenities for Altoview are selected for Family tenancy.</t>
  </si>
  <si>
    <t>All QAP requirements have been included in the submitted application.</t>
  </si>
  <si>
    <t>The applicant will prioritize the sustainability of the affordable housing development.</t>
  </si>
  <si>
    <t>Zeffert and Associates</t>
  </si>
  <si>
    <t>REA Ventures Group, LLC will be the Certifying General Partner and Co-Developer of this project.</t>
  </si>
  <si>
    <t>Applicant is not applying in the Rural Home Set Aside.</t>
  </si>
  <si>
    <t>Applicant is not applying in the CHDO set aside.</t>
  </si>
  <si>
    <t>A legal opinion for eligibility as a scattered site is submitted with this application.</t>
  </si>
  <si>
    <t>NWGHA along with REA Ventures Group has and will continue to facilitate AFFH.</t>
  </si>
  <si>
    <t>Rea Ventures Group, LLC</t>
  </si>
  <si>
    <t>Landscape Architect</t>
  </si>
  <si>
    <t>Bond</t>
  </si>
  <si>
    <t>Rea GP Holdings Group II &amp; Rea Ventures Group</t>
  </si>
  <si>
    <t>Abbington on Cheshire Bridge</t>
  </si>
  <si>
    <t>Direct</t>
  </si>
  <si>
    <t>W.J. Rea, Jr/E Buffenbarger/G Coogle III</t>
  </si>
  <si>
    <t>Abbington Ridge</t>
  </si>
  <si>
    <t>Brady Communities / Brady Development</t>
  </si>
  <si>
    <t>Abbington on Chesire Bridge</t>
  </si>
  <si>
    <t>Sean Brady</t>
  </si>
  <si>
    <t>Northwest GA Housing Authority (inexp)</t>
  </si>
  <si>
    <t>Northwest GA Housing Authority</t>
  </si>
  <si>
    <t xml:space="preserve">There is not a line item for Landscape Architecture. </t>
  </si>
  <si>
    <t>This amount is based on an estimate from the site acrchitect.</t>
  </si>
  <si>
    <t>HUD NWGHA ALLOWANCE - 2017-2018 Approved Utility Allowance</t>
  </si>
  <si>
    <t>Near East 14th St and Maple St</t>
  </si>
  <si>
    <t>Justification from experience as Developer and General Contractor and set within the 2017 HUD Cost Limits effective 1/1/2018.</t>
  </si>
  <si>
    <t xml:space="preserve">Altoview has committed to comply with the Enterprise Foundation Green Communities Certification program and achieve ten additional points over the baseline certification level. The applicant has worked with SK Collaborative- an Enterprise Qualified TA Provider- to develop a compliant worksheet to achieve this standard. Currently, Altoview is tracking 66 points in the program including compliance with all mandatory program requirements.  Basic certification level requires 35 points (plus 10) for compliance. 45 total </t>
  </si>
  <si>
    <t>The architectural design of the project represents a type used successfully on numerous prior developments and which has been received well in markets across GA. Exterior will be brick and stone with an attractive, visually appealing design.</t>
  </si>
  <si>
    <t xml:space="preserve">We have set aside 15% (10) of the units for Integrated Supportive Housing Targeted Population Preference units. Eventhough there is RAD on all units, NWGHA is commiting project based vouchers for minimum of 10 years, to cover the resdients portion of the rent. The rent rate will be the same and these units are included in the breakdown of rents above. </t>
  </si>
  <si>
    <t>20 years</t>
  </si>
  <si>
    <t>Site A is zoned M-R Multifamily Residential. Site D is zoned  DR.</t>
  </si>
  <si>
    <t>Accessibility and Fair Housing for disabled tenants continues to be an important role and foucs of our development team. The development will be in full compliance.</t>
  </si>
  <si>
    <t>https://www.romefloyd.com/departments/transit-department</t>
  </si>
  <si>
    <t>https://www.romefloyd.com/system/resources/W1siZiIsIjIwMTUvMDMvMjAvMjMvMDUvMDAvMTk3L1JURF9NYXAuSlBHIl1d/RTD%20Map.JPG?sha=97e2b8bf8afb8371</t>
  </si>
  <si>
    <t>Route Two A and Route Two B</t>
  </si>
  <si>
    <t>City of Rome Public Schools</t>
  </si>
  <si>
    <t>East Central Elementary</t>
  </si>
  <si>
    <t>Pk-06</t>
  </si>
  <si>
    <t>Rome Middle School</t>
  </si>
  <si>
    <t>Rome High School</t>
  </si>
  <si>
    <t>9-12</t>
  </si>
  <si>
    <t>7-8</t>
  </si>
  <si>
    <t>Government</t>
  </si>
  <si>
    <t>N/a</t>
  </si>
  <si>
    <t xml:space="preserve">According to Georgia DCA's online GIS mapping system (.http://georgia-dca.maps.arcgis.com), there have never been any LIHTC awards within a mile of the development site.  Therefore, Altoview is eligible for three (3) points under Previous Projects (Flexible Pool) since the site is not within a 1-mile radius of a Georgia Housing Credit development that has received an award in the last Six (6) DCA funding cycles.  											</t>
  </si>
  <si>
    <t>We are not taking the Priority Point for this project.</t>
  </si>
  <si>
    <t xml:space="preserve">Altoview Terrace Apartments is a proposed scattered site for a new 66-unit RAD multifamily housing development located near 1341 Spring Creek and 410-420 East Fourteenth Street in Rome, Floyd County, Georgia. The property is situated on two sites. One site (Parcel A) consists of 4.95 acres and the other site (Parcel D) is roughly 0.52 acres, totaling 5.47 acres.  Currently the larger parcel (Parcel A) is a vacant piece of land. The smaller parcel (Parcel D) has an abandoned home. As indicated in the market study, this area of concentration could use an additional 696 affordable housing units to fill the need of the area. Northwest Georgia Housing Authority (NWGHA) the local Public Housing Authority has a current wait list of 696 applicants in need of housing in Rome, GA. NWGHA along with its development partner REA Ventures Group looks forward to filling the need with new, safe affordable housing units.
Altoview Terrace will be utilizing the current CHAP award for Willingham Village. The transfer is in process and documentation is attached.
The development will consist of 62-units on Parcel A and Parcel D will consist of 4 two-bedroom units in two buildings. Parcel A is zoned MR and Parcel D is zoned DR which allow for the proposed design.  The development will target families.  All sites are located within a quarter mile of each other.
Unit mix will comprise of 1-bedroom/1-bathroom (821 square feet), 2-bedroom/2-bathroom (1,118 square feet Site A, and 1,054 Site D), 3-bedroom/2-bathroom (1,626 square feet) and 4-bedroom/2-bathroom (1,878 square feet) units.  The development will be an affordable housing development, with below-market affordable rents at levels affordable to families at 60% or less of area median income level. Since this property will have a 20-year RAD Agreement, Deeper Targeting of 100% of the units through PBV will be issued by NWGHA and affordable to 30% and below rental rates to all residents. 15% of the units will be set aside for Target Preference Residents. NWGHA has an MOU stating that 10 of the 66 units will be covered by NWGHA PBV as well as RAD PBV.
The property is located in a transforming area of East Rome. New multifamily, single family and commercial real estate is popping up throughout the area. East Rome has a detailed and ongoing Community Revitalization/Transformation Plan which includes the area of these two parcels.  
Amenities will be plentiful at the development to provide many services on site for the convenience of residents.  Common amenities will include a community room/clubhouse with kitchenette, laundry facility, swimming pool, playground, and picnic pavilion with grills.  Units will be fully equipped with a refrigerator with icemaker, a microwave, a range top with oven, washer/dryer connections, and ceiling fans in bedrooms and living room.  The co-developers of the project are committed to obtaining the highest level of exceptional sustainable building certification using Green Building as a design priority.
The development will include a community room in the Community Center/Clubhouse that will hold events for residents such as special health screenings and medical consultations space operated by a local medical office.  While these services will be offered at no additional charge to residents, other neighborhood members can also access the services with fees offered on a sliding fee schedule based on family income. 
All utilities are available at the development sites.  The high-quality brick and stone design will blend in and complement the architecture of the surrounding homes.
The location of both parcels makes convenient access to businesses that offer daily needs. The scattered sites are located in a growing, highly populated area of East Rome. Most of the desirable amenities are with .5 and 1.5 miles of both sites. 
The sites location gives multiple transportation opportunities for the residents. Public transportation is located within 400 feet walking distance of the sites.
NWGHA and the Applicant will continue its mission of participating in enriched property services at Altoview.
Northwest Georgia Housing Authority (NWGHA) has always been on the forefront and cutting edge of services for its residents. NWGHA’s mission is to provide safe and decent housing alongside innovative and supportive services for its residents in their efforts to become self-sufficient. One of the important services NWGHA provides is the Adult Education (GED) Program.  The properties community room will have a computer center to assist residents in achieving their educational goals. Online courses will be offered through the education program offering residents an opportunity to work on assignments on site or on the go.
Altoview Terrace will also provide educational and opportunities for self-sufficiency for the residents of the community. Residents of the Altoview Terrace Apartments will be encouraged to participate in NWGHA’s free Adult Education Program, Family Self-Sufficiency Program, and Data Sharing Road Map Program. Transportation will be provided to and from Altoview Terrace for the Adult Education Program students. Another educational program that will be offered to residents is the Data Sharing Road Map Program. This program tracks students’ attendance, grades, and truancy records to improve their educational success. Residents will also be eligible to participate in the Family-Self Sufficiency. The Family Self-Sufficiency (FSS) Program is a voluntary program for participants in the Housing Choice Voucher Program who want to gain employment. Advertisements will be posted in visible locations throughout the property and recruiting efforts will be made on-site on a regular basis.
The school attendance zone for the property has above-average CCRPI scoring schools. The Applicant as well as the school superintendent are dedicated to quality education for the residents of Altoview.
Altoview is located in a workforce housing and job strength desired area. The city and county continue to improve workforce housing opportunities for the community of Rome.
The Redevelopment/Transformation Plan of East Rome was established to inspire quality-of-life for residents of the community. Altoview is located within the targeted area of the plan adopted in 2008 with ongoing efforts to improve, initiate and implement affordable housing through leading groups in East Rome. The redevelopment plan targets this specific area due to the fact that the housing authority owns the land and it is cleared and ready for development. Today the plan has completed projects such as Foster Care Services, removal of dilapidated housing, improve infrastructure and its efforts to provide safety and affordable housing for the area residents. The plans efforts are visible through these improvements which have been completed and future planning improvements within 1/2 mile of the property. The city and local constituents have contributed several million dollars along with federal, state and local funding to these improvements. 
As evidenced in the East Rome Redevelopment Plan, Altoview Terrace is considered a hub of the area for growth and life enrichment of the residents of the community. Through partnerships, philanthropic activities, community initiative and local funding this area will transform aesthetically, enriching the community, growing community outreach services and quality education to serve the residents of the property and East Rome.
Altoview Terrace, LP is willing to extend its affordable compliance for an additional five years after the close of the compliance period.
There’s no question that by the efforts and the dedication to the community from Northwest Georgia Housing Authority should be considered an exceptional public housing authority. This housing authority’s resume is extensive and providing decent, safe affordable housing as well as improving the wellness of their community. Known as a strong innovative and highly influential organization, NWGHA has received accolades for their giving back to the community from HUD in the state of Georgia. 
Altoview is located in a Georgia Initiative Community. The East Rome Redevelopment Organization of the city of Rome supports this development. The improvement is foreseen as a positive addition and achievement of a large portion of their area redevelopment plan.
Altoview Terrace, LP will have a ground lease for 70 years. 
Altoview Terrace, LP, along with NWGHA, will have a 20-year Rental Assistance Demonstration Agreement
with HUD on 100% of the units. The Applicant has elected to offer safe, decent affordable housing to residents
with disabilities as outlined in their Administrative Plan and commitment to HUD.
NWGHA has provided safe, decent and sanitary housing for its residents since its organization in 1938. NWGHA was organized to provide public housing, and has since expanded to include RAD projects and LIHTC projects. NWGHA is under the management of the Executive Director who has been in the position for eighteen years.
</t>
  </si>
  <si>
    <t>Other Govt</t>
  </si>
  <si>
    <t>We will be supply the services attached through MOUs and NWGHA.</t>
  </si>
  <si>
    <t>Appraisal not needed for a ground lease. Ground lease will be for 70 years.</t>
  </si>
  <si>
    <t>An executed Purhcase Option Agreement for a 70 year Ground Lease is included for the property.</t>
  </si>
  <si>
    <t>http://www.nwgha.com/images/EastRome%20REdevelopment/East%20Rome_Redev%20Plan_Part%201.pdf
http://www.nwgha.com/images/EastRome%20REdevelopment/East%20Rome_Redev%20Plan_Part%202.pdf
http://www.nwgha.com/images/EastRome%20REdevelopment/East%20Rome_Redev%20Plan_Part%203.pdf
http://www.nwgha.com/images/EastRome%20REdevelopment/East%20Rome_Redev%20Plan_Part%204.pdf</t>
  </si>
  <si>
    <t>Ongoing</t>
  </si>
  <si>
    <t>Sec 1 pg 2, Sec 3 pg 33-57, Sec 4 pg 58-63</t>
  </si>
  <si>
    <t xml:space="preserve">Sec 1 pg 8, </t>
  </si>
  <si>
    <t>Restoration Rome</t>
  </si>
  <si>
    <t>Restoring Hope Capital Caompaign through Restoreation Rome Center for Foster Care Services</t>
  </si>
  <si>
    <t xml:space="preserve">Within the next 3 years, Restoration Rome plans to renovate their current facility located at 1400 Crane St. Rome, GA. The current building is an old elementary school of which they optioned for a Lease-to-Own in 2016. </t>
  </si>
  <si>
    <t>The renovations will allow Restoration Rome to better serve foster children and families in the community.</t>
  </si>
  <si>
    <t>Sec 3 pg 52-53, Sec 4 pg 58, 60-61</t>
  </si>
  <si>
    <t>Sec 1 pg 2-3, 8, 9 Sec 4 pg 62</t>
  </si>
  <si>
    <t>Sec4 pg 60-63</t>
  </si>
  <si>
    <t>Sec 1 pg 9, Sec 4 pg 60-66</t>
  </si>
  <si>
    <t xml:space="preserve">II. Deeper Targeting- Applicant has delineated 20% at 50% on the Revenue &amp; Expenses Tab of this application. We have selected to earn points in the Deeper Targeting PBRA section due to the fact that 100% of the units will have RAD PBV through North West Georgia Housing Authority (Owner and Co-Developer).
NWGHA has applied for Exceptional Public Housing on this applicaiton. They are not applying for this with another applicaiton. We have uploaded all required documentation as required. </t>
  </si>
  <si>
    <t>NWGHA</t>
  </si>
  <si>
    <t>Sandra D. Hudson</t>
  </si>
  <si>
    <t>Tallatoona Community Action Partnership</t>
  </si>
  <si>
    <t>www.tallatoonacap.org</t>
  </si>
  <si>
    <t>Robin Drazich</t>
  </si>
  <si>
    <t>robind@tallatoonacap.org</t>
  </si>
  <si>
    <t>YMCA</t>
  </si>
  <si>
    <t>www.ymcarome.org</t>
  </si>
  <si>
    <t>Scott McCreless</t>
  </si>
  <si>
    <t>smccreless810@comcast.net</t>
  </si>
  <si>
    <t>GED Testing assistance, Ealry Head Start Classroom in East Rome operated by Tallatoona at NWGHA facility, Energy Assistance Payments up to $350.00</t>
  </si>
  <si>
    <t>Summer Day Camp Scholarships to residents, free swin lessons, free nutricious meals, Education and Learing opportunities through YMCA Learn, Grow and Thrive Program</t>
  </si>
  <si>
    <t>Free transportation to programs and services provided by NWGHA</t>
  </si>
  <si>
    <t>Reduced after school care/summer camp</t>
  </si>
  <si>
    <t>Boys and Girls Club</t>
  </si>
  <si>
    <t>Rome/Floyd</t>
  </si>
  <si>
    <t>Parenting classes, education classes, wellness center (check ups)</t>
  </si>
  <si>
    <t>After school Tutorial Program</t>
  </si>
  <si>
    <t>Greater Mt Calvary</t>
  </si>
  <si>
    <t>The Project Team selected commits to continue and improve upon community outreach in the area of Rome, GA. NWGHA has a presence in the community and wonderful working  relationships to continue their success in individual and family wellness. NWGHA has been and will continue to be financially attached to the community.  They will coordinate and continue a transforation strategy which includes the area of the proposed project. Ongoing community meetings are held to encourage feedback and participation in strenghting their community.</t>
  </si>
  <si>
    <t>NWGHA administers its own Section 8 and Utility Allowances. The current UA is effective from 10/1/17-10/1/18.  Range/Microwave and Refrigerator are provided so no utility allowance is required for those line-item.  Similarly, NWGHA Utility Allowance for Air Conditioning is solely for properties in which the tenant provde their own window mounted units.  As Altoview is equipped with central heat and air, no utility allowance is required for that line-item</t>
  </si>
  <si>
    <t>The project will have no permanent mortgage since the property can not support the required debt service coverage ratios as a result of the low median incomes in the Rome MSA.  Alternatively it will be financed with Federal and State 9% LIHTC credits and deferred developer fee.  The property is able to maintain the required ratio of 1.10 of Effective Gross Income to Total Annual Expenses.
Boston Capital is investing in the deal in return for 99.99% of the credits and losses.  Their investment rate is equal to $0.84 of the Federal Credit Allocated to them and $0.56 of the State Credit Allocated to them.</t>
  </si>
  <si>
    <t>NWGHA and Rea Ventures Group, LLC</t>
  </si>
  <si>
    <t>Manager of GP</t>
  </si>
  <si>
    <t>Hard Costs Estimated by Architect familiar with Rome, GA as well as discussions with the Construction Company which has decades of experience building multi-family housing.  Soft cost based on previous project experience. Some soft costs are actual thrid party costs. Financing costs are based on term sheets supplied.
Water &amp; Sewer tap fees were calculated by the Rome Georgia Department of Public Services, Water and Sewer Division.  A copy of the letter is included uner the Feasibility Tab.
The property is not subject to impact fees.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$47,000:  There is a house on the site that has been vacant since 2013.  It will be demolished during construction and the cost associated with that demolition including proper disposal has been estimated by the construction company to be $30,000.  Additionally, lead was detected in the soil during the Phase I Environmental.  GEC has included a Site Remediation Estimate of $12,000 - $17,000 in the Phase I Environmental.  As a result, $17,000 has been included in Demolition above to budget for this remediation.  As the remediation is a cost incurred to get the land ready for it's intended use, it is properly allocated to land cost (as is demolition).</t>
  </si>
  <si>
    <t>On May 3rd, Northwest GA Housing Authority was been determined "Partner with a Qualified Certifying Entity) naming REA Ventures Group, LLC, chosen as their partner,  as the qualified entity. REA Ventures Group has been deemed experienced in 2008-2017.</t>
  </si>
  <si>
    <t>Applicant is not applying in the Non-Profit setaside. Applicant is applying for points under Exceptional PHA category.</t>
  </si>
  <si>
    <t>Real Estate Tax Opinion-Applicant will not be paying real estate taxes on this property.</t>
  </si>
  <si>
    <t>There will be no mortgage on this property. The deferred developer fee will be paid from cash flow after asset management fee until paid in full. The Operating Expense Coverage Ratio is above 1.10 for over 15 years for this property.</t>
  </si>
  <si>
    <t>There are no market rate units in this project.  The property will eleviate some of the 696 waitlist residents in the immediate area. 100% of the units will have RAD PBV with a 20 year agreement through HUD. 15% of the units will be set aside for Target Population Preference Units. These units will also have RAD PBV assigned to them. The overall LIHTC Cap rate is 3.9%, but since the property has 100% PBV Subsidy, the Cap Rate is 1.7%.</t>
  </si>
  <si>
    <t xml:space="preserve">The Applicant has submitted an proposal which conforms to the 2018 QAP, Manuals and Instructions.   All costs for Development and Construction have been carefully underwritten by experienced estimators.  Federal ($0.84) and State ($0.56) Equity Pricing are competitive and worked out with experinced Investors and are appropriate for their yields.  Operating Costs have been proposed by the experienced Management Company, Northwest GA Housing Authority (NWGHA), which has operated properties in the area at similar cost.  Rents and utility allowances have been set at or below 2017 maximum allowable rents which were in effect on January 1, 2018 (per DCA instructions). NWGHA current utility allowances have been used.  Total Developer Fee and Deferred Developer Fee are within 2018 QAP limits.   The project is structured as a no-debt deal since the Rome MSA median incoes are so low.  The property does meet the QAP requirement of a no-debt deal by maintaining a 1.10 Operating Expense Coverage Ratio for all 15 years.  NWGHA received a notice on May 3, 2018 from DCA requiring them to partner with a DCA qualified partner. William J. Rea, Jr. was approached to assist NWGHA with applying for 9% LIHTC credits for Altoview. REA and NWGHA are already partners on two 4% applications submitted this year (High Rise and Park Homes). This property will have RAD PBV on 100% of the units. 15% (10) of these units will be covered by Target Population Preference with a mental health facility in the area.  </t>
  </si>
  <si>
    <t>NWGHA has a CHAP on 76 units for Willingham Village which is being transfered to this property. Based on HUD's CHAP timeline, they needed to apply in this LIHTC round, They are in the process of transferring 66 of the 76 RAD units to Altoview Terrace.  15% of these 66 units will house Special Target Population Prefercence by way of MOU to 10 of the units at Altoview Terrace.  
***Request for Waiver of  Project Cap Limitation***
William J. Rea, Jr. as Certifying Entity for Rea Ventures Group, LLC's current year applications (Abbington on Cheshire Bridge &amp; Abbington Ridge) was approached by NWGHA with a partnering opportunity.  At Preapplication NWGHA was deemed "Not Qualified and must Partner with a qualified Certifying Entity" on PA18-070 Altoview Terrace.  As we are currently partnering with NWGHA on two 4% RAD rehabs in Rome, we were the logical choice to partner with them on their 2018 9% applicaiton, Altoview Terrace.  The 2018 QAP states the following under Threshold Criteria (Page 40 of 64):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on Cheshire Bridge and Abbington Ridge respectfully request that DCA waives the Award Limitation of Maximum Ownership /Development Interests (Page 27 of 46 in the QAP Core) of only 2 selected projects, if all three of the applications ultimately would have been selected based on all other QAP criteria.</t>
  </si>
  <si>
    <t>William J. Rea, Jr., as Certifying Entity for Rea Ventures Group, LLC (co-developer) and Rea GP Holdings Group II, LLC (51% Owner of GP at the upper-tier) has been deemed qualified by DCA.  NWGHA received a letter (May 3, 2018) stating they needed to partner with a qualified Certyfying Entity. This is the reason REA is involved with this application. Per the Development Services Agreement and the ownership structure of the GP, William J. Rea, Jr. satisfies the QAP requirement of Effective Control to act as the Certifying Entity of the Developer and Owner for this project team.</t>
  </si>
  <si>
    <t>William J. Rea, Jr. owns a 45% interest in the Contractor (Great Southern, LLC) and 58% of the General Partner's uppier tier member (Rea GP Holdings Group II, LLC, which is the 51% Member of Altoview Terrace GP 2018, LLC, the GP).</t>
  </si>
  <si>
    <t>Altoview Terrace will not displace any residents since it is vacant land with the exception of 1 building that has been vacant since 2013 and will be demolished during the rehab. RAD residents from another property will be relocated to this site once construction is completed.</t>
  </si>
  <si>
    <t>Copier, Cell Phone &amp; Social Events</t>
  </si>
  <si>
    <t xml:space="preserve">NWGHA has been awarded a CHAP which is being transferred from approved PIC Willingham Viallge of 76 units. 66 units will be used for Altoview Terrace project.
Operating expenses are based on NWGHA's vast experience owning and operating multi-family properties in and around Rome, GA. and Insurance expense is from an actual quote from C.J. Thomas Insurance.
We have set aside 15% (10) of the units for Integrated Supportive Housing Targeted Population Preference units. Eventhough there is RAD on all units, NWGHA is commiting project based vouchers for minimum of 10 years, to cover the residents portion of the rent. The rent rate will be the same and these units are included in the breakdown of rents above.  
									</t>
  </si>
  <si>
    <t>Phase 2 required due to the railroad tracks within 3000 ft, lead testing and asbestos for the homesite to be demolished.   Lead was detected in the soil during the Phase I Environmental.  GEC has included a Site Remediation Estimate of $12,000 - $17,000 in the Phase I Environmental.  As a result, $17,000 has been included in Demolition on the Uses Tab to budget for this remediation.  As the remediation is a cost incurred to get the land ready for it's intended use, it is properly allocated to land cost (as is demolition).</t>
  </si>
  <si>
    <t xml:space="preserve"> The desirables have been measured from the center point in between both sites. Kroger Grocery Store, Boys and Girsl Club, East Central Elementary, are desirables within .5 and 1.5 miles of the site. The following desirables are within .5 miles of the site: Banty Jones Park, Rome Childrens Academy License # CCLC-3455), Rome/Floyd Fire Dept and Greater Mt. Calvary Baptist Church.   We do not feel there are any 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t>
  </si>
  <si>
    <t xml:space="preserve">The site also qualifies for 2 points under Workforce Housing Need as 11,890 jobs were identified by "On the Map" within a 2-mile radius of the site.  This is a great city with opportunities for jobs, NWGHA is a actively involved in moving residents to work. </t>
  </si>
  <si>
    <t xml:space="preserve">The city of Rome has also dedicated financial improvements in the area of the proposed project. The housing authority has been instrumental in the improvement of South Rome. </t>
  </si>
  <si>
    <t xml:space="preserve">South Rome is not a HUD Choice Neighborhood or Purpose Built Community.  We could have attempted these points but felt the Communtiy Transfomation was more appropriate for our project than the Purpose Built Communities selection. </t>
  </si>
  <si>
    <t>Rome Redevleopment Authority has supplied the Applicant with the GICH letter for this community. A support letter as well as a targeted area letter have been included in this application.  Member of the GICH team is also one of our quarterback club.</t>
  </si>
  <si>
    <t>Altoview Terrace, LP will execute a 70 year ground lease at receipt of tax credit award.  See attached documents in site control.</t>
  </si>
  <si>
    <t>There are no qualifying builings on site that would accommodate Historic Preservation efforts.</t>
  </si>
  <si>
    <t>Geotechnical &amp; Environmental Consultants, Inc. (GEC)</t>
  </si>
  <si>
    <t>Road, Railway, Aircraft</t>
  </si>
  <si>
    <t>Vapor intrusion was documented in the initial tests however GEC believes these results to be anomolies and suggest in the Phase 2 (included) to investigate further if selected for funding.</t>
  </si>
  <si>
    <t xml:space="preserve">This project is not a rehab, but is new construction. </t>
  </si>
  <si>
    <t>This new construction project will be a great addition of affordable housing opportunities for the residents of Rome, GA with all 66 units receiving PBV.  Additionally 15% (10 units) will be set aside as Supportive Housing Targeted Population Preference units. Eventhough there is RAD on all units, NWGHA is commiting project based vouchers for minimum of 10 years, to cover the resdients portion of the rent.  The Rome MSA has very low median incomes and as such this property had to be structured as a no-debt deal.</t>
  </si>
  <si>
    <t>2018-045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</si>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</sst>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u/>
      <sz val="10"/>
      <color theme="11"/>
      <name val="Arial"/>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FF"/>
        <bgColor rgb="FF000000"/>
      </patternFill>
    </fill>
  </fills>
  <borders count="131">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thin">
        <color rgb="FF000000"/>
      </right>
      <top style="thin">
        <color auto="1"/>
      </top>
      <bottom style="thin">
        <color auto="1"/>
      </bottom>
      <diagonal/>
    </border>
  </borders>
  <cellStyleXfs count="3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xf numFmtId="0" fontId="215" fillId="0" borderId="0" applyNumberFormat="0" applyFill="0" applyBorder="0" applyAlignment="0" applyProtection="0"/>
  </cellStyleXfs>
  <cellXfs count="376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8" fillId="0" borderId="0" xfId="0" applyFont="1" applyFill="1" applyBorder="1" applyProtection="1"/>
    <xf numFmtId="0" fontId="185"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38" fontId="3" fillId="10" borderId="28" xfId="0" applyNumberFormat="1"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5" fillId="5" borderId="30" xfId="1"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43" fontId="45" fillId="5" borderId="33" xfId="1" applyNumberFormat="1" applyFont="1" applyFill="1" applyBorder="1" applyAlignment="1" applyProtection="1">
      <alignment horizontal="right"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43" fontId="45" fillId="5" borderId="28"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27" borderId="28" xfId="0" applyFont="1" applyFill="1" applyBorder="1" applyAlignment="1" applyProtection="1">
      <alignment horizontal="left" vertical="center"/>
    </xf>
    <xf numFmtId="0" fontId="45" fillId="27" borderId="58" xfId="0" applyFont="1" applyFill="1" applyBorder="1" applyAlignment="1" applyProtection="1">
      <alignment horizontal="left" vertical="center"/>
    </xf>
    <xf numFmtId="0" fontId="45" fillId="27" borderId="29" xfId="0" applyFont="1" applyFill="1" applyBorder="1" applyAlignment="1" applyProtection="1">
      <alignment horizontal="left" vertical="center"/>
    </xf>
    <xf numFmtId="0" fontId="45" fillId="27" borderId="81" xfId="0" applyFont="1" applyFill="1" applyBorder="1" applyAlignment="1" applyProtection="1">
      <alignment horizontal="left" vertical="center"/>
    </xf>
    <xf numFmtId="0" fontId="45" fillId="27" borderId="85" xfId="0" applyFont="1" applyFill="1" applyBorder="1" applyAlignment="1" applyProtection="1">
      <alignment horizontal="left" vertical="center"/>
    </xf>
    <xf numFmtId="0" fontId="45" fillId="27" borderId="130" xfId="0"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27" borderId="28" xfId="0" applyFont="1" applyFill="1" applyBorder="1" applyAlignment="1" applyProtection="1">
      <alignment horizontal="left" vertical="center"/>
    </xf>
    <xf numFmtId="0" fontId="41" fillId="27" borderId="58" xfId="0" applyFont="1" applyFill="1" applyBorder="1" applyAlignment="1" applyProtection="1">
      <alignment horizontal="left" vertical="center"/>
    </xf>
    <xf numFmtId="0" fontId="41" fillId="27" borderId="7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4">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llowed Hyperlink" xfId="33" builtinId="9" hidden="1"/>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_'96-'97 Rent Tables" xfId="9" xr:uid="{00000000-0005-0000-0000-00001B000000}"/>
    <cellStyle name="Notes" xfId="25" xr:uid="{00000000-0005-0000-0000-00001C000000}"/>
    <cellStyle name="OVERWRITE" xfId="26" xr:uid="{00000000-0005-0000-0000-00001D000000}"/>
    <cellStyle name="Percent" xfId="10" builtinId="5"/>
    <cellStyle name="Percent [2]" xfId="11" xr:uid="{00000000-0005-0000-0000-00001F000000}"/>
    <cellStyle name="Percent 2" xfId="27" xr:uid="{00000000-0005-0000-0000-000020000000}"/>
    <cellStyle name="Percent 3" xfId="29" xr:uid="{00000000-0005-0000-0000-000021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2" zoomScale="140" zoomScaleNormal="140" zoomScalePageLayoutView="140" workbookViewId="0">
      <selection activeCell="A2"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Altoview Terrace</v>
      </c>
    </row>
    <row r="3" spans="1:6" ht="18" customHeight="1">
      <c r="A3" s="915" t="str">
        <f>CONCATENATE('Part I-Project Information'!F38,", ", 'Part I-Project Information'!J39," County")</f>
        <v>Rome, Floyd County</v>
      </c>
    </row>
    <row r="4" spans="1:6" ht="12.95" customHeight="1"/>
    <row r="5" spans="1:6" ht="162" customHeight="1">
      <c r="A5" s="2896" t="s">
        <v>4693</v>
      </c>
      <c r="B5" s="1619" t="s">
        <v>2928</v>
      </c>
      <c r="C5" s="1619"/>
      <c r="D5" s="1619"/>
      <c r="E5" s="1619"/>
      <c r="F5" s="1619"/>
    </row>
    <row r="6" spans="1:6" ht="51" customHeight="1">
      <c r="A6" s="2896"/>
      <c r="B6" s="1619"/>
      <c r="C6" s="1619"/>
      <c r="D6" s="1619"/>
      <c r="E6" s="1619"/>
      <c r="F6" s="1619"/>
    </row>
    <row r="7" spans="1:6" ht="93" customHeight="1">
      <c r="A7" s="2896"/>
      <c r="B7" s="1619"/>
      <c r="C7" s="1619"/>
      <c r="D7" s="1619"/>
      <c r="E7" s="1619"/>
      <c r="F7" s="1619"/>
    </row>
    <row r="8" spans="1:6" ht="59.1" customHeight="1">
      <c r="A8" s="2896"/>
    </row>
    <row r="9" spans="1:6" ht="93" customHeight="1">
      <c r="A9" s="2896"/>
    </row>
    <row r="10" spans="1:6" ht="44.1" customHeight="1">
      <c r="A10" s="2896"/>
    </row>
    <row r="11" spans="1:6" ht="93" customHeight="1">
      <c r="A11" s="2896"/>
    </row>
    <row r="12" spans="1:6" ht="59.1"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9" customHeight="1">
      <c r="A22" s="2896"/>
    </row>
    <row r="23" spans="1:1" ht="225" customHeight="1">
      <c r="A23" s="2896"/>
    </row>
  </sheetData>
  <sheetProtection algorithmName="SHA-512" hashValue="diJ5d+E8DiK+e5Wl+6Dj5CH8c7pTcI38iv38wxf1BREdUsnWQ0+7uHrcu0ieIJgZ8R4MadtR09y1eKrNxpgMQg==" saltValue="No60LiDd3r7OXNiajmgSIA==" spinCount="100000" sheet="1" objects="1" scenarios="1" formatRows="0"/>
  <mergeCells count="2">
    <mergeCell ref="A5:A23"/>
    <mergeCell ref="B5:F7"/>
  </mergeCells>
  <printOptions horizontalCentered="1"/>
  <pageMargins left="0.5" right="0.5" top="0.75" bottom="0.5" header="0.5" footer="0.3"/>
  <pageSetup scale="99" fitToHeight="0" orientation="landscape"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G6" zoomScale="130" zoomScaleNormal="130" zoomScalePageLayoutView="130" workbookViewId="0">
      <selection activeCell="A2"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42578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42578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4.1" customHeight="1">
      <c r="A1" s="1737" t="str">
        <f>CONCATENATE("PART SIX - PROJECTED REVENUES &amp; EXPENSES","  -  ",'Part I-Project Information'!$O$6," ",'Part I-Project Information'!$F$34,", ",'Part I-Project Information'!F38,", ",'Part I-Project Information'!J39," County")</f>
        <v>PART SIX - PROJECTED REVENUES &amp; EXPENSES  -  2018-045 Altoview Terrace, Rome, Floyd County</v>
      </c>
      <c r="B1" s="1738"/>
      <c r="C1" s="1738"/>
      <c r="D1" s="1738"/>
      <c r="E1" s="1738"/>
      <c r="F1" s="1738"/>
      <c r="G1" s="1738"/>
      <c r="H1" s="1738"/>
      <c r="I1" s="1738"/>
      <c r="J1" s="1738"/>
      <c r="K1" s="1738"/>
      <c r="L1" s="1738"/>
      <c r="M1" s="1738"/>
      <c r="N1" s="1738"/>
      <c r="O1" s="1738"/>
      <c r="P1" s="1739"/>
      <c r="U1" s="1883" t="str">
        <f>A1</f>
        <v>PART SIX - PROJECTED REVENUES &amp; EXPENSES  -  2018-045 Altoview Terrace, Rome, Floyd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8"/>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3591</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3443</v>
      </c>
      <c r="JD3" s="1864" t="s">
        <v>3444</v>
      </c>
      <c r="JE3" s="1864" t="s">
        <v>3445</v>
      </c>
      <c r="JF3" s="1864" t="s">
        <v>3446</v>
      </c>
      <c r="JG3" s="1864" t="s">
        <v>3447</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3725</v>
      </c>
      <c r="Q4" s="1590"/>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35" customHeight="1">
      <c r="A5" s="1879" t="str">
        <f>IF(A48&gt;0,"Finish Row!","")</f>
        <v/>
      </c>
      <c r="B5" s="4" t="s">
        <v>1860</v>
      </c>
      <c r="D5" s="1"/>
      <c r="E5" s="4"/>
      <c r="F5" s="1"/>
      <c r="G5" s="3243"/>
      <c r="H5" s="1126"/>
      <c r="I5" s="1592" t="s">
        <v>806</v>
      </c>
      <c r="J5" s="1592" t="s">
        <v>3586</v>
      </c>
      <c r="K5" s="1881" t="s">
        <v>4551</v>
      </c>
      <c r="L5" s="1882"/>
      <c r="M5" s="1593" t="s">
        <v>581</v>
      </c>
      <c r="O5" s="1591" t="s">
        <v>1045</v>
      </c>
      <c r="P5" s="1873"/>
      <c r="Q5" s="1590"/>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3438</v>
      </c>
      <c r="JI5" s="1878" t="s">
        <v>3439</v>
      </c>
      <c r="JJ5" s="1878" t="s">
        <v>3440</v>
      </c>
      <c r="JK5" s="1878" t="s">
        <v>3441</v>
      </c>
      <c r="JL5" s="1878" t="s">
        <v>3442</v>
      </c>
      <c r="JM5" s="1864" t="s">
        <v>3452</v>
      </c>
      <c r="JN5" s="1864" t="s">
        <v>3454</v>
      </c>
      <c r="JO5" s="1864" t="s">
        <v>3455</v>
      </c>
      <c r="JP5" s="1864" t="s">
        <v>3456</v>
      </c>
      <c r="JQ5" s="1864" t="s">
        <v>3457</v>
      </c>
      <c r="JR5" s="97"/>
      <c r="JS5" s="97"/>
      <c r="JT5" s="466"/>
      <c r="JU5" s="466"/>
      <c r="JV5" s="466"/>
      <c r="JW5" s="466"/>
      <c r="JX5" s="466"/>
      <c r="JY5" s="466"/>
      <c r="JZ5" s="466"/>
      <c r="KA5" s="466"/>
      <c r="KB5" s="466"/>
      <c r="KC5" s="466"/>
      <c r="KD5" s="466"/>
      <c r="KE5" s="466"/>
      <c r="KF5" s="466"/>
      <c r="KG5" s="466"/>
      <c r="KH5" s="466"/>
      <c r="KI5" s="466"/>
      <c r="KJ5" s="466"/>
    </row>
    <row r="6" spans="1:296" s="93" customFormat="1" ht="13.35" customHeight="1">
      <c r="A6" s="1879"/>
      <c r="B6" s="30" t="s">
        <v>1818</v>
      </c>
      <c r="D6" s="1"/>
      <c r="E6" s="4"/>
      <c r="F6" s="3244" t="s">
        <v>3012</v>
      </c>
      <c r="G6" s="1592" t="s">
        <v>3688</v>
      </c>
      <c r="H6" s="1873" t="s">
        <v>3918</v>
      </c>
      <c r="I6" s="1592" t="s">
        <v>807</v>
      </c>
      <c r="J6" s="1592" t="s">
        <v>3691</v>
      </c>
      <c r="K6" s="1882"/>
      <c r="L6" s="1882"/>
      <c r="M6" s="1874" t="str">
        <f>'Part I-Project Information'!$O$40</f>
        <v>Rome</v>
      </c>
      <c r="N6" s="1874"/>
      <c r="O6" s="928">
        <f>VLOOKUP('Part I-Project Information'!$O$40,'DCA Underwriting Assumptions'!$C$155:$D$265,2)</f>
        <v>51900</v>
      </c>
      <c r="P6" s="1873"/>
      <c r="Q6" s="1590"/>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92" t="s">
        <v>3689</v>
      </c>
      <c r="H7" s="1873"/>
      <c r="I7" s="1866" t="s">
        <v>3878</v>
      </c>
      <c r="J7" s="1592" t="s">
        <v>3692</v>
      </c>
      <c r="K7" s="919"/>
      <c r="L7" s="919"/>
      <c r="M7" s="1"/>
      <c r="P7" s="1873"/>
      <c r="Q7" s="1590"/>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92" t="s">
        <v>173</v>
      </c>
      <c r="D8" s="1592" t="s">
        <v>550</v>
      </c>
      <c r="E8" s="1592" t="s">
        <v>1488</v>
      </c>
      <c r="F8" s="1592" t="s">
        <v>1488</v>
      </c>
      <c r="G8" s="1592" t="s">
        <v>1490</v>
      </c>
      <c r="H8" s="1592" t="s">
        <v>3689</v>
      </c>
      <c r="I8" s="1866"/>
      <c r="J8" s="1592" t="s">
        <v>2422</v>
      </c>
      <c r="K8" s="1876" t="s">
        <v>146</v>
      </c>
      <c r="L8" s="1876"/>
      <c r="M8" s="1592" t="s">
        <v>2383</v>
      </c>
      <c r="N8" s="1592" t="s">
        <v>537</v>
      </c>
      <c r="O8" s="1592" t="s">
        <v>385</v>
      </c>
      <c r="P8" s="1873"/>
      <c r="Q8" s="1876" t="s">
        <v>3596</v>
      </c>
      <c r="R8" s="1876"/>
      <c r="S8" s="1592" t="s">
        <v>2711</v>
      </c>
      <c r="T8" s="1592"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3386</v>
      </c>
      <c r="FH8" s="1864" t="s">
        <v>3386</v>
      </c>
      <c r="FI8" s="1864" t="s">
        <v>3386</v>
      </c>
      <c r="FJ8" s="1864" t="s">
        <v>3386</v>
      </c>
      <c r="FK8" s="1864" t="s">
        <v>3386</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3382</v>
      </c>
      <c r="GB8" s="1864" t="s">
        <v>3382</v>
      </c>
      <c r="GC8" s="1864" t="s">
        <v>3382</v>
      </c>
      <c r="GD8" s="1864" t="s">
        <v>3382</v>
      </c>
      <c r="GE8" s="1864" t="s">
        <v>3382</v>
      </c>
      <c r="GF8" s="1864" t="s">
        <v>360</v>
      </c>
      <c r="GG8" s="1864" t="s">
        <v>360</v>
      </c>
      <c r="GH8" s="1864" t="s">
        <v>360</v>
      </c>
      <c r="GI8" s="1864" t="s">
        <v>360</v>
      </c>
      <c r="GJ8" s="1864" t="s">
        <v>360</v>
      </c>
      <c r="GK8" s="1864" t="s">
        <v>3381</v>
      </c>
      <c r="GL8" s="1864" t="s">
        <v>3381</v>
      </c>
      <c r="GM8" s="1864" t="s">
        <v>3381</v>
      </c>
      <c r="GN8" s="1864" t="s">
        <v>3381</v>
      </c>
      <c r="GO8" s="1864" t="s">
        <v>3381</v>
      </c>
      <c r="GP8" s="1864" t="s">
        <v>361</v>
      </c>
      <c r="GQ8" s="1864" t="s">
        <v>361</v>
      </c>
      <c r="GR8" s="1864" t="s">
        <v>361</v>
      </c>
      <c r="GS8" s="1864" t="s">
        <v>361</v>
      </c>
      <c r="GT8" s="1864" t="s">
        <v>361</v>
      </c>
      <c r="GU8" s="1864" t="s">
        <v>3380</v>
      </c>
      <c r="GV8" s="1864" t="s">
        <v>3380</v>
      </c>
      <c r="GW8" s="1864" t="s">
        <v>3380</v>
      </c>
      <c r="GX8" s="1864" t="s">
        <v>3380</v>
      </c>
      <c r="GY8" s="1864" t="s">
        <v>3380</v>
      </c>
      <c r="GZ8" s="1864" t="s">
        <v>362</v>
      </c>
      <c r="HA8" s="1864" t="s">
        <v>362</v>
      </c>
      <c r="HB8" s="1864" t="s">
        <v>362</v>
      </c>
      <c r="HC8" s="1864" t="s">
        <v>362</v>
      </c>
      <c r="HD8" s="1864" t="s">
        <v>362</v>
      </c>
      <c r="HE8" s="1864" t="s">
        <v>3383</v>
      </c>
      <c r="HF8" s="1864" t="s">
        <v>3383</v>
      </c>
      <c r="HG8" s="1864" t="s">
        <v>3383</v>
      </c>
      <c r="HH8" s="1864" t="s">
        <v>3383</v>
      </c>
      <c r="HI8" s="1864" t="s">
        <v>3383</v>
      </c>
      <c r="HJ8" s="1864" t="s">
        <v>363</v>
      </c>
      <c r="HK8" s="1864" t="s">
        <v>363</v>
      </c>
      <c r="HL8" s="1864" t="s">
        <v>363</v>
      </c>
      <c r="HM8" s="1864" t="s">
        <v>363</v>
      </c>
      <c r="HN8" s="1864" t="s">
        <v>363</v>
      </c>
      <c r="HO8" s="1864" t="s">
        <v>3384</v>
      </c>
      <c r="HP8" s="1864" t="s">
        <v>3384</v>
      </c>
      <c r="HQ8" s="1864" t="s">
        <v>3384</v>
      </c>
      <c r="HR8" s="1864" t="s">
        <v>3384</v>
      </c>
      <c r="HS8" s="1864" t="s">
        <v>3384</v>
      </c>
      <c r="HT8" s="1864" t="s">
        <v>1473</v>
      </c>
      <c r="HU8" s="1864" t="s">
        <v>1473</v>
      </c>
      <c r="HV8" s="1864" t="s">
        <v>1473</v>
      </c>
      <c r="HW8" s="1864" t="s">
        <v>1473</v>
      </c>
      <c r="HX8" s="1864" t="s">
        <v>1473</v>
      </c>
      <c r="HY8" s="1864" t="s">
        <v>3385</v>
      </c>
      <c r="HZ8" s="1864" t="s">
        <v>3385</v>
      </c>
      <c r="IA8" s="1864" t="s">
        <v>3385</v>
      </c>
      <c r="IB8" s="1864" t="s">
        <v>3385</v>
      </c>
      <c r="IC8" s="1864" t="s">
        <v>3385</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92" t="s">
        <v>172</v>
      </c>
      <c r="D9" s="1592" t="s">
        <v>174</v>
      </c>
      <c r="E9" s="1592" t="s">
        <v>1489</v>
      </c>
      <c r="F9" s="1592" t="s">
        <v>1291</v>
      </c>
      <c r="G9" s="1592" t="s">
        <v>3690</v>
      </c>
      <c r="H9" s="1592" t="s">
        <v>1490</v>
      </c>
      <c r="I9" s="1867"/>
      <c r="J9" s="465" t="s">
        <v>352</v>
      </c>
      <c r="K9" s="1592" t="s">
        <v>1542</v>
      </c>
      <c r="L9" s="1592" t="s">
        <v>544</v>
      </c>
      <c r="M9" s="1592" t="s">
        <v>1488</v>
      </c>
      <c r="N9" s="1592" t="s">
        <v>3335</v>
      </c>
      <c r="O9" s="1592" t="s">
        <v>386</v>
      </c>
      <c r="P9" s="1884"/>
      <c r="Q9" s="1592" t="s">
        <v>3597</v>
      </c>
      <c r="R9" s="1592" t="s">
        <v>1050</v>
      </c>
      <c r="S9" s="1592" t="s">
        <v>1490</v>
      </c>
      <c r="T9" s="1592"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3387</v>
      </c>
      <c r="FR9" s="473" t="s">
        <v>3387</v>
      </c>
      <c r="FS9" s="473" t="s">
        <v>3387</v>
      </c>
      <c r="FT9" s="473" t="s">
        <v>3387</v>
      </c>
      <c r="FU9" s="473" t="s">
        <v>3387</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5" t="s">
        <v>119</v>
      </c>
      <c r="C10" s="3246">
        <v>1</v>
      </c>
      <c r="D10" s="3247">
        <v>1</v>
      </c>
      <c r="E10" s="3248">
        <v>4</v>
      </c>
      <c r="F10" s="3248">
        <v>821</v>
      </c>
      <c r="G10" s="3248">
        <v>487</v>
      </c>
      <c r="H10" s="3248">
        <v>449</v>
      </c>
      <c r="I10" s="3249">
        <f>IF(C10="",0,HLOOKUP(C10,'Part V-Utility Allowances'!$I$11:$M$21,11))</f>
        <v>77</v>
      </c>
      <c r="J10" s="3250" t="s">
        <v>4615</v>
      </c>
      <c r="K10" s="629">
        <f t="shared" ref="K10:K47" si="1">MAX(0,H10-I10)</f>
        <v>372</v>
      </c>
      <c r="L10" s="629">
        <f t="shared" ref="L10:L47" si="2">MAX(0,E10*K10)</f>
        <v>1488</v>
      </c>
      <c r="M10" s="3251" t="s">
        <v>3012</v>
      </c>
      <c r="N10" s="3251" t="s">
        <v>4621</v>
      </c>
      <c r="O10" s="3251" t="s">
        <v>2311</v>
      </c>
      <c r="P10" s="3252" t="s">
        <v>3012</v>
      </c>
      <c r="Q10" s="3253">
        <f t="shared" ref="Q10:Q47" si="3">IF(H10="","",H10*12/0.3)</f>
        <v>17960</v>
      </c>
      <c r="R10" s="3254">
        <f>IF(H10="","",IF(C10="Efficiency",Q10/($O$6*VLOOKUP(0,'DCA Underwriting Assumptions'!$J$143:$K$148,2,FALSE)),Q10/($O$6*VLOOKUP(C10,'DCA Underwriting Assumptions'!$J$143:$K$148,2,FALSE))))</f>
        <v>0.46140012845215156</v>
      </c>
      <c r="S10" s="3255"/>
      <c r="T10" s="3256"/>
      <c r="U10" s="3221"/>
      <c r="V10" s="3222"/>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4</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f t="shared" ref="AW10:AW47" si="30">IF(OR(AND($C10=1,NOT($J10=""),NOT($J10=0),NOT($J10="PHA Oper Sub"),$B10="50% AMI",NOT($M10="Common Space")),AND($C10=1,NOT($J10=""),NOT($J10=0),NOT($J10="PHA Oper Sub"),$B10="HOME 50% AMI",NOT($M10="Common Space"))),$E10,"")</f>
        <v>4</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3284</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f t="shared" ref="CU10:CU47" si="80">IF(AND(C10=1,NOT(J10=""),NOT($J10=0),NOT(M10="Common Space")),E10*F10,"")</f>
        <v>3284</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4</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4</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4</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4</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7" t="s">
        <v>119</v>
      </c>
      <c r="C11" s="3258">
        <v>3</v>
      </c>
      <c r="D11" s="3259">
        <v>2</v>
      </c>
      <c r="E11" s="3260">
        <v>5</v>
      </c>
      <c r="F11" s="3260">
        <v>1626</v>
      </c>
      <c r="G11" s="3260">
        <v>675</v>
      </c>
      <c r="H11" s="3260">
        <v>675</v>
      </c>
      <c r="I11" s="3261">
        <v>121</v>
      </c>
      <c r="J11" s="3262" t="s">
        <v>4615</v>
      </c>
      <c r="K11" s="630">
        <f t="shared" si="1"/>
        <v>554</v>
      </c>
      <c r="L11" s="630">
        <f t="shared" si="2"/>
        <v>2770</v>
      </c>
      <c r="M11" s="3263" t="s">
        <v>3012</v>
      </c>
      <c r="N11" s="3263" t="s">
        <v>42</v>
      </c>
      <c r="O11" s="3263" t="s">
        <v>2311</v>
      </c>
      <c r="P11" s="3264" t="s">
        <v>3012</v>
      </c>
      <c r="Q11" s="3265">
        <f t="shared" si="3"/>
        <v>27000</v>
      </c>
      <c r="R11" s="3266">
        <f>IF(H11="","",IF(C11="Efficiency",Q11/($O$6*VLOOKUP(0,'DCA Underwriting Assumptions'!$J$143:$K$148,2,FALSE)),Q11/($O$6*VLOOKUP(C11,'DCA Underwriting Assumptions'!$J$143:$K$148,2,FALSE))))</f>
        <v>0.50022232103156961</v>
      </c>
      <c r="S11" s="3267"/>
      <c r="T11" s="3268"/>
      <c r="U11" s="3223"/>
      <c r="V11" s="3224"/>
      <c r="W11" s="152" t="str">
        <f t="shared" si="4"/>
        <v/>
      </c>
      <c r="X11" s="152" t="str">
        <f t="shared" si="5"/>
        <v/>
      </c>
      <c r="Y11" s="152" t="str">
        <f t="shared" si="6"/>
        <v/>
      </c>
      <c r="Z11" s="152" t="str">
        <f t="shared" si="7"/>
        <v/>
      </c>
      <c r="AA11" s="152" t="str">
        <f t="shared" si="8"/>
        <v/>
      </c>
      <c r="AB11" s="152" t="str">
        <f t="shared" si="9"/>
        <v/>
      </c>
      <c r="AC11" s="152" t="str">
        <f t="shared" si="10"/>
        <v/>
      </c>
      <c r="AD11" s="152" t="str">
        <f t="shared" si="11"/>
        <v/>
      </c>
      <c r="AE11" s="152">
        <f t="shared" si="12"/>
        <v>5</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f t="shared" si="32"/>
        <v>5</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t="str">
        <f t="shared" si="66"/>
        <v/>
      </c>
      <c r="CH11" s="152">
        <f t="shared" si="67"/>
        <v>8130</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f t="shared" si="82"/>
        <v>8130</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f t="shared" si="92"/>
        <v>5</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f t="shared" si="172"/>
        <v>5</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5</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7"/>
      <c r="C12" s="3258"/>
      <c r="D12" s="3259"/>
      <c r="E12" s="3260"/>
      <c r="F12" s="3260"/>
      <c r="G12" s="3260"/>
      <c r="H12" s="3260"/>
      <c r="I12" s="3261"/>
      <c r="J12" s="3262"/>
      <c r="K12" s="630">
        <f t="shared" si="1"/>
        <v>0</v>
      </c>
      <c r="L12" s="630">
        <f t="shared" si="2"/>
        <v>0</v>
      </c>
      <c r="M12" s="3263"/>
      <c r="N12" s="3263"/>
      <c r="O12" s="3263"/>
      <c r="P12" s="3264"/>
      <c r="Q12" s="3265" t="str">
        <f t="shared" si="3"/>
        <v/>
      </c>
      <c r="R12" s="3266" t="str">
        <f>IF(H12="","",IF(C12="Efficiency",Q12/($O$6*VLOOKUP(0,'DCA Underwriting Assumptions'!$J$143:$K$148,2,FALSE)),Q12/($O$6*VLOOKUP(C12,'DCA Underwriting Assumptions'!$J$143:$K$148,2,FALSE))))</f>
        <v/>
      </c>
      <c r="S12" s="3267"/>
      <c r="T12" s="3268"/>
      <c r="U12" s="3223"/>
      <c r="V12" s="3224"/>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7"/>
      <c r="C13" s="3258"/>
      <c r="D13" s="3259"/>
      <c r="E13" s="3260"/>
      <c r="F13" s="3260"/>
      <c r="G13" s="3260"/>
      <c r="H13" s="3260"/>
      <c r="I13" s="3261"/>
      <c r="J13" s="3262"/>
      <c r="K13" s="630">
        <f t="shared" si="1"/>
        <v>0</v>
      </c>
      <c r="L13" s="630">
        <f t="shared" si="2"/>
        <v>0</v>
      </c>
      <c r="M13" s="3263"/>
      <c r="N13" s="3263"/>
      <c r="O13" s="3263"/>
      <c r="P13" s="3264"/>
      <c r="Q13" s="3265" t="str">
        <f t="shared" si="3"/>
        <v/>
      </c>
      <c r="R13" s="3266" t="str">
        <f>IF(H13="","",IF(C13="Efficiency",Q13/($O$6*VLOOKUP(0,'DCA Underwriting Assumptions'!$J$143:$K$148,2,FALSE)),Q13/($O$6*VLOOKUP(C13,'DCA Underwriting Assumptions'!$J$143:$K$148,2,FALSE))))</f>
        <v/>
      </c>
      <c r="S13" s="3267"/>
      <c r="T13" s="3268"/>
      <c r="U13" s="3223"/>
      <c r="V13" s="3224"/>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7" t="s">
        <v>1159</v>
      </c>
      <c r="C14" s="3258">
        <v>1</v>
      </c>
      <c r="D14" s="3259">
        <v>1</v>
      </c>
      <c r="E14" s="3260">
        <v>8</v>
      </c>
      <c r="F14" s="3260">
        <v>821</v>
      </c>
      <c r="G14" s="3260">
        <v>585</v>
      </c>
      <c r="H14" s="3260">
        <v>449</v>
      </c>
      <c r="I14" s="3261">
        <f>IF(C14="",0,HLOOKUP(C14,'Part V-Utility Allowances'!$I$11:$M$21,11))</f>
        <v>77</v>
      </c>
      <c r="J14" s="3262" t="s">
        <v>4615</v>
      </c>
      <c r="K14" s="630">
        <f t="shared" si="1"/>
        <v>372</v>
      </c>
      <c r="L14" s="630">
        <f t="shared" si="2"/>
        <v>2976</v>
      </c>
      <c r="M14" s="3263" t="s">
        <v>3012</v>
      </c>
      <c r="N14" s="3263" t="s">
        <v>4621</v>
      </c>
      <c r="O14" s="3263" t="s">
        <v>2311</v>
      </c>
      <c r="P14" s="3264" t="s">
        <v>3012</v>
      </c>
      <c r="Q14" s="3265">
        <f t="shared" si="3"/>
        <v>17960</v>
      </c>
      <c r="R14" s="3266">
        <f>IF(H14="","",IF(C14="Efficiency",Q14/($O$6*VLOOKUP(0,'DCA Underwriting Assumptions'!$J$143:$K$148,2,FALSE)),Q14/($O$6*VLOOKUP(C14,'DCA Underwriting Assumptions'!$J$143:$K$148,2,FALSE))))</f>
        <v>0.46140012845215156</v>
      </c>
      <c r="S14" s="3267"/>
      <c r="T14" s="3268"/>
      <c r="U14" s="3223"/>
      <c r="V14" s="3224"/>
      <c r="W14" s="152" t="str">
        <f t="shared" si="4"/>
        <v/>
      </c>
      <c r="X14" s="152">
        <f t="shared" si="5"/>
        <v>8</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f t="shared" si="35"/>
        <v>8</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f t="shared" si="60"/>
        <v>6568</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f t="shared" si="80"/>
        <v>6568</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f t="shared" si="90"/>
        <v>8</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f t="shared" si="135"/>
        <v>8</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f t="shared" si="200"/>
        <v>8</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8</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7" t="s">
        <v>1159</v>
      </c>
      <c r="C15" s="3258">
        <v>2</v>
      </c>
      <c r="D15" s="3259">
        <v>2</v>
      </c>
      <c r="E15" s="3260">
        <v>26</v>
      </c>
      <c r="F15" s="3260">
        <v>1118</v>
      </c>
      <c r="G15" s="3260">
        <v>702</v>
      </c>
      <c r="H15" s="3260">
        <v>604</v>
      </c>
      <c r="I15" s="3261">
        <f>IF(C15="",0,HLOOKUP(C15,'Part V-Utility Allowances'!$I$11:$M$21,11))</f>
        <v>101</v>
      </c>
      <c r="J15" s="3262" t="s">
        <v>4615</v>
      </c>
      <c r="K15" s="630">
        <f t="shared" si="1"/>
        <v>503</v>
      </c>
      <c r="L15" s="630">
        <f t="shared" si="2"/>
        <v>13078</v>
      </c>
      <c r="M15" s="3263" t="s">
        <v>3012</v>
      </c>
      <c r="N15" s="3263" t="s">
        <v>4621</v>
      </c>
      <c r="O15" s="3263" t="s">
        <v>2311</v>
      </c>
      <c r="P15" s="3264" t="s">
        <v>3012</v>
      </c>
      <c r="Q15" s="3265">
        <f t="shared" si="3"/>
        <v>24160</v>
      </c>
      <c r="R15" s="3266">
        <f>IF(H15="","",IF(C15="Efficiency",Q15/($O$6*VLOOKUP(0,'DCA Underwriting Assumptions'!$J$143:$K$148,2,FALSE)),Q15/($O$6*VLOOKUP(C15,'DCA Underwriting Assumptions'!$J$143:$K$148,2,FALSE))))</f>
        <v>0.51723399700278316</v>
      </c>
      <c r="S15" s="3267"/>
      <c r="T15" s="3268"/>
      <c r="U15" s="3223"/>
      <c r="V15" s="3224"/>
      <c r="W15" s="152" t="str">
        <f t="shared" si="4"/>
        <v/>
      </c>
      <c r="X15" s="152" t="str">
        <f t="shared" si="5"/>
        <v/>
      </c>
      <c r="Y15" s="152">
        <f t="shared" si="6"/>
        <v>26</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f t="shared" si="36"/>
        <v>26</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f t="shared" si="61"/>
        <v>29068</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f t="shared" si="81"/>
        <v>29068</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f t="shared" si="91"/>
        <v>26</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26</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f t="shared" si="201"/>
        <v>26</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26</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7" t="s">
        <v>1159</v>
      </c>
      <c r="C16" s="3258">
        <v>3</v>
      </c>
      <c r="D16" s="3259">
        <v>2</v>
      </c>
      <c r="E16" s="3260">
        <v>11</v>
      </c>
      <c r="F16" s="3260">
        <v>1626</v>
      </c>
      <c r="G16" s="3260">
        <v>810</v>
      </c>
      <c r="H16" s="3260">
        <v>749</v>
      </c>
      <c r="I16" s="3261">
        <f>IF(C16="",0,HLOOKUP(C16,'Part V-Utility Allowances'!$I$11:$M$21,11))</f>
        <v>121</v>
      </c>
      <c r="J16" s="3262" t="s">
        <v>4615</v>
      </c>
      <c r="K16" s="630">
        <f t="shared" si="1"/>
        <v>628</v>
      </c>
      <c r="L16" s="630">
        <f t="shared" si="2"/>
        <v>6908</v>
      </c>
      <c r="M16" s="3263" t="s">
        <v>3012</v>
      </c>
      <c r="N16" s="3263" t="s">
        <v>42</v>
      </c>
      <c r="O16" s="3263" t="s">
        <v>2311</v>
      </c>
      <c r="P16" s="3264" t="s">
        <v>3012</v>
      </c>
      <c r="Q16" s="3265">
        <f t="shared" si="3"/>
        <v>29960</v>
      </c>
      <c r="R16" s="3266">
        <f>IF(H16="","",IF(C16="Efficiency",Q16/($O$6*VLOOKUP(0,'DCA Underwriting Assumptions'!$J$143:$K$148,2,FALSE)),Q16/($O$6*VLOOKUP(C16,'DCA Underwriting Assumptions'!$J$143:$K$148,2,FALSE))))</f>
        <v>0.55506150881873428</v>
      </c>
      <c r="S16" s="3267"/>
      <c r="T16" s="3268"/>
      <c r="U16" s="3223"/>
      <c r="V16" s="3224"/>
      <c r="W16" s="152" t="str">
        <f t="shared" si="4"/>
        <v/>
      </c>
      <c r="X16" s="152" t="str">
        <f t="shared" si="5"/>
        <v/>
      </c>
      <c r="Y16" s="152" t="str">
        <f t="shared" si="6"/>
        <v/>
      </c>
      <c r="Z16" s="152">
        <f t="shared" si="7"/>
        <v>11</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f t="shared" si="37"/>
        <v>11</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f t="shared" si="62"/>
        <v>17886</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f t="shared" si="82"/>
        <v>17886</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f t="shared" si="92"/>
        <v>11</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f t="shared" si="172"/>
        <v>11</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11</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7" t="s">
        <v>1159</v>
      </c>
      <c r="C17" s="3258">
        <v>4</v>
      </c>
      <c r="D17" s="3259">
        <v>2</v>
      </c>
      <c r="E17" s="3260">
        <v>2</v>
      </c>
      <c r="F17" s="3260">
        <v>1878</v>
      </c>
      <c r="G17" s="3260">
        <v>904</v>
      </c>
      <c r="H17" s="3260">
        <v>904</v>
      </c>
      <c r="I17" s="3261">
        <f>IF(C17="",0,HLOOKUP(C17,'Part V-Utility Allowances'!$I$11:$M$21,11))</f>
        <v>155</v>
      </c>
      <c r="J17" s="3262" t="s">
        <v>4615</v>
      </c>
      <c r="K17" s="630">
        <f t="shared" si="1"/>
        <v>749</v>
      </c>
      <c r="L17" s="630">
        <f t="shared" si="2"/>
        <v>1498</v>
      </c>
      <c r="M17" s="3263" t="s">
        <v>3012</v>
      </c>
      <c r="N17" s="3263" t="s">
        <v>42</v>
      </c>
      <c r="O17" s="3263" t="s">
        <v>2311</v>
      </c>
      <c r="P17" s="3264" t="s">
        <v>3012</v>
      </c>
      <c r="Q17" s="3265">
        <f t="shared" si="3"/>
        <v>36160</v>
      </c>
      <c r="R17" s="3266">
        <f>IF(H17="","",IF(C17="Efficiency",Q17/($O$6*VLOOKUP(0,'DCA Underwriting Assumptions'!$J$143:$K$148,2,FALSE)),Q17/($O$6*VLOOKUP(C17,'DCA Underwriting Assumptions'!$J$143:$K$148,2,FALSE))))</f>
        <v>0.6006245432197197</v>
      </c>
      <c r="S17" s="3267"/>
      <c r="T17" s="3268"/>
      <c r="U17" s="3223"/>
      <c r="V17" s="3224"/>
      <c r="W17" s="152" t="str">
        <f t="shared" si="4"/>
        <v/>
      </c>
      <c r="X17" s="152" t="str">
        <f t="shared" si="5"/>
        <v/>
      </c>
      <c r="Y17" s="152" t="str">
        <f t="shared" si="6"/>
        <v/>
      </c>
      <c r="Z17" s="152" t="str">
        <f t="shared" si="7"/>
        <v/>
      </c>
      <c r="AA17" s="152">
        <f t="shared" si="8"/>
        <v>2</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f t="shared" si="38"/>
        <v>2</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f t="shared" si="63"/>
        <v>3756</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f t="shared" si="83"/>
        <v>3756</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f t="shared" si="93"/>
        <v>2</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f t="shared" si="173"/>
        <v>2</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2</v>
      </c>
      <c r="JM17" s="473">
        <f t="shared" si="254"/>
        <v>0</v>
      </c>
      <c r="JN17" s="473">
        <f t="shared" si="255"/>
        <v>0</v>
      </c>
      <c r="JO17" s="473">
        <f t="shared" si="256"/>
        <v>0</v>
      </c>
      <c r="JP17" s="473">
        <f t="shared" si="257"/>
        <v>0</v>
      </c>
      <c r="JQ17" s="473">
        <f t="shared" si="258"/>
        <v>0</v>
      </c>
    </row>
    <row r="18" spans="1:277" ht="12" customHeight="1">
      <c r="A18" s="112" t="str">
        <f t="shared" si="0"/>
        <v/>
      </c>
      <c r="B18" s="3257"/>
      <c r="C18" s="3258"/>
      <c r="D18" s="3259"/>
      <c r="E18" s="3260"/>
      <c r="F18" s="3260"/>
      <c r="G18" s="3260"/>
      <c r="H18" s="3260"/>
      <c r="I18" s="3261"/>
      <c r="J18" s="3262"/>
      <c r="K18" s="630">
        <f t="shared" si="1"/>
        <v>0</v>
      </c>
      <c r="L18" s="630">
        <f t="shared" si="2"/>
        <v>0</v>
      </c>
      <c r="M18" s="3263"/>
      <c r="N18" s="3263"/>
      <c r="O18" s="3263"/>
      <c r="P18" s="3264"/>
      <c r="Q18" s="3265" t="str">
        <f t="shared" si="3"/>
        <v/>
      </c>
      <c r="R18" s="3266" t="str">
        <f>IF(H18="","",IF(C18="Efficiency",Q18/($O$6*VLOOKUP(0,'DCA Underwriting Assumptions'!$J$143:$K$148,2,FALSE)),Q18/($O$6*VLOOKUP(C18,'DCA Underwriting Assumptions'!$J$143:$K$148,2,FALSE))))</f>
        <v/>
      </c>
      <c r="S18" s="3267"/>
      <c r="T18" s="3268"/>
      <c r="U18" s="3223"/>
      <c r="V18" s="3224"/>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7" t="s">
        <v>119</v>
      </c>
      <c r="C19" s="3258">
        <v>1</v>
      </c>
      <c r="D19" s="3259">
        <v>1</v>
      </c>
      <c r="E19" s="3260">
        <v>4</v>
      </c>
      <c r="F19" s="3260">
        <v>821</v>
      </c>
      <c r="G19" s="3260">
        <v>487</v>
      </c>
      <c r="H19" s="3260">
        <v>449</v>
      </c>
      <c r="I19" s="3261">
        <f>IF(C19="",0,HLOOKUP(C19,'Part V-Utility Allowances'!$I$11:$M$21,11))</f>
        <v>77</v>
      </c>
      <c r="J19" s="3262" t="s">
        <v>4694</v>
      </c>
      <c r="K19" s="630">
        <f t="shared" si="1"/>
        <v>372</v>
      </c>
      <c r="L19" s="630">
        <f t="shared" si="2"/>
        <v>1488</v>
      </c>
      <c r="M19" s="3263" t="s">
        <v>3012</v>
      </c>
      <c r="N19" s="3263" t="s">
        <v>4621</v>
      </c>
      <c r="O19" s="3263" t="s">
        <v>2311</v>
      </c>
      <c r="P19" s="3264" t="s">
        <v>3012</v>
      </c>
      <c r="Q19" s="3265">
        <f t="shared" si="3"/>
        <v>17960</v>
      </c>
      <c r="R19" s="3266">
        <f>IF(H19="","",IF(C19="Efficiency",Q19/($O$6*VLOOKUP(0,'DCA Underwriting Assumptions'!$J$143:$K$148,2,FALSE)),Q19/($O$6*VLOOKUP(C19,'DCA Underwriting Assumptions'!$J$143:$K$148,2,FALSE))))</f>
        <v>0.46140012845215156</v>
      </c>
      <c r="S19" s="3267"/>
      <c r="T19" s="3268"/>
      <c r="U19" s="3223"/>
      <c r="V19" s="3224"/>
      <c r="W19" s="152" t="str">
        <f t="shared" si="4"/>
        <v/>
      </c>
      <c r="X19" s="152" t="str">
        <f t="shared" si="5"/>
        <v/>
      </c>
      <c r="Y19" s="152" t="str">
        <f t="shared" si="6"/>
        <v/>
      </c>
      <c r="Z19" s="152" t="str">
        <f t="shared" si="7"/>
        <v/>
      </c>
      <c r="AA19" s="152" t="str">
        <f t="shared" si="8"/>
        <v/>
      </c>
      <c r="AB19" s="152" t="str">
        <f t="shared" si="9"/>
        <v/>
      </c>
      <c r="AC19" s="152">
        <f t="shared" si="10"/>
        <v>4</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f t="shared" si="30"/>
        <v>4</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f t="shared" si="65"/>
        <v>3284</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f t="shared" si="80"/>
        <v>3284</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f t="shared" si="90"/>
        <v>4</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f t="shared" si="135"/>
        <v>4</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f t="shared" si="200"/>
        <v>4</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4</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7" t="s">
        <v>119</v>
      </c>
      <c r="C20" s="3258">
        <v>2</v>
      </c>
      <c r="D20" s="3259">
        <v>2</v>
      </c>
      <c r="E20" s="3260">
        <v>2</v>
      </c>
      <c r="F20" s="3260">
        <v>1118</v>
      </c>
      <c r="G20" s="3260">
        <v>585</v>
      </c>
      <c r="H20" s="3260">
        <v>585</v>
      </c>
      <c r="I20" s="3261">
        <f>IF(C20="",0,HLOOKUP(C20,'Part V-Utility Allowances'!$I$11:$M$21,11))</f>
        <v>101</v>
      </c>
      <c r="J20" s="3262" t="s">
        <v>4694</v>
      </c>
      <c r="K20" s="630">
        <f t="shared" si="1"/>
        <v>484</v>
      </c>
      <c r="L20" s="630">
        <f t="shared" si="2"/>
        <v>968</v>
      </c>
      <c r="M20" s="3263" t="s">
        <v>3012</v>
      </c>
      <c r="N20" s="3263" t="s">
        <v>4621</v>
      </c>
      <c r="O20" s="3263" t="s">
        <v>2311</v>
      </c>
      <c r="P20" s="3264" t="s">
        <v>3012</v>
      </c>
      <c r="Q20" s="3265">
        <f t="shared" si="3"/>
        <v>23400</v>
      </c>
      <c r="R20" s="3266">
        <f>IF(H20="","",IF(C20="Efficiency",Q20/($O$6*VLOOKUP(0,'DCA Underwriting Assumptions'!$J$143:$K$148,2,FALSE)),Q20/($O$6*VLOOKUP(C20,'DCA Underwriting Assumptions'!$J$143:$K$148,2,FALSE))))</f>
        <v>0.50096339113680155</v>
      </c>
      <c r="S20" s="3267"/>
      <c r="T20" s="3268"/>
      <c r="U20" s="3223"/>
      <c r="V20" s="3224"/>
      <c r="W20" s="152" t="str">
        <f t="shared" si="4"/>
        <v/>
      </c>
      <c r="X20" s="152" t="str">
        <f t="shared" si="5"/>
        <v/>
      </c>
      <c r="Y20" s="152" t="str">
        <f t="shared" si="6"/>
        <v/>
      </c>
      <c r="Z20" s="152" t="str">
        <f t="shared" si="7"/>
        <v/>
      </c>
      <c r="AA20" s="152" t="str">
        <f t="shared" si="8"/>
        <v/>
      </c>
      <c r="AB20" s="152" t="str">
        <f t="shared" si="9"/>
        <v/>
      </c>
      <c r="AC20" s="152" t="str">
        <f t="shared" si="10"/>
        <v/>
      </c>
      <c r="AD20" s="152">
        <f t="shared" si="11"/>
        <v>2</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f t="shared" si="31"/>
        <v>2</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f t="shared" si="66"/>
        <v>2236</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f t="shared" si="81"/>
        <v>2236</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f t="shared" si="91"/>
        <v>2</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f t="shared" si="136"/>
        <v>2</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f t="shared" si="201"/>
        <v>2</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2</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7" t="s">
        <v>119</v>
      </c>
      <c r="C21" s="3258">
        <v>2</v>
      </c>
      <c r="D21" s="3259">
        <v>2</v>
      </c>
      <c r="E21" s="3260">
        <v>4</v>
      </c>
      <c r="F21" s="3260">
        <v>1054</v>
      </c>
      <c r="G21" s="3260">
        <v>585</v>
      </c>
      <c r="H21" s="3260">
        <v>585</v>
      </c>
      <c r="I21" s="3261">
        <f>IF(C21="",0,HLOOKUP(C21,'Part V-Utility Allowances'!$I$11:$M$21,11))</f>
        <v>101</v>
      </c>
      <c r="J21" s="3262" t="s">
        <v>4694</v>
      </c>
      <c r="K21" s="630">
        <f t="shared" si="1"/>
        <v>484</v>
      </c>
      <c r="L21" s="630">
        <f t="shared" si="2"/>
        <v>1936</v>
      </c>
      <c r="M21" s="3263" t="s">
        <v>3012</v>
      </c>
      <c r="N21" s="3263" t="s">
        <v>570</v>
      </c>
      <c r="O21" s="3263" t="s">
        <v>2311</v>
      </c>
      <c r="P21" s="3264" t="s">
        <v>3012</v>
      </c>
      <c r="Q21" s="3265">
        <f t="shared" si="3"/>
        <v>23400</v>
      </c>
      <c r="R21" s="3266">
        <f>IF(H21="","",IF(C21="Efficiency",Q21/($O$6*VLOOKUP(0,'DCA Underwriting Assumptions'!$J$143:$K$148,2,FALSE)),Q21/($O$6*VLOOKUP(C21,'DCA Underwriting Assumptions'!$J$143:$K$148,2,FALSE))))</f>
        <v>0.50096339113680155</v>
      </c>
      <c r="S21" s="3267"/>
      <c r="T21" s="3268"/>
      <c r="U21" s="3223"/>
      <c r="V21" s="3224"/>
      <c r="W21" s="152" t="str">
        <f t="shared" si="4"/>
        <v/>
      </c>
      <c r="X21" s="152" t="str">
        <f t="shared" si="5"/>
        <v/>
      </c>
      <c r="Y21" s="152" t="str">
        <f t="shared" si="6"/>
        <v/>
      </c>
      <c r="Z21" s="152" t="str">
        <f t="shared" si="7"/>
        <v/>
      </c>
      <c r="AA21" s="152" t="str">
        <f t="shared" si="8"/>
        <v/>
      </c>
      <c r="AB21" s="152" t="str">
        <f t="shared" si="9"/>
        <v/>
      </c>
      <c r="AC21" s="152" t="str">
        <f t="shared" si="10"/>
        <v/>
      </c>
      <c r="AD21" s="152">
        <f t="shared" si="11"/>
        <v>4</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f t="shared" si="31"/>
        <v>4</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f t="shared" si="66"/>
        <v>4216</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f t="shared" si="81"/>
        <v>4216</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f t="shared" si="91"/>
        <v>4</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f t="shared" si="161"/>
        <v>4</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4</v>
      </c>
      <c r="JP21" s="473">
        <f t="shared" si="257"/>
        <v>0</v>
      </c>
      <c r="JQ21" s="473">
        <f t="shared" si="258"/>
        <v>0</v>
      </c>
    </row>
    <row r="22" spans="1:277" ht="12" customHeight="1">
      <c r="A22" s="112" t="str">
        <f t="shared" si="0"/>
        <v/>
      </c>
      <c r="B22" s="3257" t="s">
        <v>1784</v>
      </c>
      <c r="C22" s="3258"/>
      <c r="D22" s="3259"/>
      <c r="E22" s="3260"/>
      <c r="F22" s="3260"/>
      <c r="G22" s="3260"/>
      <c r="H22" s="3260"/>
      <c r="I22" s="3261">
        <f>IF(C22="",0,HLOOKUP(C22,'Part V-Utility Allowances'!$I$11:$M$21,11))</f>
        <v>0</v>
      </c>
      <c r="J22" s="3262"/>
      <c r="K22" s="630">
        <f t="shared" si="1"/>
        <v>0</v>
      </c>
      <c r="L22" s="630">
        <f t="shared" si="2"/>
        <v>0</v>
      </c>
      <c r="M22" s="3263"/>
      <c r="N22" s="3263"/>
      <c r="O22" s="3263"/>
      <c r="P22" s="3264"/>
      <c r="Q22" s="3265" t="str">
        <f t="shared" si="3"/>
        <v/>
      </c>
      <c r="R22" s="3266" t="str">
        <f>IF(H22="","",IF(C22="Efficiency",Q22/($O$6*VLOOKUP(0,'DCA Underwriting Assumptions'!$J$143:$K$148,2,FALSE)),Q22/($O$6*VLOOKUP(C22,'DCA Underwriting Assumptions'!$J$143:$K$148,2,FALSE))))</f>
        <v/>
      </c>
      <c r="S22" s="3267"/>
      <c r="T22" s="3268"/>
      <c r="U22" s="3223"/>
      <c r="V22" s="3224"/>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7" t="s">
        <v>1784</v>
      </c>
      <c r="C23" s="3258"/>
      <c r="D23" s="3259"/>
      <c r="E23" s="3260"/>
      <c r="F23" s="3260"/>
      <c r="G23" s="3260"/>
      <c r="H23" s="3260"/>
      <c r="I23" s="3261">
        <f>IF(C23="",0,HLOOKUP(C23,'Part V-Utility Allowances'!$I$11:$M$21,11))</f>
        <v>0</v>
      </c>
      <c r="J23" s="3262"/>
      <c r="K23" s="630">
        <f t="shared" si="1"/>
        <v>0</v>
      </c>
      <c r="L23" s="630">
        <f t="shared" si="2"/>
        <v>0</v>
      </c>
      <c r="M23" s="3263"/>
      <c r="N23" s="3263"/>
      <c r="O23" s="3263"/>
      <c r="P23" s="3264"/>
      <c r="Q23" s="3265" t="str">
        <f t="shared" si="3"/>
        <v/>
      </c>
      <c r="R23" s="3266" t="str">
        <f>IF(H23="","",IF(C23="Efficiency",Q23/($O$6*VLOOKUP(0,'DCA Underwriting Assumptions'!$J$143:$K$148,2,FALSE)),Q23/($O$6*VLOOKUP(C23,'DCA Underwriting Assumptions'!$J$143:$K$148,2,FALSE))))</f>
        <v/>
      </c>
      <c r="S23" s="3267"/>
      <c r="T23" s="3268"/>
      <c r="U23" s="3223"/>
      <c r="V23" s="3224"/>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7" t="s">
        <v>1784</v>
      </c>
      <c r="C24" s="3258"/>
      <c r="D24" s="3259"/>
      <c r="E24" s="3260"/>
      <c r="F24" s="3260"/>
      <c r="G24" s="3260"/>
      <c r="H24" s="3260"/>
      <c r="I24" s="3261">
        <f>IF(C24="",0,HLOOKUP(C24,'Part V-Utility Allowances'!$I$11:$M$21,11))</f>
        <v>0</v>
      </c>
      <c r="J24" s="3262"/>
      <c r="K24" s="630">
        <f t="shared" si="1"/>
        <v>0</v>
      </c>
      <c r="L24" s="630">
        <f t="shared" si="2"/>
        <v>0</v>
      </c>
      <c r="M24" s="3263"/>
      <c r="N24" s="3263"/>
      <c r="O24" s="3263"/>
      <c r="P24" s="3264"/>
      <c r="Q24" s="3265" t="str">
        <f t="shared" si="3"/>
        <v/>
      </c>
      <c r="R24" s="3266" t="str">
        <f>IF(H24="","",IF(C24="Efficiency",Q24/($O$6*VLOOKUP(0,'DCA Underwriting Assumptions'!$J$143:$K$148,2,FALSE)),Q24/($O$6*VLOOKUP(C24,'DCA Underwriting Assumptions'!$J$143:$K$148,2,FALSE))))</f>
        <v/>
      </c>
      <c r="S24" s="3267"/>
      <c r="T24" s="3268"/>
      <c r="U24" s="3223"/>
      <c r="V24" s="3224"/>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7" t="s">
        <v>1784</v>
      </c>
      <c r="C25" s="3258"/>
      <c r="D25" s="3259"/>
      <c r="E25" s="3260"/>
      <c r="F25" s="3260"/>
      <c r="G25" s="3260"/>
      <c r="H25" s="3260"/>
      <c r="I25" s="3261">
        <f>IF(C25="",0,HLOOKUP(C25,'Part V-Utility Allowances'!$I$11:$M$21,11))</f>
        <v>0</v>
      </c>
      <c r="J25" s="3262"/>
      <c r="K25" s="630">
        <f t="shared" si="1"/>
        <v>0</v>
      </c>
      <c r="L25" s="630">
        <f t="shared" si="2"/>
        <v>0</v>
      </c>
      <c r="M25" s="3263"/>
      <c r="N25" s="3263"/>
      <c r="O25" s="3263"/>
      <c r="P25" s="3264"/>
      <c r="Q25" s="3265" t="str">
        <f t="shared" si="3"/>
        <v/>
      </c>
      <c r="R25" s="3266" t="str">
        <f>IF(H25="","",IF(C25="Efficiency",Q25/($O$6*VLOOKUP(0,'DCA Underwriting Assumptions'!$J$143:$K$148,2,FALSE)),Q25/($O$6*VLOOKUP(C25,'DCA Underwriting Assumptions'!$J$143:$K$148,2,FALSE))))</f>
        <v/>
      </c>
      <c r="S25" s="3267"/>
      <c r="T25" s="3268"/>
      <c r="U25" s="3223"/>
      <c r="V25" s="3224"/>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7" t="s">
        <v>1784</v>
      </c>
      <c r="C26" s="3258"/>
      <c r="D26" s="3259"/>
      <c r="E26" s="3260"/>
      <c r="F26" s="3260"/>
      <c r="G26" s="3260"/>
      <c r="H26" s="3260"/>
      <c r="I26" s="3261">
        <f>IF(C26="",0,HLOOKUP(C26,'Part V-Utility Allowances'!$I$11:$M$21,11))</f>
        <v>0</v>
      </c>
      <c r="J26" s="3262"/>
      <c r="K26" s="630">
        <f t="shared" si="1"/>
        <v>0</v>
      </c>
      <c r="L26" s="630">
        <f t="shared" si="2"/>
        <v>0</v>
      </c>
      <c r="M26" s="3263"/>
      <c r="N26" s="3263"/>
      <c r="O26" s="3263"/>
      <c r="P26" s="3264"/>
      <c r="Q26" s="3265" t="str">
        <f t="shared" si="3"/>
        <v/>
      </c>
      <c r="R26" s="3266" t="str">
        <f>IF(H26="","",IF(C26="Efficiency",Q26/($O$6*VLOOKUP(0,'DCA Underwriting Assumptions'!$J$143:$K$148,2,FALSE)),Q26/($O$6*VLOOKUP(C26,'DCA Underwriting Assumptions'!$J$143:$K$148,2,FALSE))))</f>
        <v/>
      </c>
      <c r="S26" s="3267"/>
      <c r="T26" s="3268"/>
      <c r="U26" s="3223"/>
      <c r="V26" s="3224"/>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7" t="s">
        <v>1784</v>
      </c>
      <c r="C27" s="3258"/>
      <c r="D27" s="3259"/>
      <c r="E27" s="3260"/>
      <c r="F27" s="3260"/>
      <c r="G27" s="3260"/>
      <c r="H27" s="3260"/>
      <c r="I27" s="3261">
        <f>IF(C27="",0,HLOOKUP(C27,'Part V-Utility Allowances'!$I$11:$M$21,11))</f>
        <v>0</v>
      </c>
      <c r="J27" s="3262"/>
      <c r="K27" s="630">
        <f t="shared" si="1"/>
        <v>0</v>
      </c>
      <c r="L27" s="630">
        <f t="shared" si="2"/>
        <v>0</v>
      </c>
      <c r="M27" s="3263"/>
      <c r="N27" s="3263"/>
      <c r="O27" s="3263"/>
      <c r="P27" s="3264"/>
      <c r="Q27" s="3265" t="str">
        <f t="shared" si="3"/>
        <v/>
      </c>
      <c r="R27" s="3266" t="str">
        <f>IF(H27="","",IF(C27="Efficiency",Q27/($O$6*VLOOKUP(0,'DCA Underwriting Assumptions'!$J$143:$K$148,2,FALSE)),Q27/($O$6*VLOOKUP(C27,'DCA Underwriting Assumptions'!$J$143:$K$148,2,FALSE))))</f>
        <v/>
      </c>
      <c r="S27" s="3267"/>
      <c r="T27" s="3268"/>
      <c r="U27" s="3223"/>
      <c r="V27" s="3224"/>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7" t="s">
        <v>1784</v>
      </c>
      <c r="C28" s="3258"/>
      <c r="D28" s="3259"/>
      <c r="E28" s="3260"/>
      <c r="F28" s="3260"/>
      <c r="G28" s="3260"/>
      <c r="H28" s="3260"/>
      <c r="I28" s="3261">
        <f>IF(C28="",0,HLOOKUP(C28,'Part V-Utility Allowances'!$I$11:$M$21,11))</f>
        <v>0</v>
      </c>
      <c r="J28" s="3262"/>
      <c r="K28" s="630">
        <f t="shared" si="1"/>
        <v>0</v>
      </c>
      <c r="L28" s="630">
        <f t="shared" si="2"/>
        <v>0</v>
      </c>
      <c r="M28" s="3263"/>
      <c r="N28" s="3263"/>
      <c r="O28" s="3263"/>
      <c r="P28" s="3264"/>
      <c r="Q28" s="3265" t="str">
        <f t="shared" si="3"/>
        <v/>
      </c>
      <c r="R28" s="3266" t="str">
        <f>IF(H28="","",IF(C28="Efficiency",Q28/($O$6*VLOOKUP(0,'DCA Underwriting Assumptions'!$J$143:$K$148,2,FALSE)),Q28/($O$6*VLOOKUP(C28,'DCA Underwriting Assumptions'!$J$143:$K$148,2,FALSE))))</f>
        <v/>
      </c>
      <c r="S28" s="3267"/>
      <c r="T28" s="3268"/>
      <c r="U28" s="3223"/>
      <c r="V28" s="3224"/>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7" t="s">
        <v>1784</v>
      </c>
      <c r="C29" s="3258"/>
      <c r="D29" s="3259"/>
      <c r="E29" s="3260"/>
      <c r="F29" s="3260"/>
      <c r="G29" s="3260"/>
      <c r="H29" s="3260"/>
      <c r="I29" s="3261">
        <f>IF(C29="",0,HLOOKUP(C29,'Part V-Utility Allowances'!$I$11:$M$21,11))</f>
        <v>0</v>
      </c>
      <c r="J29" s="3262"/>
      <c r="K29" s="630">
        <f t="shared" si="1"/>
        <v>0</v>
      </c>
      <c r="L29" s="630">
        <f t="shared" si="2"/>
        <v>0</v>
      </c>
      <c r="M29" s="3263"/>
      <c r="N29" s="3263"/>
      <c r="O29" s="3263"/>
      <c r="P29" s="3264"/>
      <c r="Q29" s="3265" t="str">
        <f t="shared" si="3"/>
        <v/>
      </c>
      <c r="R29" s="3266" t="str">
        <f>IF(H29="","",IF(C29="Efficiency",Q29/($O$6*VLOOKUP(0,'DCA Underwriting Assumptions'!$J$143:$K$148,2,FALSE)),Q29/($O$6*VLOOKUP(C29,'DCA Underwriting Assumptions'!$J$143:$K$148,2,FALSE))))</f>
        <v/>
      </c>
      <c r="S29" s="3267"/>
      <c r="T29" s="3268"/>
      <c r="U29" s="3223"/>
      <c r="V29" s="3224"/>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7" t="s">
        <v>1784</v>
      </c>
      <c r="C30" s="3258"/>
      <c r="D30" s="3259"/>
      <c r="E30" s="3260"/>
      <c r="F30" s="3260"/>
      <c r="G30" s="3260"/>
      <c r="H30" s="3260"/>
      <c r="I30" s="3261">
        <f>IF(C30="",0,HLOOKUP(C30,'Part V-Utility Allowances'!$I$11:$M$21,11))</f>
        <v>0</v>
      </c>
      <c r="J30" s="3262"/>
      <c r="K30" s="630">
        <f t="shared" si="1"/>
        <v>0</v>
      </c>
      <c r="L30" s="630">
        <f t="shared" si="2"/>
        <v>0</v>
      </c>
      <c r="M30" s="3263"/>
      <c r="N30" s="3263"/>
      <c r="O30" s="3263"/>
      <c r="P30" s="3264"/>
      <c r="Q30" s="3265" t="str">
        <f t="shared" si="3"/>
        <v/>
      </c>
      <c r="R30" s="3266" t="str">
        <f>IF(H30="","",IF(C30="Efficiency",Q30/($O$6*VLOOKUP(0,'DCA Underwriting Assumptions'!$J$143:$K$148,2,FALSE)),Q30/($O$6*VLOOKUP(C30,'DCA Underwriting Assumptions'!$J$143:$K$148,2,FALSE))))</f>
        <v/>
      </c>
      <c r="S30" s="3267"/>
      <c r="T30" s="3268"/>
      <c r="U30" s="3223"/>
      <c r="V30" s="3224"/>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7" t="s">
        <v>1784</v>
      </c>
      <c r="C31" s="3258"/>
      <c r="D31" s="3259"/>
      <c r="E31" s="3260"/>
      <c r="F31" s="3260"/>
      <c r="G31" s="3260"/>
      <c r="H31" s="3260"/>
      <c r="I31" s="3261">
        <f>IF(C31="",0,HLOOKUP(C31,'Part V-Utility Allowances'!$I$11:$M$21,11))</f>
        <v>0</v>
      </c>
      <c r="J31" s="3262"/>
      <c r="K31" s="630">
        <f t="shared" si="1"/>
        <v>0</v>
      </c>
      <c r="L31" s="630">
        <f t="shared" si="2"/>
        <v>0</v>
      </c>
      <c r="M31" s="3263"/>
      <c r="N31" s="3263"/>
      <c r="O31" s="3263"/>
      <c r="P31" s="3264"/>
      <c r="Q31" s="3265" t="str">
        <f t="shared" si="3"/>
        <v/>
      </c>
      <c r="R31" s="3266" t="str">
        <f>IF(H31="","",IF(C31="Efficiency",Q31/($O$6*VLOOKUP(0,'DCA Underwriting Assumptions'!$J$143:$K$148,2,FALSE)),Q31/($O$6*VLOOKUP(C31,'DCA Underwriting Assumptions'!$J$143:$K$148,2,FALSE))))</f>
        <v/>
      </c>
      <c r="S31" s="3267"/>
      <c r="T31" s="3268"/>
      <c r="U31" s="3223"/>
      <c r="V31" s="3224"/>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7" t="s">
        <v>1784</v>
      </c>
      <c r="C32" s="3258"/>
      <c r="D32" s="3259"/>
      <c r="E32" s="3260"/>
      <c r="F32" s="3260"/>
      <c r="G32" s="3260"/>
      <c r="H32" s="3260"/>
      <c r="I32" s="3261">
        <f>IF(C32="",0,HLOOKUP(C32,'Part V-Utility Allowances'!$I$11:$M$21,11))</f>
        <v>0</v>
      </c>
      <c r="J32" s="3262"/>
      <c r="K32" s="630">
        <f t="shared" si="1"/>
        <v>0</v>
      </c>
      <c r="L32" s="630">
        <f t="shared" si="2"/>
        <v>0</v>
      </c>
      <c r="M32" s="3263"/>
      <c r="N32" s="3263"/>
      <c r="O32" s="3263"/>
      <c r="P32" s="3264"/>
      <c r="Q32" s="3265" t="str">
        <f t="shared" si="3"/>
        <v/>
      </c>
      <c r="R32" s="3266" t="str">
        <f>IF(H32="","",IF(C32="Efficiency",Q32/($O$6*VLOOKUP(0,'DCA Underwriting Assumptions'!$J$143:$K$148,2,FALSE)),Q32/($O$6*VLOOKUP(C32,'DCA Underwriting Assumptions'!$J$143:$K$148,2,FALSE))))</f>
        <v/>
      </c>
      <c r="S32" s="3267"/>
      <c r="T32" s="3268"/>
      <c r="U32" s="3223"/>
      <c r="V32" s="3224"/>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7" t="s">
        <v>1784</v>
      </c>
      <c r="C33" s="3258"/>
      <c r="D33" s="3259"/>
      <c r="E33" s="3260"/>
      <c r="F33" s="3260"/>
      <c r="G33" s="3260"/>
      <c r="H33" s="3260"/>
      <c r="I33" s="3261">
        <f>IF(C33="",0,HLOOKUP(C33,'Part V-Utility Allowances'!$I$11:$M$21,11))</f>
        <v>0</v>
      </c>
      <c r="J33" s="3262"/>
      <c r="K33" s="630">
        <f t="shared" si="1"/>
        <v>0</v>
      </c>
      <c r="L33" s="630">
        <f t="shared" si="2"/>
        <v>0</v>
      </c>
      <c r="M33" s="3263"/>
      <c r="N33" s="3263"/>
      <c r="O33" s="3263"/>
      <c r="P33" s="3264"/>
      <c r="Q33" s="3265" t="str">
        <f t="shared" si="3"/>
        <v/>
      </c>
      <c r="R33" s="3266" t="str">
        <f>IF(H33="","",IF(C33="Efficiency",Q33/($O$6*VLOOKUP(0,'DCA Underwriting Assumptions'!$J$143:$K$148,2,FALSE)),Q33/($O$6*VLOOKUP(C33,'DCA Underwriting Assumptions'!$J$143:$K$148,2,FALSE))))</f>
        <v/>
      </c>
      <c r="S33" s="3267"/>
      <c r="T33" s="3268"/>
      <c r="U33" s="3223"/>
      <c r="V33" s="3224"/>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7" t="s">
        <v>1784</v>
      </c>
      <c r="C34" s="3258"/>
      <c r="D34" s="3259"/>
      <c r="E34" s="3260"/>
      <c r="F34" s="3260"/>
      <c r="G34" s="3260"/>
      <c r="H34" s="3260"/>
      <c r="I34" s="3261">
        <f>IF(C34="",0,HLOOKUP(C34,'Part V-Utility Allowances'!$I$11:$M$21,11))</f>
        <v>0</v>
      </c>
      <c r="J34" s="3262"/>
      <c r="K34" s="630">
        <f t="shared" si="1"/>
        <v>0</v>
      </c>
      <c r="L34" s="630">
        <f t="shared" si="2"/>
        <v>0</v>
      </c>
      <c r="M34" s="3263"/>
      <c r="N34" s="3263"/>
      <c r="O34" s="3263"/>
      <c r="P34" s="3264"/>
      <c r="Q34" s="3265" t="str">
        <f t="shared" si="3"/>
        <v/>
      </c>
      <c r="R34" s="3266" t="str">
        <f>IF(H34="","",IF(C34="Efficiency",Q34/($O$6*VLOOKUP(0,'DCA Underwriting Assumptions'!$J$143:$K$148,2,FALSE)),Q34/($O$6*VLOOKUP(C34,'DCA Underwriting Assumptions'!$J$143:$K$148,2,FALSE))))</f>
        <v/>
      </c>
      <c r="S34" s="3267"/>
      <c r="T34" s="3268"/>
      <c r="U34" s="3223"/>
      <c r="V34" s="3224"/>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7" t="s">
        <v>1784</v>
      </c>
      <c r="C35" s="3258"/>
      <c r="D35" s="3259"/>
      <c r="E35" s="3260"/>
      <c r="F35" s="3260"/>
      <c r="G35" s="3260"/>
      <c r="H35" s="3260"/>
      <c r="I35" s="3261">
        <f>IF(C35="",0,HLOOKUP(C35,'Part V-Utility Allowances'!$I$11:$M$21,11))</f>
        <v>0</v>
      </c>
      <c r="J35" s="3262"/>
      <c r="K35" s="630">
        <f t="shared" si="1"/>
        <v>0</v>
      </c>
      <c r="L35" s="630">
        <f t="shared" si="2"/>
        <v>0</v>
      </c>
      <c r="M35" s="3263"/>
      <c r="N35" s="3263"/>
      <c r="O35" s="3263"/>
      <c r="P35" s="3264"/>
      <c r="Q35" s="3265" t="str">
        <f t="shared" si="3"/>
        <v/>
      </c>
      <c r="R35" s="3266" t="str">
        <f>IF(H35="","",IF(C35="Efficiency",Q35/($O$6*VLOOKUP(0,'DCA Underwriting Assumptions'!$J$143:$K$148,2,FALSE)),Q35/($O$6*VLOOKUP(C35,'DCA Underwriting Assumptions'!$J$143:$K$148,2,FALSE))))</f>
        <v/>
      </c>
      <c r="S35" s="3267"/>
      <c r="T35" s="3268"/>
      <c r="U35" s="3223"/>
      <c r="V35" s="3224"/>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7" t="s">
        <v>1784</v>
      </c>
      <c r="C36" s="3258"/>
      <c r="D36" s="3259"/>
      <c r="E36" s="3260"/>
      <c r="F36" s="3260"/>
      <c r="G36" s="3260"/>
      <c r="H36" s="3260"/>
      <c r="I36" s="3261">
        <f>IF(C36="",0,HLOOKUP(C36,'Part V-Utility Allowances'!$I$11:$M$21,11))</f>
        <v>0</v>
      </c>
      <c r="J36" s="3262"/>
      <c r="K36" s="630">
        <f t="shared" si="1"/>
        <v>0</v>
      </c>
      <c r="L36" s="630">
        <f t="shared" si="2"/>
        <v>0</v>
      </c>
      <c r="M36" s="3263"/>
      <c r="N36" s="3263"/>
      <c r="O36" s="3263"/>
      <c r="P36" s="3264"/>
      <c r="Q36" s="3265" t="str">
        <f t="shared" si="3"/>
        <v/>
      </c>
      <c r="R36" s="3266" t="str">
        <f>IF(H36="","",IF(C36="Efficiency",Q36/($O$6*VLOOKUP(0,'DCA Underwriting Assumptions'!$J$143:$K$148,2,FALSE)),Q36/($O$6*VLOOKUP(C36,'DCA Underwriting Assumptions'!$J$143:$K$148,2,FALSE))))</f>
        <v/>
      </c>
      <c r="S36" s="3267"/>
      <c r="T36" s="3268"/>
      <c r="U36" s="3223"/>
      <c r="V36" s="3224"/>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7" t="s">
        <v>1784</v>
      </c>
      <c r="C37" s="3258"/>
      <c r="D37" s="3259"/>
      <c r="E37" s="3260"/>
      <c r="F37" s="3260"/>
      <c r="G37" s="3260"/>
      <c r="H37" s="3260"/>
      <c r="I37" s="3261">
        <f>IF(C37="",0,HLOOKUP(C37,'Part V-Utility Allowances'!$I$11:$M$21,11))</f>
        <v>0</v>
      </c>
      <c r="J37" s="3262"/>
      <c r="K37" s="630">
        <f t="shared" si="1"/>
        <v>0</v>
      </c>
      <c r="L37" s="630">
        <f t="shared" si="2"/>
        <v>0</v>
      </c>
      <c r="M37" s="3263"/>
      <c r="N37" s="3263"/>
      <c r="O37" s="3263"/>
      <c r="P37" s="3264"/>
      <c r="Q37" s="3265" t="str">
        <f t="shared" si="3"/>
        <v/>
      </c>
      <c r="R37" s="3266" t="str">
        <f>IF(H37="","",IF(C37="Efficiency",Q37/($O$6*VLOOKUP(0,'DCA Underwriting Assumptions'!$J$143:$K$148,2,FALSE)),Q37/($O$6*VLOOKUP(C37,'DCA Underwriting Assumptions'!$J$143:$K$148,2,FALSE))))</f>
        <v/>
      </c>
      <c r="S37" s="3267"/>
      <c r="T37" s="3268"/>
      <c r="U37" s="3223"/>
      <c r="V37" s="3224"/>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7" t="s">
        <v>1784</v>
      </c>
      <c r="C38" s="3258"/>
      <c r="D38" s="3259"/>
      <c r="E38" s="3260"/>
      <c r="F38" s="3260"/>
      <c r="G38" s="3260"/>
      <c r="H38" s="3260"/>
      <c r="I38" s="3261">
        <f>IF(C38="",0,HLOOKUP(C38,'Part V-Utility Allowances'!$I$11:$M$21,11))</f>
        <v>0</v>
      </c>
      <c r="J38" s="3262"/>
      <c r="K38" s="630">
        <f t="shared" si="1"/>
        <v>0</v>
      </c>
      <c r="L38" s="630">
        <f t="shared" si="2"/>
        <v>0</v>
      </c>
      <c r="M38" s="3263"/>
      <c r="N38" s="3263"/>
      <c r="O38" s="3263"/>
      <c r="P38" s="3264"/>
      <c r="Q38" s="3265" t="str">
        <f t="shared" si="3"/>
        <v/>
      </c>
      <c r="R38" s="3266" t="str">
        <f>IF(H38="","",IF(C38="Efficiency",Q38/($O$6*VLOOKUP(0,'DCA Underwriting Assumptions'!$J$143:$K$148,2,FALSE)),Q38/($O$6*VLOOKUP(C38,'DCA Underwriting Assumptions'!$J$143:$K$148,2,FALSE))))</f>
        <v/>
      </c>
      <c r="S38" s="3267"/>
      <c r="T38" s="3268"/>
      <c r="U38" s="3223"/>
      <c r="V38" s="3224"/>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7" t="s">
        <v>1784</v>
      </c>
      <c r="C39" s="3258"/>
      <c r="D39" s="3259"/>
      <c r="E39" s="3260"/>
      <c r="F39" s="3260"/>
      <c r="G39" s="3260"/>
      <c r="H39" s="3260"/>
      <c r="I39" s="3261">
        <f>IF(C39="",0,HLOOKUP(C39,'Part V-Utility Allowances'!$I$11:$M$21,11))</f>
        <v>0</v>
      </c>
      <c r="J39" s="3262"/>
      <c r="K39" s="630">
        <f t="shared" si="1"/>
        <v>0</v>
      </c>
      <c r="L39" s="630">
        <f t="shared" si="2"/>
        <v>0</v>
      </c>
      <c r="M39" s="3263"/>
      <c r="N39" s="3263"/>
      <c r="O39" s="3263"/>
      <c r="P39" s="3264"/>
      <c r="Q39" s="3265" t="str">
        <f t="shared" si="3"/>
        <v/>
      </c>
      <c r="R39" s="3266" t="str">
        <f>IF(H39="","",IF(C39="Efficiency",Q39/($O$6*VLOOKUP(0,'DCA Underwriting Assumptions'!$J$143:$K$148,2,FALSE)),Q39/($O$6*VLOOKUP(C39,'DCA Underwriting Assumptions'!$J$143:$K$148,2,FALSE))))</f>
        <v/>
      </c>
      <c r="S39" s="3267"/>
      <c r="T39" s="3268"/>
      <c r="U39" s="3223"/>
      <c r="V39" s="3224"/>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7" t="s">
        <v>1784</v>
      </c>
      <c r="C40" s="3258"/>
      <c r="D40" s="3259"/>
      <c r="E40" s="3260"/>
      <c r="F40" s="3260"/>
      <c r="G40" s="3260"/>
      <c r="H40" s="3260"/>
      <c r="I40" s="3261">
        <f>IF(C40="",0,HLOOKUP(C40,'Part V-Utility Allowances'!$I$11:$M$21,11))</f>
        <v>0</v>
      </c>
      <c r="J40" s="3262"/>
      <c r="K40" s="630">
        <f t="shared" si="1"/>
        <v>0</v>
      </c>
      <c r="L40" s="630">
        <f t="shared" si="2"/>
        <v>0</v>
      </c>
      <c r="M40" s="3263"/>
      <c r="N40" s="3263"/>
      <c r="O40" s="3263"/>
      <c r="P40" s="3264"/>
      <c r="Q40" s="3265" t="str">
        <f t="shared" si="3"/>
        <v/>
      </c>
      <c r="R40" s="3266" t="str">
        <f>IF(H40="","",IF(C40="Efficiency",Q40/($O$6*VLOOKUP(0,'DCA Underwriting Assumptions'!$J$143:$K$148,2,FALSE)),Q40/($O$6*VLOOKUP(C40,'DCA Underwriting Assumptions'!$J$143:$K$148,2,FALSE))))</f>
        <v/>
      </c>
      <c r="S40" s="3267"/>
      <c r="T40" s="3268"/>
      <c r="U40" s="3223"/>
      <c r="V40" s="3224"/>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7" t="s">
        <v>1784</v>
      </c>
      <c r="C41" s="3258"/>
      <c r="D41" s="3259"/>
      <c r="E41" s="3260"/>
      <c r="F41" s="3260"/>
      <c r="G41" s="3260"/>
      <c r="H41" s="3260"/>
      <c r="I41" s="3261">
        <f>IF(C41="",0,HLOOKUP(C41,'Part V-Utility Allowances'!$I$11:$M$21,11))</f>
        <v>0</v>
      </c>
      <c r="J41" s="3262"/>
      <c r="K41" s="630">
        <f t="shared" si="1"/>
        <v>0</v>
      </c>
      <c r="L41" s="630">
        <f t="shared" si="2"/>
        <v>0</v>
      </c>
      <c r="M41" s="3263"/>
      <c r="N41" s="3263"/>
      <c r="O41" s="3263"/>
      <c r="P41" s="3264"/>
      <c r="Q41" s="3265" t="str">
        <f t="shared" si="3"/>
        <v/>
      </c>
      <c r="R41" s="3266" t="str">
        <f>IF(H41="","",IF(C41="Efficiency",Q41/($O$6*VLOOKUP(0,'DCA Underwriting Assumptions'!$J$143:$K$148,2,FALSE)),Q41/($O$6*VLOOKUP(C41,'DCA Underwriting Assumptions'!$J$143:$K$148,2,FALSE))))</f>
        <v/>
      </c>
      <c r="S41" s="3267"/>
      <c r="T41" s="3268"/>
      <c r="U41" s="3223"/>
      <c r="V41" s="3224"/>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7" t="s">
        <v>1784</v>
      </c>
      <c r="C42" s="3258"/>
      <c r="D42" s="3259"/>
      <c r="E42" s="3260"/>
      <c r="F42" s="3260"/>
      <c r="G42" s="3260"/>
      <c r="H42" s="3260"/>
      <c r="I42" s="3261">
        <f>IF(C42="",0,HLOOKUP(C42,'Part V-Utility Allowances'!$I$11:$M$21,11))</f>
        <v>0</v>
      </c>
      <c r="J42" s="3262"/>
      <c r="K42" s="630">
        <f t="shared" si="1"/>
        <v>0</v>
      </c>
      <c r="L42" s="630">
        <f t="shared" si="2"/>
        <v>0</v>
      </c>
      <c r="M42" s="3263"/>
      <c r="N42" s="3263"/>
      <c r="O42" s="3263"/>
      <c r="P42" s="3264"/>
      <c r="Q42" s="3265" t="str">
        <f t="shared" si="3"/>
        <v/>
      </c>
      <c r="R42" s="3266" t="str">
        <f>IF(H42="","",IF(C42="Efficiency",Q42/($O$6*VLOOKUP(0,'DCA Underwriting Assumptions'!$J$143:$K$148,2,FALSE)),Q42/($O$6*VLOOKUP(C42,'DCA Underwriting Assumptions'!$J$143:$K$148,2,FALSE))))</f>
        <v/>
      </c>
      <c r="S42" s="3267"/>
      <c r="T42" s="3268"/>
      <c r="U42" s="3223"/>
      <c r="V42" s="3224"/>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7" t="s">
        <v>1784</v>
      </c>
      <c r="C43" s="3258"/>
      <c r="D43" s="3259"/>
      <c r="E43" s="3260"/>
      <c r="F43" s="3260"/>
      <c r="G43" s="3260"/>
      <c r="H43" s="3260"/>
      <c r="I43" s="3261">
        <f>IF(C43="",0,HLOOKUP(C43,'Part V-Utility Allowances'!$I$11:$M$21,11))</f>
        <v>0</v>
      </c>
      <c r="J43" s="3262"/>
      <c r="K43" s="630">
        <f t="shared" si="1"/>
        <v>0</v>
      </c>
      <c r="L43" s="630">
        <f t="shared" si="2"/>
        <v>0</v>
      </c>
      <c r="M43" s="3263"/>
      <c r="N43" s="3263"/>
      <c r="O43" s="3263"/>
      <c r="P43" s="3264"/>
      <c r="Q43" s="3265" t="str">
        <f t="shared" si="3"/>
        <v/>
      </c>
      <c r="R43" s="3266" t="str">
        <f>IF(H43="","",IF(C43="Efficiency",Q43/($O$6*VLOOKUP(0,'DCA Underwriting Assumptions'!$J$143:$K$148,2,FALSE)),Q43/($O$6*VLOOKUP(C43,'DCA Underwriting Assumptions'!$J$143:$K$148,2,FALSE))))</f>
        <v/>
      </c>
      <c r="S43" s="3267"/>
      <c r="T43" s="3268"/>
      <c r="U43" s="3223"/>
      <c r="V43" s="3224"/>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7" t="s">
        <v>1784</v>
      </c>
      <c r="C44" s="3258"/>
      <c r="D44" s="3259"/>
      <c r="E44" s="3260"/>
      <c r="F44" s="3260"/>
      <c r="G44" s="3260"/>
      <c r="H44" s="3260"/>
      <c r="I44" s="3261">
        <f>IF(C44="",0,HLOOKUP(C44,'Part V-Utility Allowances'!$I$11:$M$21,11))</f>
        <v>0</v>
      </c>
      <c r="J44" s="3262"/>
      <c r="K44" s="630">
        <f t="shared" si="1"/>
        <v>0</v>
      </c>
      <c r="L44" s="630">
        <f t="shared" si="2"/>
        <v>0</v>
      </c>
      <c r="M44" s="3263"/>
      <c r="N44" s="3263"/>
      <c r="O44" s="3263"/>
      <c r="P44" s="3264"/>
      <c r="Q44" s="3265" t="str">
        <f t="shared" si="3"/>
        <v/>
      </c>
      <c r="R44" s="3266" t="str">
        <f>IF(H44="","",IF(C44="Efficiency",Q44/($O$6*VLOOKUP(0,'DCA Underwriting Assumptions'!$J$143:$K$148,2,FALSE)),Q44/($O$6*VLOOKUP(C44,'DCA Underwriting Assumptions'!$J$143:$K$148,2,FALSE))))</f>
        <v/>
      </c>
      <c r="S44" s="3267"/>
      <c r="T44" s="3268"/>
      <c r="U44" s="3223"/>
      <c r="V44" s="3224"/>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7" t="s">
        <v>1784</v>
      </c>
      <c r="C45" s="3258"/>
      <c r="D45" s="3259"/>
      <c r="E45" s="3260"/>
      <c r="F45" s="3260"/>
      <c r="G45" s="3260"/>
      <c r="H45" s="3260"/>
      <c r="I45" s="3261">
        <f>IF(C45="",0,HLOOKUP(C45,'Part V-Utility Allowances'!$I$11:$M$21,11))</f>
        <v>0</v>
      </c>
      <c r="J45" s="3262"/>
      <c r="K45" s="630">
        <f t="shared" si="1"/>
        <v>0</v>
      </c>
      <c r="L45" s="630">
        <f t="shared" si="2"/>
        <v>0</v>
      </c>
      <c r="M45" s="3263"/>
      <c r="N45" s="3263"/>
      <c r="O45" s="3263"/>
      <c r="P45" s="3264"/>
      <c r="Q45" s="3265" t="str">
        <f t="shared" si="3"/>
        <v/>
      </c>
      <c r="R45" s="3266" t="str">
        <f>IF(H45="","",IF(C45="Efficiency",Q45/($O$6*VLOOKUP(0,'DCA Underwriting Assumptions'!$J$143:$K$148,2,FALSE)),Q45/($O$6*VLOOKUP(C45,'DCA Underwriting Assumptions'!$J$143:$K$148,2,FALSE))))</f>
        <v/>
      </c>
      <c r="S45" s="3267"/>
      <c r="T45" s="3268"/>
      <c r="U45" s="3223"/>
      <c r="V45" s="3224"/>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7" t="s">
        <v>1784</v>
      </c>
      <c r="C46" s="3258"/>
      <c r="D46" s="3259"/>
      <c r="E46" s="3260"/>
      <c r="F46" s="3260"/>
      <c r="G46" s="3260"/>
      <c r="H46" s="3260"/>
      <c r="I46" s="3261">
        <f>IF(C46="",0,HLOOKUP(C46,'Part V-Utility Allowances'!$I$11:$M$21,11))</f>
        <v>0</v>
      </c>
      <c r="J46" s="3262"/>
      <c r="K46" s="630">
        <f t="shared" si="1"/>
        <v>0</v>
      </c>
      <c r="L46" s="630">
        <f t="shared" si="2"/>
        <v>0</v>
      </c>
      <c r="M46" s="3263"/>
      <c r="N46" s="3263"/>
      <c r="O46" s="3263"/>
      <c r="P46" s="3264"/>
      <c r="Q46" s="3265" t="str">
        <f t="shared" si="3"/>
        <v/>
      </c>
      <c r="R46" s="3266" t="str">
        <f>IF(H46="","",IF(C46="Efficiency",Q46/($O$6*VLOOKUP(0,'DCA Underwriting Assumptions'!$J$143:$K$148,2,FALSE)),Q46/($O$6*VLOOKUP(C46,'DCA Underwriting Assumptions'!$J$143:$K$148,2,FALSE))))</f>
        <v/>
      </c>
      <c r="S46" s="3267"/>
      <c r="T46" s="3268"/>
      <c r="U46" s="3223"/>
      <c r="V46" s="3224"/>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9" t="s">
        <v>1784</v>
      </c>
      <c r="C47" s="3270"/>
      <c r="D47" s="3271"/>
      <c r="E47" s="3272"/>
      <c r="F47" s="3272"/>
      <c r="G47" s="3272"/>
      <c r="H47" s="3272"/>
      <c r="I47" s="3273">
        <f>IF(C47="",0,HLOOKUP(C47,'Part V-Utility Allowances'!$I$11:$M$21,11))</f>
        <v>0</v>
      </c>
      <c r="J47" s="3274"/>
      <c r="K47" s="631">
        <f t="shared" si="1"/>
        <v>0</v>
      </c>
      <c r="L47" s="631">
        <f t="shared" si="2"/>
        <v>0</v>
      </c>
      <c r="M47" s="3275"/>
      <c r="N47" s="3275"/>
      <c r="O47" s="3275"/>
      <c r="P47" s="3276"/>
      <c r="Q47" s="3277" t="str">
        <f t="shared" si="3"/>
        <v/>
      </c>
      <c r="R47" s="3278" t="str">
        <f>IF(H47="","",IF(C47="Efficiency",Q47/($O$6*VLOOKUP(0,'DCA Underwriting Assumptions'!$J$143:$K$148,2,FALSE)),Q47/($O$6*VLOOKUP(C47,'DCA Underwriting Assumptions'!$J$143:$K$148,2,FALSE))))</f>
        <v/>
      </c>
      <c r="S47" s="3279"/>
      <c r="T47" s="3280"/>
      <c r="U47" s="3229"/>
      <c r="V47" s="3230"/>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66</v>
      </c>
      <c r="F48" s="974">
        <f>(E10*F10+E11*F11+E12*F12+E13*F13+E14*F14+E15*F15+E16*F16+E17*F17+E18*F18+E19*F19+E20*F20+E21*F21+E22*F22+E23*F23+E24*F24+E25*F25+E26*F26+E27*F27+E28*F28+E29*F29+E30*F30+E31*F31+E32*F32+E33*F33+E34*F34+E35*F35+E36*F36+E37*F37+E38*F38+E39*F39+E40*F40+E41*F41+E42*F42+E43*F43+E44*F44+E45*F45+E46*F46+E47*F47)</f>
        <v>78428</v>
      </c>
      <c r="G48" s="603"/>
      <c r="H48" s="604"/>
      <c r="I48" s="604"/>
      <c r="J48" s="604"/>
      <c r="K48" s="977" t="s">
        <v>1314</v>
      </c>
      <c r="L48" s="127">
        <f>SUM(L10:L47)</f>
        <v>33110</v>
      </c>
      <c r="M48" s="97"/>
      <c r="N48" s="605"/>
      <c r="O48" s="97"/>
      <c r="P48" s="490"/>
      <c r="Q48" s="490"/>
      <c r="R48" s="490"/>
      <c r="S48" s="490"/>
      <c r="T48" s="490"/>
      <c r="U48" s="955"/>
      <c r="V48" s="606"/>
      <c r="W48" s="607">
        <f t="shared" ref="W48:CH48" si="259">SUM(W10:W47)</f>
        <v>0</v>
      </c>
      <c r="X48" s="607">
        <f t="shared" si="259"/>
        <v>8</v>
      </c>
      <c r="Y48" s="607">
        <f t="shared" si="259"/>
        <v>26</v>
      </c>
      <c r="Z48" s="607">
        <f t="shared" si="259"/>
        <v>11</v>
      </c>
      <c r="AA48" s="607">
        <f t="shared" si="259"/>
        <v>2</v>
      </c>
      <c r="AB48" s="607">
        <f t="shared" si="259"/>
        <v>0</v>
      </c>
      <c r="AC48" s="607">
        <f t="shared" si="259"/>
        <v>8</v>
      </c>
      <c r="AD48" s="607">
        <f t="shared" si="259"/>
        <v>6</v>
      </c>
      <c r="AE48" s="607">
        <f t="shared" si="259"/>
        <v>5</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8</v>
      </c>
      <c r="AX48" s="607">
        <f t="shared" si="259"/>
        <v>6</v>
      </c>
      <c r="AY48" s="607">
        <f t="shared" si="259"/>
        <v>5</v>
      </c>
      <c r="AZ48" s="607">
        <f t="shared" si="259"/>
        <v>0</v>
      </c>
      <c r="BA48" s="607">
        <f t="shared" si="259"/>
        <v>0</v>
      </c>
      <c r="BB48" s="607">
        <f t="shared" si="259"/>
        <v>8</v>
      </c>
      <c r="BC48" s="607">
        <f t="shared" si="259"/>
        <v>26</v>
      </c>
      <c r="BD48" s="607">
        <f t="shared" si="259"/>
        <v>11</v>
      </c>
      <c r="BE48" s="607">
        <f t="shared" si="259"/>
        <v>2</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6568</v>
      </c>
      <c r="CB48" s="607">
        <f t="shared" si="259"/>
        <v>29068</v>
      </c>
      <c r="CC48" s="607">
        <f t="shared" si="259"/>
        <v>17886</v>
      </c>
      <c r="CD48" s="607">
        <f t="shared" si="259"/>
        <v>3756</v>
      </c>
      <c r="CE48" s="607">
        <f t="shared" si="259"/>
        <v>0</v>
      </c>
      <c r="CF48" s="607">
        <f t="shared" si="259"/>
        <v>6568</v>
      </c>
      <c r="CG48" s="607">
        <f t="shared" si="259"/>
        <v>6452</v>
      </c>
      <c r="CH48" s="607">
        <f t="shared" si="259"/>
        <v>8130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13136</v>
      </c>
      <c r="CV48" s="607">
        <f t="shared" si="260"/>
        <v>35520</v>
      </c>
      <c r="CW48" s="607">
        <f t="shared" si="260"/>
        <v>26016</v>
      </c>
      <c r="CX48" s="607">
        <f t="shared" si="260"/>
        <v>3756</v>
      </c>
      <c r="CY48" s="607">
        <f t="shared" si="260"/>
        <v>0</v>
      </c>
      <c r="CZ48" s="607">
        <f t="shared" si="260"/>
        <v>0</v>
      </c>
      <c r="DA48" s="607">
        <f t="shared" si="260"/>
        <v>0</v>
      </c>
      <c r="DB48" s="607">
        <f t="shared" si="260"/>
        <v>0</v>
      </c>
      <c r="DC48" s="607">
        <f t="shared" si="260"/>
        <v>0</v>
      </c>
      <c r="DD48" s="607">
        <f t="shared" si="260"/>
        <v>0</v>
      </c>
      <c r="DE48" s="607">
        <f t="shared" si="260"/>
        <v>16</v>
      </c>
      <c r="DF48" s="607">
        <f t="shared" si="260"/>
        <v>32</v>
      </c>
      <c r="DG48" s="607">
        <f t="shared" si="260"/>
        <v>16</v>
      </c>
      <c r="DH48" s="607">
        <f t="shared" si="260"/>
        <v>2</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16</v>
      </c>
      <c r="EY48" s="476">
        <f t="shared" si="261"/>
        <v>28</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4</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16</v>
      </c>
      <c r="GJ48" s="476">
        <f t="shared" si="261"/>
        <v>2</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16</v>
      </c>
      <c r="HL48" s="476">
        <f t="shared" si="262"/>
        <v>28</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16</v>
      </c>
      <c r="JJ48" s="476">
        <f t="shared" si="262"/>
        <v>28</v>
      </c>
      <c r="JK48" s="476">
        <f t="shared" si="262"/>
        <v>16</v>
      </c>
      <c r="JL48" s="476">
        <f t="shared" si="262"/>
        <v>2</v>
      </c>
      <c r="JM48" s="476">
        <f t="shared" si="262"/>
        <v>0</v>
      </c>
      <c r="JN48" s="476">
        <f t="shared" si="262"/>
        <v>0</v>
      </c>
      <c r="JO48" s="476">
        <f t="shared" si="262"/>
        <v>4</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397320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81"/>
      <c r="C51" s="3281"/>
      <c r="D51" s="3281"/>
      <c r="E51" s="3281"/>
      <c r="F51" s="3281"/>
      <c r="G51" s="3281"/>
      <c r="H51" s="3281"/>
      <c r="I51" s="3281"/>
      <c r="J51" s="3281"/>
      <c r="K51" s="3281"/>
      <c r="L51" s="3281"/>
      <c r="M51" s="3281"/>
      <c r="N51" s="3281"/>
      <c r="O51" s="3281"/>
      <c r="P51" s="3281"/>
      <c r="Q51" s="3282"/>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81"/>
      <c r="B52" s="3281"/>
      <c r="C52" s="3281"/>
      <c r="D52" s="3281"/>
      <c r="E52" s="3281"/>
      <c r="F52" s="3281"/>
      <c r="G52" s="3281"/>
      <c r="H52" s="3281"/>
      <c r="I52" s="3281"/>
      <c r="J52" s="3281"/>
      <c r="K52" s="3281"/>
      <c r="L52" s="3281"/>
      <c r="M52" s="3281"/>
      <c r="N52" s="3281"/>
      <c r="O52" s="3281"/>
      <c r="P52" s="3281"/>
      <c r="Q52" s="3282"/>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8</v>
      </c>
      <c r="L56" s="1029">
        <f>Y48</f>
        <v>26</v>
      </c>
      <c r="M56" s="1029">
        <f>Z48</f>
        <v>11</v>
      </c>
      <c r="N56" s="1029">
        <f>AA48</f>
        <v>2</v>
      </c>
      <c r="O56" s="1029">
        <f t="shared" ref="O56:O62" si="263">SUM(J56:N56)</f>
        <v>47</v>
      </c>
      <c r="P56" s="1868" t="s">
        <v>3693</v>
      </c>
      <c r="Q56" s="1601"/>
      <c r="R56" s="3221"/>
      <c r="S56" s="3283"/>
      <c r="T56" s="3283"/>
      <c r="U56" s="3283"/>
      <c r="V56" s="3222"/>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8</v>
      </c>
      <c r="L57" s="636">
        <f>AD48</f>
        <v>6</v>
      </c>
      <c r="M57" s="636">
        <f>AE48</f>
        <v>5</v>
      </c>
      <c r="N57" s="636">
        <f>AF48</f>
        <v>0</v>
      </c>
      <c r="O57" s="636">
        <f t="shared" si="263"/>
        <v>19</v>
      </c>
      <c r="P57" s="1868"/>
      <c r="Q57" s="1601"/>
      <c r="R57" s="3223"/>
      <c r="S57" s="3284"/>
      <c r="T57" s="3284"/>
      <c r="U57" s="3284"/>
      <c r="V57" s="3224"/>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16</v>
      </c>
      <c r="L58" s="632">
        <f>SUM(L56:L57)</f>
        <v>32</v>
      </c>
      <c r="M58" s="632">
        <f>SUM(M56:M57)</f>
        <v>16</v>
      </c>
      <c r="N58" s="632">
        <f>SUM(N56:N57)</f>
        <v>2</v>
      </c>
      <c r="O58" s="632">
        <f t="shared" si="263"/>
        <v>66</v>
      </c>
      <c r="P58" s="1868"/>
      <c r="R58" s="3223"/>
      <c r="S58" s="3284"/>
      <c r="T58" s="3284"/>
      <c r="U58" s="3284"/>
      <c r="V58" s="3224"/>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23"/>
      <c r="S59" s="3284"/>
      <c r="T59" s="3284"/>
      <c r="U59" s="3284"/>
      <c r="V59" s="3224"/>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16</v>
      </c>
      <c r="L60" s="632">
        <f>SUM(L58:L59)</f>
        <v>32</v>
      </c>
      <c r="M60" s="632">
        <f>SUM(M58:M59)</f>
        <v>16</v>
      </c>
      <c r="N60" s="632">
        <f>SUM(N58:N59)</f>
        <v>2</v>
      </c>
      <c r="O60" s="632">
        <f t="shared" si="263"/>
        <v>66</v>
      </c>
      <c r="R60" s="3223"/>
      <c r="S60" s="3284"/>
      <c r="T60" s="3284"/>
      <c r="U60" s="3284"/>
      <c r="V60" s="3224"/>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3694</v>
      </c>
      <c r="R61" s="3223"/>
      <c r="S61" s="3284"/>
      <c r="T61" s="3284"/>
      <c r="U61" s="3284"/>
      <c r="V61" s="3224"/>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16</v>
      </c>
      <c r="L62" s="634">
        <f>SUM(L60:L61)</f>
        <v>32</v>
      </c>
      <c r="M62" s="634">
        <f>SUM(M60:M61)</f>
        <v>16</v>
      </c>
      <c r="N62" s="634">
        <f>SUM(N60:N61)</f>
        <v>2</v>
      </c>
      <c r="O62" s="634">
        <f t="shared" si="263"/>
        <v>66</v>
      </c>
      <c r="R62" s="3229"/>
      <c r="S62" s="3285"/>
      <c r="T62" s="3285"/>
      <c r="U62" s="3285"/>
      <c r="V62" s="3230"/>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8</v>
      </c>
      <c r="L64" s="1029">
        <f>BC48</f>
        <v>26</v>
      </c>
      <c r="M64" s="1029">
        <f>BD48</f>
        <v>11</v>
      </c>
      <c r="N64" s="1029">
        <f>BE48</f>
        <v>2</v>
      </c>
      <c r="O64" s="1029">
        <f>SUM(J64:N64)</f>
        <v>47</v>
      </c>
      <c r="R64" s="3221"/>
      <c r="S64" s="3283"/>
      <c r="T64" s="3283"/>
      <c r="U64" s="3283"/>
      <c r="V64" s="3222"/>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8</v>
      </c>
      <c r="L65" s="636">
        <f>AX48</f>
        <v>6</v>
      </c>
      <c r="M65" s="636">
        <f>AY48</f>
        <v>5</v>
      </c>
      <c r="N65" s="636">
        <f>AZ48</f>
        <v>0</v>
      </c>
      <c r="O65" s="636">
        <f>SUM(J65:N65)</f>
        <v>19</v>
      </c>
      <c r="R65" s="3223"/>
      <c r="S65" s="3284"/>
      <c r="T65" s="3284"/>
      <c r="U65" s="3284"/>
      <c r="V65" s="3224"/>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16</v>
      </c>
      <c r="L66" s="634">
        <f>SUM(L64:L65)</f>
        <v>32</v>
      </c>
      <c r="M66" s="634">
        <f>SUM(M64:M65)</f>
        <v>16</v>
      </c>
      <c r="N66" s="634">
        <f>SUM(N64:N65)</f>
        <v>2</v>
      </c>
      <c r="O66" s="634">
        <f>SUM(J66:N66)</f>
        <v>66</v>
      </c>
      <c r="R66" s="3229"/>
      <c r="S66" s="3285"/>
      <c r="T66" s="3285"/>
      <c r="U66" s="3285"/>
      <c r="V66" s="3230"/>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21"/>
      <c r="S68" s="3283"/>
      <c r="T68" s="3283"/>
      <c r="U68" s="3283"/>
      <c r="V68" s="3222"/>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23"/>
      <c r="S69" s="3284"/>
      <c r="T69" s="3284"/>
      <c r="U69" s="3284"/>
      <c r="V69" s="3224"/>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9"/>
      <c r="S70" s="3285"/>
      <c r="T70" s="3285"/>
      <c r="U70" s="3285"/>
      <c r="V70" s="3230"/>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16</v>
      </c>
      <c r="L72" s="632">
        <f>DF48</f>
        <v>32</v>
      </c>
      <c r="M72" s="632">
        <f>DG48</f>
        <v>16</v>
      </c>
      <c r="N72" s="632">
        <f>DH48</f>
        <v>2</v>
      </c>
      <c r="O72" s="632">
        <f t="shared" ref="O72:O82" si="264">SUM(J72:N72)</f>
        <v>66</v>
      </c>
      <c r="R72" s="3221"/>
      <c r="S72" s="3283"/>
      <c r="T72" s="3283"/>
      <c r="U72" s="3283"/>
      <c r="V72" s="3222"/>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23"/>
      <c r="S73" s="3284"/>
      <c r="T73" s="3284"/>
      <c r="U73" s="3284"/>
      <c r="V73" s="3224"/>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16</v>
      </c>
      <c r="L74" s="634">
        <f>SUM(L72:L73)+DP48</f>
        <v>32</v>
      </c>
      <c r="M74" s="634">
        <f>SUM(M72:M73)+DQ48</f>
        <v>16</v>
      </c>
      <c r="N74" s="634">
        <f>SUM(N72:N73)+DR48</f>
        <v>2</v>
      </c>
      <c r="O74" s="634">
        <f t="shared" si="264"/>
        <v>66</v>
      </c>
      <c r="R74" s="3223"/>
      <c r="S74" s="3284"/>
      <c r="T74" s="3284"/>
      <c r="U74" s="3284"/>
      <c r="V74" s="3224"/>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23"/>
      <c r="S75" s="3284"/>
      <c r="T75" s="3284"/>
      <c r="U75" s="3284"/>
      <c r="V75" s="3224"/>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23"/>
      <c r="S76" s="3284"/>
      <c r="T76" s="3284"/>
      <c r="U76" s="3284"/>
      <c r="V76" s="3224"/>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3"/>
      <c r="S77" s="3284"/>
      <c r="T77" s="3284"/>
      <c r="U77" s="3284"/>
      <c r="V77" s="3224"/>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23"/>
      <c r="S78" s="3284"/>
      <c r="T78" s="3284"/>
      <c r="U78" s="3284"/>
      <c r="V78" s="3224"/>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23"/>
      <c r="S79" s="3284"/>
      <c r="T79" s="3284"/>
      <c r="U79" s="3284"/>
      <c r="V79" s="3224"/>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3"/>
      <c r="S80" s="3284"/>
      <c r="T80" s="3284"/>
      <c r="U80" s="3284"/>
      <c r="V80" s="3224"/>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6"/>
      <c r="K81" s="3286"/>
      <c r="L81" s="3286"/>
      <c r="M81" s="3286"/>
      <c r="N81" s="3286"/>
      <c r="O81" s="632">
        <f t="shared" si="264"/>
        <v>0</v>
      </c>
      <c r="R81" s="3223"/>
      <c r="S81" s="3284"/>
      <c r="T81" s="3284"/>
      <c r="U81" s="3284"/>
      <c r="V81" s="3224"/>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3416</v>
      </c>
      <c r="F82" s="1"/>
      <c r="G82" s="179"/>
      <c r="H82" s="85"/>
      <c r="I82" s="85"/>
      <c r="J82" s="3287"/>
      <c r="K82" s="3287"/>
      <c r="L82" s="3287"/>
      <c r="M82" s="3287"/>
      <c r="N82" s="3287"/>
      <c r="O82" s="633">
        <f t="shared" si="264"/>
        <v>0</v>
      </c>
      <c r="R82" s="3223"/>
      <c r="S82" s="3284"/>
      <c r="T82" s="3284"/>
      <c r="U82" s="3284"/>
      <c r="V82" s="3224"/>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3"/>
      <c r="S83" s="3284"/>
      <c r="T83" s="3284"/>
      <c r="U83" s="3284"/>
      <c r="V83" s="3224"/>
      <c r="W83" s="490"/>
      <c r="Z83" s="490"/>
      <c r="AA83" s="53"/>
      <c r="AB83" s="604"/>
      <c r="AC83" s="604"/>
      <c r="AD83" s="604"/>
      <c r="AE83" s="604"/>
      <c r="AF83" s="604"/>
      <c r="AG83" s="604"/>
      <c r="AH83" s="430"/>
      <c r="AI83" s="97"/>
      <c r="IL83" s="477"/>
      <c r="JA83" s="464"/>
    </row>
    <row r="84" spans="1:261" ht="12" customHeight="1">
      <c r="A84" s="1159"/>
      <c r="B84" s="1159"/>
      <c r="C84" s="1159"/>
      <c r="D84" s="1159"/>
      <c r="E84" s="113" t="s">
        <v>3377</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9"/>
      <c r="S84" s="3285"/>
      <c r="T84" s="3285"/>
      <c r="U84" s="3285"/>
      <c r="V84" s="3230"/>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4131</v>
      </c>
      <c r="D86" s="1861"/>
      <c r="E86" s="1263" t="s">
        <v>40</v>
      </c>
      <c r="F86" s="1059"/>
      <c r="G86" s="1264"/>
      <c r="H86" s="1265"/>
      <c r="I86" s="1266"/>
      <c r="J86" s="645">
        <f t="shared" ref="J86:O86" si="265">SUM(J87:J94)</f>
        <v>0</v>
      </c>
      <c r="K86" s="645">
        <f t="shared" si="265"/>
        <v>16</v>
      </c>
      <c r="L86" s="645">
        <f t="shared" si="265"/>
        <v>28</v>
      </c>
      <c r="M86" s="645">
        <f t="shared" si="265"/>
        <v>0</v>
      </c>
      <c r="N86" s="645">
        <f t="shared" si="265"/>
        <v>0</v>
      </c>
      <c r="O86" s="645">
        <f t="shared" si="265"/>
        <v>44</v>
      </c>
      <c r="R86" s="3221"/>
      <c r="S86" s="3283"/>
      <c r="T86" s="3283"/>
      <c r="U86" s="3283"/>
      <c r="V86" s="3222"/>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23"/>
      <c r="S87" s="3284"/>
      <c r="T87" s="3284"/>
      <c r="U87" s="3284"/>
      <c r="V87" s="3224"/>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3377</v>
      </c>
      <c r="I88" s="1267"/>
      <c r="J88" s="636">
        <f>GU48</f>
        <v>0</v>
      </c>
      <c r="K88" s="636">
        <f>GV48</f>
        <v>0</v>
      </c>
      <c r="L88" s="636">
        <f>GW48</f>
        <v>0</v>
      </c>
      <c r="M88" s="636">
        <f>GX48</f>
        <v>0</v>
      </c>
      <c r="N88" s="636">
        <f>GY48</f>
        <v>0</v>
      </c>
      <c r="O88" s="636">
        <f t="shared" si="266"/>
        <v>0</v>
      </c>
      <c r="R88" s="3223"/>
      <c r="S88" s="3284"/>
      <c r="T88" s="3284"/>
      <c r="U88" s="3284"/>
      <c r="V88" s="3224"/>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23"/>
      <c r="S89" s="3284"/>
      <c r="T89" s="3284"/>
      <c r="U89" s="3284"/>
      <c r="V89" s="3224"/>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3377</v>
      </c>
      <c r="I90" s="1267"/>
      <c r="J90" s="636">
        <f>HE48</f>
        <v>0</v>
      </c>
      <c r="K90" s="636">
        <f>HF48</f>
        <v>0</v>
      </c>
      <c r="L90" s="636">
        <f>HG48</f>
        <v>0</v>
      </c>
      <c r="M90" s="636">
        <f>HH48</f>
        <v>0</v>
      </c>
      <c r="N90" s="636">
        <f>HI48</f>
        <v>0</v>
      </c>
      <c r="O90" s="636">
        <f t="shared" si="266"/>
        <v>0</v>
      </c>
      <c r="R90" s="3223"/>
      <c r="S90" s="3284"/>
      <c r="T90" s="3284"/>
      <c r="U90" s="3284"/>
      <c r="V90" s="3224"/>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16</v>
      </c>
      <c r="L91" s="1022">
        <f>HL48</f>
        <v>28</v>
      </c>
      <c r="M91" s="1022">
        <f>HM48</f>
        <v>0</v>
      </c>
      <c r="N91" s="1022">
        <f>HN48</f>
        <v>0</v>
      </c>
      <c r="O91" s="637">
        <f t="shared" si="266"/>
        <v>44</v>
      </c>
      <c r="R91" s="3223"/>
      <c r="S91" s="3284"/>
      <c r="T91" s="3284"/>
      <c r="U91" s="3284"/>
      <c r="V91" s="3224"/>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3377</v>
      </c>
      <c r="I92" s="1267"/>
      <c r="J92" s="636">
        <f>HO48</f>
        <v>0</v>
      </c>
      <c r="K92" s="636">
        <f>HP48</f>
        <v>0</v>
      </c>
      <c r="L92" s="636">
        <f>HQ48</f>
        <v>0</v>
      </c>
      <c r="M92" s="636">
        <f>HR48</f>
        <v>0</v>
      </c>
      <c r="N92" s="636">
        <f>HS48</f>
        <v>0</v>
      </c>
      <c r="O92" s="636">
        <f t="shared" si="266"/>
        <v>0</v>
      </c>
      <c r="R92" s="3223"/>
      <c r="S92" s="3284"/>
      <c r="T92" s="3284"/>
      <c r="U92" s="3284"/>
      <c r="V92" s="3224"/>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3223"/>
      <c r="S93" s="3284"/>
      <c r="T93" s="3284"/>
      <c r="U93" s="3284"/>
      <c r="V93" s="3224"/>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3377</v>
      </c>
      <c r="I94" s="85"/>
      <c r="J94" s="636">
        <f>HY48</f>
        <v>0</v>
      </c>
      <c r="K94" s="636">
        <f>HZ48</f>
        <v>0</v>
      </c>
      <c r="L94" s="636">
        <f>IA48</f>
        <v>0</v>
      </c>
      <c r="M94" s="636">
        <f>IB48</f>
        <v>0</v>
      </c>
      <c r="N94" s="636">
        <f>IC48</f>
        <v>0</v>
      </c>
      <c r="O94" s="636">
        <f t="shared" si="266"/>
        <v>0</v>
      </c>
      <c r="R94" s="3223"/>
      <c r="S94" s="3284"/>
      <c r="T94" s="3284"/>
      <c r="U94" s="3284"/>
      <c r="V94" s="3224"/>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3"/>
      <c r="S95" s="3284"/>
      <c r="T95" s="3284"/>
      <c r="U95" s="3284"/>
      <c r="V95" s="3224"/>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3377</v>
      </c>
      <c r="I96" s="85"/>
      <c r="J96" s="636">
        <f>FG48</f>
        <v>0</v>
      </c>
      <c r="K96" s="636">
        <f>FH48</f>
        <v>0</v>
      </c>
      <c r="L96" s="636">
        <f>FI48</f>
        <v>0</v>
      </c>
      <c r="M96" s="636">
        <f>FJ48</f>
        <v>0</v>
      </c>
      <c r="N96" s="636">
        <f>FK48</f>
        <v>0</v>
      </c>
      <c r="O96" s="636">
        <f t="shared" si="266"/>
        <v>0</v>
      </c>
      <c r="R96" s="3223"/>
      <c r="S96" s="3284"/>
      <c r="T96" s="3284"/>
      <c r="U96" s="3284"/>
      <c r="V96" s="3224"/>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16</v>
      </c>
      <c r="N97" s="637">
        <f>GJ48</f>
        <v>2</v>
      </c>
      <c r="O97" s="637">
        <f t="shared" si="266"/>
        <v>18</v>
      </c>
      <c r="R97" s="3223"/>
      <c r="S97" s="3284"/>
      <c r="T97" s="3284"/>
      <c r="U97" s="3284"/>
      <c r="V97" s="3224"/>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3377</v>
      </c>
      <c r="I98" s="85"/>
      <c r="J98" s="636">
        <f>GK48</f>
        <v>0</v>
      </c>
      <c r="K98" s="636">
        <f>GL48</f>
        <v>0</v>
      </c>
      <c r="L98" s="636">
        <f>GM48</f>
        <v>0</v>
      </c>
      <c r="M98" s="636">
        <f>GN48</f>
        <v>0</v>
      </c>
      <c r="N98" s="636">
        <f>GO48</f>
        <v>0</v>
      </c>
      <c r="O98" s="636">
        <f t="shared" si="266"/>
        <v>0</v>
      </c>
      <c r="R98" s="3223"/>
      <c r="S98" s="3284"/>
      <c r="T98" s="3284"/>
      <c r="U98" s="3284"/>
      <c r="V98" s="3224"/>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4</v>
      </c>
      <c r="M99" s="637">
        <f>FY48</f>
        <v>0</v>
      </c>
      <c r="N99" s="637">
        <f>FZ48</f>
        <v>0</v>
      </c>
      <c r="O99" s="637">
        <f t="shared" si="266"/>
        <v>4</v>
      </c>
      <c r="R99" s="3223"/>
      <c r="S99" s="3284"/>
      <c r="T99" s="3284"/>
      <c r="U99" s="3284"/>
      <c r="V99" s="3224"/>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3377</v>
      </c>
      <c r="I100" s="85"/>
      <c r="J100" s="1022">
        <f>GA48</f>
        <v>0</v>
      </c>
      <c r="K100" s="1022">
        <f>GB48</f>
        <v>0</v>
      </c>
      <c r="L100" s="1022">
        <f>GC48</f>
        <v>0</v>
      </c>
      <c r="M100" s="1022">
        <f>GD48</f>
        <v>0</v>
      </c>
      <c r="N100" s="1022">
        <f>GE48</f>
        <v>0</v>
      </c>
      <c r="O100" s="636">
        <f t="shared" si="266"/>
        <v>0</v>
      </c>
      <c r="R100" s="3223"/>
      <c r="S100" s="3284"/>
      <c r="T100" s="3284"/>
      <c r="U100" s="3284"/>
      <c r="V100" s="3224"/>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3"/>
      <c r="S101" s="3284"/>
      <c r="T101" s="3284"/>
      <c r="U101" s="3284"/>
      <c r="V101" s="3224"/>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3377</v>
      </c>
      <c r="I102" s="85"/>
      <c r="J102" s="1023">
        <f>FQ48</f>
        <v>0</v>
      </c>
      <c r="K102" s="1023">
        <f>FR48</f>
        <v>0</v>
      </c>
      <c r="L102" s="1023">
        <f>FS48</f>
        <v>0</v>
      </c>
      <c r="M102" s="1023">
        <f>FT48</f>
        <v>0</v>
      </c>
      <c r="N102" s="1023">
        <f>FU48</f>
        <v>0</v>
      </c>
      <c r="O102" s="1023">
        <f t="shared" si="266"/>
        <v>0</v>
      </c>
      <c r="R102" s="3229"/>
      <c r="S102" s="3285"/>
      <c r="T102" s="3285"/>
      <c r="U102" s="3285"/>
      <c r="V102" s="3230"/>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4130</v>
      </c>
      <c r="D104" s="1861"/>
      <c r="E104" s="1263" t="s">
        <v>3372</v>
      </c>
      <c r="F104" s="1264"/>
      <c r="G104" s="1265"/>
      <c r="H104" s="1268"/>
      <c r="I104" s="1266"/>
      <c r="J104" s="1024">
        <f t="shared" ref="J104:N105" si="267">J95+J99+J101</f>
        <v>0</v>
      </c>
      <c r="K104" s="1024">
        <f t="shared" si="267"/>
        <v>0</v>
      </c>
      <c r="L104" s="1024">
        <f t="shared" si="267"/>
        <v>4</v>
      </c>
      <c r="M104" s="1024">
        <f t="shared" si="267"/>
        <v>0</v>
      </c>
      <c r="N104" s="1024">
        <f t="shared" si="267"/>
        <v>0</v>
      </c>
      <c r="O104" s="1024">
        <f t="shared" ref="O104:O111" si="268">SUM(J104:N104)</f>
        <v>4</v>
      </c>
      <c r="R104" s="3221"/>
      <c r="S104" s="3283"/>
      <c r="T104" s="3283"/>
      <c r="U104" s="3283"/>
      <c r="V104" s="3222"/>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3377</v>
      </c>
      <c r="I105" s="1267"/>
      <c r="J105" s="639">
        <f t="shared" si="267"/>
        <v>0</v>
      </c>
      <c r="K105" s="639">
        <f t="shared" si="267"/>
        <v>0</v>
      </c>
      <c r="L105" s="639">
        <f t="shared" si="267"/>
        <v>0</v>
      </c>
      <c r="M105" s="639">
        <f t="shared" si="267"/>
        <v>0</v>
      </c>
      <c r="N105" s="639">
        <f t="shared" si="267"/>
        <v>0</v>
      </c>
      <c r="O105" s="639">
        <f t="shared" si="268"/>
        <v>0</v>
      </c>
      <c r="R105" s="3223"/>
      <c r="S105" s="3284"/>
      <c r="T105" s="3284"/>
      <c r="U105" s="3284"/>
      <c r="V105" s="3224"/>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3373</v>
      </c>
      <c r="F106" s="517"/>
      <c r="G106" s="157"/>
      <c r="H106" s="517"/>
      <c r="I106" s="1267"/>
      <c r="J106" s="1025">
        <f>J87+J97</f>
        <v>0</v>
      </c>
      <c r="K106" s="1025">
        <f t="shared" ref="K106:N107" si="269">K87+K97</f>
        <v>0</v>
      </c>
      <c r="L106" s="1025">
        <f t="shared" si="269"/>
        <v>0</v>
      </c>
      <c r="M106" s="1025">
        <f t="shared" si="269"/>
        <v>16</v>
      </c>
      <c r="N106" s="1025">
        <f t="shared" si="269"/>
        <v>2</v>
      </c>
      <c r="O106" s="1025">
        <f t="shared" si="268"/>
        <v>18</v>
      </c>
      <c r="R106" s="3223"/>
      <c r="S106" s="3284"/>
      <c r="T106" s="3284"/>
      <c r="U106" s="3284"/>
      <c r="V106" s="3224"/>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3377</v>
      </c>
      <c r="I107" s="1267"/>
      <c r="J107" s="639">
        <f>J88+J98</f>
        <v>0</v>
      </c>
      <c r="K107" s="639">
        <f t="shared" si="269"/>
        <v>0</v>
      </c>
      <c r="L107" s="639">
        <f t="shared" si="269"/>
        <v>0</v>
      </c>
      <c r="M107" s="639">
        <f t="shared" si="269"/>
        <v>0</v>
      </c>
      <c r="N107" s="639">
        <f t="shared" si="269"/>
        <v>0</v>
      </c>
      <c r="O107" s="639">
        <f t="shared" si="268"/>
        <v>0</v>
      </c>
      <c r="R107" s="3223"/>
      <c r="S107" s="3284"/>
      <c r="T107" s="3284"/>
      <c r="U107" s="3284"/>
      <c r="V107" s="3224"/>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3374</v>
      </c>
      <c r="F108" s="517"/>
      <c r="G108" s="157"/>
      <c r="H108" s="956"/>
      <c r="I108" s="1267"/>
      <c r="J108" s="1025">
        <f>J91</f>
        <v>0</v>
      </c>
      <c r="K108" s="1025">
        <f t="shared" ref="K108:N109" si="270">K91</f>
        <v>16</v>
      </c>
      <c r="L108" s="1025">
        <f t="shared" si="270"/>
        <v>28</v>
      </c>
      <c r="M108" s="1025">
        <f t="shared" si="270"/>
        <v>0</v>
      </c>
      <c r="N108" s="1025">
        <f t="shared" si="270"/>
        <v>0</v>
      </c>
      <c r="O108" s="1025">
        <f t="shared" si="268"/>
        <v>44</v>
      </c>
      <c r="R108" s="3223"/>
      <c r="S108" s="3284"/>
      <c r="T108" s="3284"/>
      <c r="U108" s="3284"/>
      <c r="V108" s="3224"/>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3377</v>
      </c>
      <c r="I109" s="1267"/>
      <c r="J109" s="639">
        <f>J92</f>
        <v>0</v>
      </c>
      <c r="K109" s="639">
        <f t="shared" si="270"/>
        <v>0</v>
      </c>
      <c r="L109" s="639">
        <f t="shared" si="270"/>
        <v>0</v>
      </c>
      <c r="M109" s="639">
        <f t="shared" si="270"/>
        <v>0</v>
      </c>
      <c r="N109" s="639">
        <f t="shared" si="270"/>
        <v>0</v>
      </c>
      <c r="O109" s="639">
        <f t="shared" si="268"/>
        <v>0</v>
      </c>
      <c r="R109" s="3223"/>
      <c r="S109" s="3284"/>
      <c r="T109" s="3284"/>
      <c r="U109" s="3284"/>
      <c r="V109" s="3224"/>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3375</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23"/>
      <c r="S110" s="3284"/>
      <c r="T110" s="3284"/>
      <c r="U110" s="3284"/>
      <c r="V110" s="3224"/>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3377</v>
      </c>
      <c r="I111" s="85"/>
      <c r="J111" s="1026">
        <f>J90+J94</f>
        <v>0</v>
      </c>
      <c r="K111" s="1026">
        <f t="shared" si="271"/>
        <v>0</v>
      </c>
      <c r="L111" s="1026">
        <f t="shared" si="271"/>
        <v>0</v>
      </c>
      <c r="M111" s="1026">
        <f t="shared" si="271"/>
        <v>0</v>
      </c>
      <c r="N111" s="1026">
        <f t="shared" si="271"/>
        <v>0</v>
      </c>
      <c r="O111" s="1026">
        <f t="shared" si="268"/>
        <v>0</v>
      </c>
      <c r="R111" s="3229"/>
      <c r="S111" s="3285"/>
      <c r="T111" s="3285"/>
      <c r="U111" s="3285"/>
      <c r="V111" s="3230"/>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6568</v>
      </c>
      <c r="L113" s="1027">
        <f>CB48</f>
        <v>29068</v>
      </c>
      <c r="M113" s="1027">
        <f>CC48</f>
        <v>17886</v>
      </c>
      <c r="N113" s="1027">
        <f>CD48</f>
        <v>3756</v>
      </c>
      <c r="O113" s="1027">
        <f t="shared" ref="O113:O119" si="272">SUM(J113:N113)</f>
        <v>57278</v>
      </c>
      <c r="R113" s="3221"/>
      <c r="S113" s="3283"/>
      <c r="T113" s="3283"/>
      <c r="U113" s="3283"/>
      <c r="V113" s="3222"/>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6568</v>
      </c>
      <c r="L114" s="1028">
        <f>CG48</f>
        <v>6452</v>
      </c>
      <c r="M114" s="1028">
        <f>CH48</f>
        <v>8130</v>
      </c>
      <c r="N114" s="1028">
        <f>CI48</f>
        <v>0</v>
      </c>
      <c r="O114" s="1028">
        <f t="shared" si="272"/>
        <v>21150</v>
      </c>
      <c r="R114" s="3223"/>
      <c r="S114" s="3284"/>
      <c r="T114" s="3284"/>
      <c r="U114" s="3284"/>
      <c r="V114" s="3224"/>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13136</v>
      </c>
      <c r="L115" s="641">
        <f>SUM(L113:L114)</f>
        <v>35520</v>
      </c>
      <c r="M115" s="641">
        <f>SUM(M113:M114)</f>
        <v>26016</v>
      </c>
      <c r="N115" s="641">
        <f>SUM(N113:N114)</f>
        <v>3756</v>
      </c>
      <c r="O115" s="641">
        <f t="shared" si="272"/>
        <v>78428</v>
      </c>
      <c r="R115" s="3223"/>
      <c r="S115" s="3284"/>
      <c r="T115" s="3284"/>
      <c r="U115" s="3284"/>
      <c r="V115" s="3224"/>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23"/>
      <c r="S116" s="3284"/>
      <c r="T116" s="3284"/>
      <c r="U116" s="3284"/>
      <c r="V116" s="3224"/>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13136</v>
      </c>
      <c r="L117" s="641">
        <f>SUM(L115:L116)</f>
        <v>35520</v>
      </c>
      <c r="M117" s="641">
        <f>SUM(M115:M116)</f>
        <v>26016</v>
      </c>
      <c r="N117" s="641">
        <f>SUM(N115:N116)</f>
        <v>3756</v>
      </c>
      <c r="O117" s="641">
        <f t="shared" si="272"/>
        <v>78428</v>
      </c>
      <c r="R117" s="3223"/>
      <c r="S117" s="3284"/>
      <c r="T117" s="3284"/>
      <c r="U117" s="3284"/>
      <c r="V117" s="3224"/>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23"/>
      <c r="S118" s="3284"/>
      <c r="T118" s="3284"/>
      <c r="U118" s="3284"/>
      <c r="V118" s="3224"/>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13136</v>
      </c>
      <c r="L119" s="643">
        <f>SUM(L117:L118)</f>
        <v>35520</v>
      </c>
      <c r="M119" s="643">
        <f>SUM(M117:M118)</f>
        <v>26016</v>
      </c>
      <c r="N119" s="643">
        <f>SUM(N117:N118)</f>
        <v>3756</v>
      </c>
      <c r="O119" s="643">
        <f t="shared" si="272"/>
        <v>78428</v>
      </c>
      <c r="R119" s="3229"/>
      <c r="S119" s="3285"/>
      <c r="T119" s="3285"/>
      <c r="U119" s="3285"/>
      <c r="V119" s="3230"/>
      <c r="W119" s="490"/>
      <c r="Z119" s="490"/>
      <c r="AA119" s="490"/>
      <c r="AB119" s="604"/>
      <c r="AC119" s="604"/>
      <c r="AD119" s="604"/>
      <c r="AE119" s="604"/>
      <c r="AF119" s="604"/>
      <c r="AG119" s="604"/>
      <c r="AH119" s="488"/>
      <c r="AI119" s="97"/>
      <c r="IL119" s="477"/>
      <c r="JA119" s="464"/>
    </row>
    <row r="120" spans="1:263" ht="14.1"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8">
        <f>'Part VII-Pro Forma'!B9*L49</f>
        <v>7946.4000000000005</v>
      </c>
      <c r="I122" s="3289"/>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91"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90"/>
      <c r="H126" s="3290"/>
      <c r="I126" s="3290"/>
      <c r="J126" s="3290"/>
      <c r="K126" s="3291"/>
      <c r="L126" s="3290"/>
      <c r="M126" s="3290"/>
      <c r="N126" s="3290"/>
      <c r="O126" s="3290"/>
      <c r="P126" s="3290"/>
      <c r="Q126" s="926"/>
      <c r="R126" s="3221"/>
      <c r="S126" s="3283"/>
      <c r="T126" s="3283"/>
      <c r="U126" s="3283"/>
      <c r="V126" s="3222"/>
    </row>
    <row r="127" spans="1:263" ht="11.25" customHeight="1">
      <c r="B127" s="113" t="s">
        <v>749</v>
      </c>
      <c r="C127" s="3292"/>
      <c r="D127" s="3293"/>
      <c r="E127" s="3293"/>
      <c r="F127" s="3294"/>
      <c r="G127" s="3295"/>
      <c r="H127" s="3295"/>
      <c r="I127" s="3295"/>
      <c r="J127" s="3295"/>
      <c r="K127" s="3296"/>
      <c r="L127" s="3295"/>
      <c r="M127" s="3295"/>
      <c r="N127" s="3295"/>
      <c r="O127" s="3295"/>
      <c r="P127" s="3295"/>
      <c r="Q127" s="926"/>
      <c r="R127" s="3223"/>
      <c r="S127" s="3284"/>
      <c r="T127" s="3284"/>
      <c r="U127" s="3284"/>
      <c r="V127" s="3224"/>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9"/>
      <c r="S128" s="3285"/>
      <c r="T128" s="3285"/>
      <c r="U128" s="3285"/>
      <c r="V128" s="3230"/>
    </row>
    <row r="129" spans="2:22" ht="11.25" customHeight="1">
      <c r="B129" s="988" t="s">
        <v>3695</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90"/>
      <c r="H130" s="3290"/>
      <c r="I130" s="3290"/>
      <c r="J130" s="3290"/>
      <c r="K130" s="3291"/>
      <c r="L130" s="3290"/>
      <c r="M130" s="3290"/>
      <c r="N130" s="3290"/>
      <c r="O130" s="3290"/>
      <c r="P130" s="3290"/>
      <c r="Q130" s="926"/>
      <c r="R130" s="3221"/>
      <c r="S130" s="3283"/>
      <c r="T130" s="3283"/>
      <c r="U130" s="3283"/>
      <c r="V130" s="3222"/>
    </row>
    <row r="131" spans="2:22" ht="11.25" customHeight="1">
      <c r="B131" s="113" t="s">
        <v>749</v>
      </c>
      <c r="C131" s="3292"/>
      <c r="D131" s="3293"/>
      <c r="E131" s="3293"/>
      <c r="F131" s="3294"/>
      <c r="G131" s="3295"/>
      <c r="H131" s="3295"/>
      <c r="I131" s="3295"/>
      <c r="J131" s="3295"/>
      <c r="K131" s="3296"/>
      <c r="L131" s="3295"/>
      <c r="M131" s="3295"/>
      <c r="N131" s="3295"/>
      <c r="O131" s="3295"/>
      <c r="P131" s="3295"/>
      <c r="Q131" s="926"/>
      <c r="R131" s="3223"/>
      <c r="S131" s="3284"/>
      <c r="T131" s="3284"/>
      <c r="U131" s="3284"/>
      <c r="V131" s="3224"/>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9"/>
      <c r="S132" s="3285"/>
      <c r="T132" s="3285"/>
      <c r="U132" s="3285"/>
      <c r="V132" s="3230"/>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90"/>
      <c r="H135" s="3290"/>
      <c r="I135" s="3290"/>
      <c r="J135" s="3290"/>
      <c r="K135" s="3291"/>
      <c r="L135" s="3290"/>
      <c r="M135" s="3290"/>
      <c r="N135" s="3290"/>
      <c r="O135" s="3290"/>
      <c r="P135" s="3290"/>
      <c r="Q135" s="926"/>
      <c r="R135" s="3221"/>
      <c r="S135" s="3283"/>
      <c r="T135" s="3283"/>
      <c r="U135" s="3283"/>
      <c r="V135" s="3222"/>
    </row>
    <row r="136" spans="2:22" ht="11.25" customHeight="1">
      <c r="B136" s="113" t="s">
        <v>749</v>
      </c>
      <c r="C136" s="3292"/>
      <c r="D136" s="3293"/>
      <c r="E136" s="3293"/>
      <c r="F136" s="3294"/>
      <c r="G136" s="3295"/>
      <c r="H136" s="3295"/>
      <c r="I136" s="3295"/>
      <c r="J136" s="3295"/>
      <c r="K136" s="3296"/>
      <c r="L136" s="3295"/>
      <c r="M136" s="3295"/>
      <c r="N136" s="3295"/>
      <c r="O136" s="3295"/>
      <c r="P136" s="3295"/>
      <c r="Q136" s="926"/>
      <c r="R136" s="3223"/>
      <c r="S136" s="3284"/>
      <c r="T136" s="3284"/>
      <c r="U136" s="3284"/>
      <c r="V136" s="3224"/>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9"/>
      <c r="S137" s="3285"/>
      <c r="T137" s="3285"/>
      <c r="U137" s="3285"/>
      <c r="V137" s="3230"/>
    </row>
    <row r="138" spans="2:22" ht="11.25" customHeight="1">
      <c r="B138" s="988" t="s">
        <v>3695</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90"/>
      <c r="H139" s="3290"/>
      <c r="I139" s="3290"/>
      <c r="J139" s="3290"/>
      <c r="K139" s="3291"/>
      <c r="L139" s="3290"/>
      <c r="M139" s="3290"/>
      <c r="N139" s="3290"/>
      <c r="O139" s="3290"/>
      <c r="P139" s="3290"/>
      <c r="Q139" s="926"/>
      <c r="R139" s="3221"/>
      <c r="S139" s="3283"/>
      <c r="T139" s="3283"/>
      <c r="U139" s="3283"/>
      <c r="V139" s="3222"/>
    </row>
    <row r="140" spans="2:22" ht="11.25" customHeight="1">
      <c r="B140" s="113" t="s">
        <v>749</v>
      </c>
      <c r="C140" s="3292"/>
      <c r="D140" s="3293"/>
      <c r="E140" s="3293"/>
      <c r="F140" s="3294"/>
      <c r="G140" s="3295"/>
      <c r="H140" s="3295"/>
      <c r="I140" s="3295"/>
      <c r="J140" s="3295"/>
      <c r="K140" s="3296"/>
      <c r="L140" s="3295"/>
      <c r="M140" s="3295"/>
      <c r="N140" s="3295"/>
      <c r="O140" s="3295"/>
      <c r="P140" s="3295"/>
      <c r="Q140" s="926"/>
      <c r="R140" s="3223"/>
      <c r="S140" s="3284"/>
      <c r="T140" s="3284"/>
      <c r="U140" s="3284"/>
      <c r="V140" s="3224"/>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9"/>
      <c r="S141" s="3285"/>
      <c r="T141" s="3285"/>
      <c r="U141" s="3285"/>
      <c r="V141" s="3230"/>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90"/>
      <c r="H144" s="3290"/>
      <c r="I144" s="3290"/>
      <c r="J144" s="3290"/>
      <c r="K144" s="3291"/>
      <c r="L144" s="3290"/>
      <c r="M144" s="3290"/>
      <c r="N144" s="3290"/>
      <c r="O144" s="3290"/>
      <c r="P144" s="3290"/>
      <c r="Q144" s="926"/>
      <c r="R144" s="3221"/>
      <c r="S144" s="3283"/>
      <c r="T144" s="3283"/>
      <c r="U144" s="3283"/>
      <c r="V144" s="3222"/>
    </row>
    <row r="145" spans="2:22" ht="11.25" customHeight="1">
      <c r="B145" s="113" t="s">
        <v>749</v>
      </c>
      <c r="C145" s="3292"/>
      <c r="D145" s="3293"/>
      <c r="E145" s="3293"/>
      <c r="F145" s="3294"/>
      <c r="G145" s="3295"/>
      <c r="H145" s="3295"/>
      <c r="I145" s="3295"/>
      <c r="J145" s="3295"/>
      <c r="K145" s="3296"/>
      <c r="L145" s="3295"/>
      <c r="M145" s="3295"/>
      <c r="N145" s="3295"/>
      <c r="O145" s="3295"/>
      <c r="P145" s="3295"/>
      <c r="Q145" s="926"/>
      <c r="R145" s="3223"/>
      <c r="S145" s="3284"/>
      <c r="T145" s="3284"/>
      <c r="U145" s="3284"/>
      <c r="V145" s="3224"/>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9"/>
      <c r="S146" s="3285"/>
      <c r="T146" s="3285"/>
      <c r="U146" s="3285"/>
      <c r="V146" s="3230"/>
    </row>
    <row r="147" spans="2:22" ht="11.25" customHeight="1">
      <c r="B147" s="988" t="s">
        <v>3695</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90"/>
      <c r="H148" s="3290"/>
      <c r="I148" s="3290"/>
      <c r="J148" s="3290"/>
      <c r="K148" s="3291"/>
      <c r="L148" s="3290"/>
      <c r="M148" s="3290"/>
      <c r="N148" s="3290"/>
      <c r="O148" s="3290"/>
      <c r="P148" s="3290"/>
      <c r="Q148" s="926"/>
      <c r="R148" s="3221"/>
      <c r="S148" s="3283"/>
      <c r="T148" s="3283"/>
      <c r="U148" s="3283"/>
      <c r="V148" s="3222"/>
    </row>
    <row r="149" spans="2:22" ht="11.25" customHeight="1">
      <c r="B149" s="113" t="s">
        <v>749</v>
      </c>
      <c r="C149" s="3292"/>
      <c r="D149" s="3293"/>
      <c r="E149" s="3293"/>
      <c r="F149" s="3294"/>
      <c r="G149" s="3295"/>
      <c r="H149" s="3295"/>
      <c r="I149" s="3295"/>
      <c r="J149" s="3295"/>
      <c r="K149" s="3296"/>
      <c r="L149" s="3295"/>
      <c r="M149" s="3295"/>
      <c r="N149" s="3295"/>
      <c r="O149" s="3295"/>
      <c r="P149" s="3295"/>
      <c r="Q149" s="926"/>
      <c r="R149" s="3223"/>
      <c r="S149" s="3284"/>
      <c r="T149" s="3284"/>
      <c r="U149" s="3284"/>
      <c r="V149" s="3224"/>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9"/>
      <c r="S150" s="3285"/>
      <c r="T150" s="3285"/>
      <c r="U150" s="3285"/>
      <c r="V150" s="3230"/>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90"/>
      <c r="H153" s="3290"/>
      <c r="I153" s="3290"/>
      <c r="J153" s="3290"/>
      <c r="K153" s="3291"/>
      <c r="L153" s="92"/>
      <c r="M153" s="92"/>
      <c r="N153" s="92"/>
      <c r="O153" s="92"/>
      <c r="P153" s="92"/>
      <c r="Q153" s="8"/>
      <c r="R153" s="3221"/>
      <c r="S153" s="3283"/>
      <c r="T153" s="3283"/>
      <c r="U153" s="3283"/>
      <c r="V153" s="3222"/>
    </row>
    <row r="154" spans="2:22" ht="11.25" customHeight="1">
      <c r="B154" s="113" t="s">
        <v>749</v>
      </c>
      <c r="C154" s="3292"/>
      <c r="D154" s="3293"/>
      <c r="E154" s="3293"/>
      <c r="F154" s="3294"/>
      <c r="G154" s="3295"/>
      <c r="H154" s="3295"/>
      <c r="I154" s="3295"/>
      <c r="J154" s="3295"/>
      <c r="K154" s="3296"/>
      <c r="L154" s="92"/>
      <c r="M154" s="92"/>
      <c r="N154" s="92"/>
      <c r="O154" s="92"/>
      <c r="P154" s="92"/>
      <c r="Q154" s="8"/>
      <c r="R154" s="3223"/>
      <c r="S154" s="3284"/>
      <c r="T154" s="3284"/>
      <c r="U154" s="3284"/>
      <c r="V154" s="3224"/>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9"/>
      <c r="S155" s="3285"/>
      <c r="T155" s="3285"/>
      <c r="U155" s="3285"/>
      <c r="V155" s="3230"/>
    </row>
    <row r="156" spans="2:22" ht="11.25" customHeight="1">
      <c r="B156" s="988" t="s">
        <v>3695</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90"/>
      <c r="H157" s="3290"/>
      <c r="I157" s="3290"/>
      <c r="J157" s="3290"/>
      <c r="K157" s="3291"/>
      <c r="L157" s="92"/>
      <c r="M157" s="92"/>
      <c r="N157" s="92"/>
      <c r="O157" s="92"/>
      <c r="P157" s="92"/>
      <c r="Q157" s="8"/>
      <c r="R157" s="3221"/>
      <c r="S157" s="3283"/>
      <c r="T157" s="3283"/>
      <c r="U157" s="3283"/>
      <c r="V157" s="3222"/>
    </row>
    <row r="158" spans="2:22" ht="11.25" customHeight="1">
      <c r="B158" s="113" t="s">
        <v>749</v>
      </c>
      <c r="C158" s="3292"/>
      <c r="D158" s="3293"/>
      <c r="E158" s="3293"/>
      <c r="F158" s="3294"/>
      <c r="G158" s="3295"/>
      <c r="H158" s="3295"/>
      <c r="I158" s="3295"/>
      <c r="J158" s="3295"/>
      <c r="K158" s="3296"/>
      <c r="L158" s="92"/>
      <c r="M158" s="92"/>
      <c r="N158" s="92"/>
      <c r="O158" s="92"/>
      <c r="P158" s="92"/>
      <c r="Q158" s="8"/>
      <c r="R158" s="3223"/>
      <c r="S158" s="3284"/>
      <c r="T158" s="3284"/>
      <c r="U158" s="3284"/>
      <c r="V158" s="3224"/>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9"/>
      <c r="S159" s="3285"/>
      <c r="T159" s="3285"/>
      <c r="U159" s="3285"/>
      <c r="V159" s="3230"/>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35" customHeight="1">
      <c r="A163" s="1"/>
      <c r="B163" s="10" t="s">
        <v>1302</v>
      </c>
      <c r="C163" s="1"/>
      <c r="D163" s="1"/>
      <c r="E163" s="1"/>
      <c r="F163" s="28"/>
      <c r="G163" s="28"/>
      <c r="H163" s="1"/>
      <c r="I163" s="10" t="s">
        <v>1389</v>
      </c>
      <c r="J163" s="1"/>
      <c r="K163" s="1"/>
      <c r="L163" s="1"/>
      <c r="M163" s="1"/>
      <c r="N163" s="10" t="s">
        <v>1388</v>
      </c>
      <c r="O163" s="1"/>
      <c r="P163" s="1"/>
      <c r="Q163" s="1"/>
      <c r="R163" s="3221"/>
      <c r="S163" s="3283"/>
      <c r="T163" s="3283"/>
      <c r="U163" s="3283"/>
      <c r="V163" s="3222"/>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7">
        <v>52490</v>
      </c>
      <c r="G164" s="3298"/>
      <c r="H164" s="1"/>
      <c r="I164" s="1" t="s">
        <v>1390</v>
      </c>
      <c r="J164" s="1"/>
      <c r="K164" s="3297"/>
      <c r="L164" s="3298"/>
      <c r="M164" s="1"/>
      <c r="N164" s="1" t="s">
        <v>938</v>
      </c>
      <c r="O164" s="1"/>
      <c r="P164" s="3299"/>
      <c r="Q164" s="926"/>
      <c r="R164" s="3223"/>
      <c r="S164" s="3284"/>
      <c r="T164" s="3284"/>
      <c r="U164" s="3284"/>
      <c r="V164" s="3224"/>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7">
        <v>32947</v>
      </c>
      <c r="G165" s="3298"/>
      <c r="H165" s="1"/>
      <c r="I165" s="1" t="s">
        <v>1391</v>
      </c>
      <c r="J165" s="1"/>
      <c r="K165" s="3297"/>
      <c r="L165" s="3298"/>
      <c r="M165" s="1"/>
      <c r="N165" s="1" t="s">
        <v>148</v>
      </c>
      <c r="O165" s="1"/>
      <c r="P165" s="3299">
        <v>15900</v>
      </c>
      <c r="Q165" s="926"/>
      <c r="R165" s="3223"/>
      <c r="S165" s="3284"/>
      <c r="T165" s="3284"/>
      <c r="U165" s="3284"/>
      <c r="V165" s="3224"/>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7">
        <v>7615</v>
      </c>
      <c r="G166" s="3298"/>
      <c r="H166" s="1"/>
      <c r="I166" s="1"/>
      <c r="J166" s="126" t="s">
        <v>193</v>
      </c>
      <c r="K166" s="1858">
        <f>SUM(K164:L165)</f>
        <v>0</v>
      </c>
      <c r="L166" s="1859"/>
      <c r="M166" s="1"/>
      <c r="N166" s="3300" t="s">
        <v>52</v>
      </c>
      <c r="O166" s="3301"/>
      <c r="P166" s="3302"/>
      <c r="Q166" s="926"/>
      <c r="R166" s="3223"/>
      <c r="S166" s="3284"/>
      <c r="T166" s="3284"/>
      <c r="U166" s="3284"/>
      <c r="V166" s="3224"/>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3" t="s">
        <v>4746</v>
      </c>
      <c r="C167" s="3304"/>
      <c r="D167" s="3304"/>
      <c r="E167" s="3305"/>
      <c r="F167" s="3306">
        <v>3234</v>
      </c>
      <c r="G167" s="3307"/>
      <c r="H167" s="1"/>
      <c r="I167" s="1"/>
      <c r="J167" s="1"/>
      <c r="K167" s="1"/>
      <c r="L167" s="1"/>
      <c r="M167" s="1"/>
      <c r="N167" s="12" t="s">
        <v>193</v>
      </c>
      <c r="O167" s="1"/>
      <c r="P167" s="419">
        <f>SUM(P164:P166)</f>
        <v>15900</v>
      </c>
      <c r="Q167" s="926"/>
      <c r="R167" s="3223"/>
      <c r="S167" s="3284"/>
      <c r="T167" s="3284"/>
      <c r="U167" s="3284"/>
      <c r="V167" s="3224"/>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96286</v>
      </c>
      <c r="G168" s="1859"/>
      <c r="H168" s="1"/>
      <c r="I168" s="1"/>
      <c r="J168" s="13"/>
      <c r="K168" s="1"/>
      <c r="L168" s="1"/>
      <c r="M168" s="1"/>
      <c r="N168" s="1"/>
      <c r="O168" s="1"/>
      <c r="P168" s="1"/>
      <c r="Q168" s="1"/>
      <c r="R168" s="3223"/>
      <c r="S168" s="3284"/>
      <c r="T168" s="3284"/>
      <c r="U168" s="3284"/>
      <c r="V168" s="3224"/>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3"/>
      <c r="S169" s="3284"/>
      <c r="T169" s="3284"/>
      <c r="U169" s="3284"/>
      <c r="V169" s="3224"/>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3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24240</v>
      </c>
      <c r="Q170" s="927"/>
      <c r="R170" s="3223"/>
      <c r="S170" s="3284"/>
      <c r="T170" s="3284"/>
      <c r="U170" s="3284"/>
      <c r="V170" s="3224"/>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7">
        <v>5000</v>
      </c>
      <c r="G171" s="3298"/>
      <c r="H171" s="1"/>
      <c r="I171" s="1" t="s">
        <v>1614</v>
      </c>
      <c r="J171" s="1"/>
      <c r="K171" s="3308">
        <v>1250</v>
      </c>
      <c r="L171" s="3309"/>
      <c r="M171" s="1"/>
      <c r="N171" s="408">
        <f>+P170/(O62*0.93)</f>
        <v>394.91691104594327</v>
      </c>
      <c r="O171" s="69" t="s">
        <v>2773</v>
      </c>
      <c r="P171" s="1"/>
      <c r="Q171" s="1"/>
      <c r="R171" s="3223"/>
      <c r="S171" s="3284"/>
      <c r="T171" s="3284"/>
      <c r="U171" s="3284"/>
      <c r="V171" s="3224"/>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7">
        <v>6400</v>
      </c>
      <c r="G172" s="3298"/>
      <c r="H172" s="1"/>
      <c r="I172" s="1" t="s">
        <v>2065</v>
      </c>
      <c r="J172" s="1"/>
      <c r="K172" s="3310">
        <v>9000</v>
      </c>
      <c r="L172" s="3311"/>
      <c r="M172" s="1"/>
      <c r="N172" s="408">
        <f>+P170/(O62*0.93)/12</f>
        <v>32.909742587161936</v>
      </c>
      <c r="O172" s="69" t="s">
        <v>2774</v>
      </c>
      <c r="P172" s="1"/>
      <c r="Q172" s="1"/>
      <c r="R172" s="3223"/>
      <c r="S172" s="3284"/>
      <c r="T172" s="3284"/>
      <c r="U172" s="3284"/>
      <c r="V172" s="3224"/>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7">
        <v>1500</v>
      </c>
      <c r="G173" s="3298"/>
      <c r="H173" s="1"/>
      <c r="I173" s="1" t="s">
        <v>1615</v>
      </c>
      <c r="J173" s="1"/>
      <c r="K173" s="3310">
        <v>1700</v>
      </c>
      <c r="L173" s="3311"/>
      <c r="M173" s="1"/>
      <c r="N173" s="37" t="s">
        <v>3755</v>
      </c>
      <c r="O173" s="1041"/>
      <c r="P173" s="1041"/>
      <c r="Q173" s="1611"/>
      <c r="R173" s="3223"/>
      <c r="S173" s="3284"/>
      <c r="T173" s="3284"/>
      <c r="U173" s="3284"/>
      <c r="V173" s="3224"/>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7">
        <v>5966</v>
      </c>
      <c r="G174" s="3298"/>
      <c r="H174" s="1"/>
      <c r="I174" s="3300" t="s">
        <v>4623</v>
      </c>
      <c r="J174" s="3301"/>
      <c r="K174" s="3308">
        <v>4200</v>
      </c>
      <c r="L174" s="3309"/>
      <c r="M174" s="1"/>
      <c r="N174" s="1041"/>
      <c r="O174" s="1041"/>
      <c r="P174" s="1041"/>
      <c r="Q174" s="1611"/>
      <c r="R174" s="3223"/>
      <c r="S174" s="3284"/>
      <c r="T174" s="3284"/>
      <c r="U174" s="3284"/>
      <c r="V174" s="3224"/>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7">
        <v>1650</v>
      </c>
      <c r="G175" s="3298"/>
      <c r="H175" s="1"/>
      <c r="I175" s="10"/>
      <c r="J175" s="12" t="s">
        <v>193</v>
      </c>
      <c r="K175" s="1850">
        <f>SUM(K171:K174)</f>
        <v>16150</v>
      </c>
      <c r="L175" s="1851"/>
      <c r="M175" s="1860" t="str">
        <f>IF(P177="","",IF(P175&lt;P177, "WARNING! OE below required minimum.",""))</f>
        <v/>
      </c>
      <c r="N175" s="10" t="s">
        <v>2202</v>
      </c>
      <c r="O175" s="5"/>
      <c r="P175" s="417">
        <f>F168+F177+F188+K166+K175+K185+P167+P170</f>
        <v>278811</v>
      </c>
      <c r="R175" s="3223"/>
      <c r="S175" s="3284"/>
      <c r="T175" s="3284"/>
      <c r="U175" s="3284"/>
      <c r="V175" s="3224"/>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3" t="s">
        <v>4624</v>
      </c>
      <c r="C176" s="3304"/>
      <c r="D176" s="3304"/>
      <c r="E176" s="3305"/>
      <c r="F176" s="3306">
        <v>14829</v>
      </c>
      <c r="G176" s="3307"/>
      <c r="H176" s="1"/>
      <c r="I176" s="1"/>
      <c r="J176" s="13"/>
      <c r="K176" s="1"/>
      <c r="L176" s="1"/>
      <c r="M176" s="1860"/>
      <c r="N176" s="69" t="s">
        <v>2775</v>
      </c>
      <c r="O176" s="408">
        <f>+P175/O62</f>
        <v>4224.409090909091</v>
      </c>
      <c r="Q176" s="926"/>
      <c r="R176" s="3223"/>
      <c r="S176" s="3284"/>
      <c r="T176" s="3284"/>
      <c r="U176" s="3284"/>
      <c r="V176" s="3224"/>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35345</v>
      </c>
      <c r="G177" s="1859"/>
      <c r="H177" s="1"/>
      <c r="I177" s="1"/>
      <c r="J177" s="13"/>
      <c r="K177" s="1"/>
      <c r="L177" s="1"/>
      <c r="M177" s="1860"/>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264000</v>
      </c>
      <c r="R177" s="3223"/>
      <c r="S177" s="3284"/>
      <c r="T177" s="3284"/>
      <c r="U177" s="3284"/>
      <c r="V177" s="3224"/>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23"/>
      <c r="S178" s="3284"/>
      <c r="T178" s="3284"/>
      <c r="U178" s="3284"/>
      <c r="V178" s="3224"/>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8" t="s">
        <v>2772</v>
      </c>
      <c r="K179" s="1"/>
      <c r="L179" s="1"/>
      <c r="M179" s="1"/>
      <c r="N179" s="10" t="s">
        <v>3503</v>
      </c>
      <c r="O179" s="10"/>
      <c r="P179" s="3312">
        <f>P188</f>
        <v>17180</v>
      </c>
      <c r="Q179" s="927"/>
      <c r="R179" s="3223"/>
      <c r="S179" s="3284"/>
      <c r="T179" s="3284"/>
      <c r="U179" s="3284"/>
      <c r="V179" s="3224"/>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3">
        <v>5139</v>
      </c>
      <c r="G180" s="3314"/>
      <c r="H180" s="1"/>
      <c r="I180" s="1" t="s">
        <v>1380</v>
      </c>
      <c r="J180" s="481">
        <f>K180/12/O62</f>
        <v>15.416666666666666</v>
      </c>
      <c r="K180" s="3310">
        <v>12210</v>
      </c>
      <c r="L180" s="3311"/>
      <c r="M180" s="1854" t="str">
        <f>IF(P179&lt;P188, "WARNING! RR proposed is below the DCA required minimum.","")</f>
        <v/>
      </c>
      <c r="N180" s="1064" t="s">
        <v>3764</v>
      </c>
      <c r="O180" s="1059"/>
      <c r="P180" s="1065">
        <f>P179/O188</f>
        <v>260.30303030303031</v>
      </c>
      <c r="Q180" s="3315"/>
      <c r="R180" s="3223"/>
      <c r="S180" s="3284"/>
      <c r="T180" s="3284"/>
      <c r="U180" s="3284"/>
      <c r="V180" s="3224"/>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3">
        <v>2500</v>
      </c>
      <c r="G181" s="3314"/>
      <c r="H181" s="1"/>
      <c r="I181" s="1" t="s">
        <v>1381</v>
      </c>
      <c r="J181" s="481">
        <f>K181/12/O62</f>
        <v>0</v>
      </c>
      <c r="K181" s="3310"/>
      <c r="L181" s="3311"/>
      <c r="M181" s="1854"/>
      <c r="N181" s="1855" t="s">
        <v>3763</v>
      </c>
      <c r="O181" s="1856"/>
      <c r="P181" s="1857"/>
      <c r="R181" s="3223"/>
      <c r="S181" s="3284"/>
      <c r="T181" s="3284"/>
      <c r="U181" s="3284"/>
      <c r="V181" s="3224"/>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3">
        <v>12000</v>
      </c>
      <c r="G182" s="3314"/>
      <c r="H182" s="1"/>
      <c r="I182" s="1" t="s">
        <v>2368</v>
      </c>
      <c r="J182" s="481">
        <f>K182/12/O62</f>
        <v>40.404040404040401</v>
      </c>
      <c r="K182" s="3310">
        <v>32000</v>
      </c>
      <c r="L182" s="3311"/>
      <c r="M182" s="1854"/>
      <c r="N182" s="1058" t="s">
        <v>2732</v>
      </c>
      <c r="O182" s="922" t="s">
        <v>3877</v>
      </c>
      <c r="P182" s="1060" t="s">
        <v>3458</v>
      </c>
      <c r="Q182" s="922"/>
      <c r="R182" s="3223"/>
      <c r="S182" s="3284"/>
      <c r="T182" s="3284"/>
      <c r="U182" s="3284"/>
      <c r="V182" s="3224"/>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7">
        <v>3295</v>
      </c>
      <c r="G183" s="3298"/>
      <c r="H183" s="1"/>
      <c r="I183" s="1" t="s">
        <v>1383</v>
      </c>
      <c r="J183" s="1"/>
      <c r="K183" s="3310">
        <v>3616</v>
      </c>
      <c r="L183" s="3311"/>
      <c r="M183" s="1854"/>
      <c r="N183" s="672" t="s">
        <v>40</v>
      </c>
      <c r="O183" s="673"/>
      <c r="P183" s="674"/>
      <c r="Q183" s="673"/>
      <c r="R183" s="3223"/>
      <c r="S183" s="3284"/>
      <c r="T183" s="3284"/>
      <c r="U183" s="3284"/>
      <c r="V183" s="3224"/>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7">
        <v>3630</v>
      </c>
      <c r="G184" s="3298"/>
      <c r="H184" s="1"/>
      <c r="I184" s="3300" t="s">
        <v>52</v>
      </c>
      <c r="J184" s="3301"/>
      <c r="K184" s="3308"/>
      <c r="L184" s="3309"/>
      <c r="M184" s="1854"/>
      <c r="N184" s="516" t="s">
        <v>3450</v>
      </c>
      <c r="O184" s="929" t="str">
        <f>CONCATENATE(SUM(JC48:JG48)," units x $",'DCA Underwriting Assumptions'!$Q$65," =")</f>
        <v>0 units x $350 =</v>
      </c>
      <c r="P184" s="675">
        <f>SUM(JC48:JG48)*'DCA Underwriting Assumptions'!$Q$65</f>
        <v>0</v>
      </c>
      <c r="Q184" s="929"/>
      <c r="R184" s="3223"/>
      <c r="S184" s="3284"/>
      <c r="T184" s="3284"/>
      <c r="U184" s="3284"/>
      <c r="V184" s="3224"/>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7"/>
      <c r="G185" s="3298"/>
      <c r="H185" s="1"/>
      <c r="I185" s="1"/>
      <c r="J185" s="12" t="s">
        <v>193</v>
      </c>
      <c r="K185" s="1850">
        <f>SUM(K180:K184)</f>
        <v>47826</v>
      </c>
      <c r="L185" s="1851"/>
      <c r="M185" s="1854"/>
      <c r="N185" s="516" t="s">
        <v>3449</v>
      </c>
      <c r="O185" s="929" t="str">
        <f>CONCATENATE(SUM(JH48:JL48)," units x $",'DCA Underwriting Assumptions'!$Q$66," =")</f>
        <v>62 units x $250 =</v>
      </c>
      <c r="P185" s="675">
        <f>SUM(JH48:JL48)*'DCA Underwriting Assumptions'!$Q$66</f>
        <v>15500</v>
      </c>
      <c r="Q185" s="929"/>
      <c r="R185" s="3223"/>
      <c r="S185" s="3284"/>
      <c r="T185" s="3284"/>
      <c r="U185" s="3284"/>
      <c r="V185" s="3224"/>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7">
        <v>11500</v>
      </c>
      <c r="G186" s="3298"/>
      <c r="H186" s="1"/>
      <c r="I186" s="1"/>
      <c r="J186" s="13"/>
      <c r="K186" s="1"/>
      <c r="L186" s="1"/>
      <c r="M186" s="1854"/>
      <c r="N186" s="676" t="s">
        <v>3453</v>
      </c>
      <c r="O186" s="929" t="str">
        <f>CONCATENATE(SUM(JM48:JQ48)," units x $",'DCA Underwriting Assumptions'!$Q$67," =")</f>
        <v>4 units x $420 =</v>
      </c>
      <c r="P186" s="675">
        <f>SUM(JM48:JQ48)*'DCA Underwriting Assumptions'!$Q$67</f>
        <v>1680</v>
      </c>
      <c r="Q186" s="929"/>
      <c r="R186" s="3223"/>
      <c r="S186" s="3284"/>
      <c r="T186" s="3284"/>
      <c r="U186" s="3284"/>
      <c r="V186" s="3224"/>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3" t="s">
        <v>4622</v>
      </c>
      <c r="C187" s="3304"/>
      <c r="D187" s="3304"/>
      <c r="E187" s="3305"/>
      <c r="F187" s="3306">
        <v>5000</v>
      </c>
      <c r="G187" s="3307"/>
      <c r="H187" s="1"/>
      <c r="I187" s="1"/>
      <c r="J187" s="13"/>
      <c r="K187" s="1"/>
      <c r="L187" s="1"/>
      <c r="M187" s="1"/>
      <c r="N187" s="676" t="s">
        <v>3448</v>
      </c>
      <c r="O187" s="929" t="str">
        <f>CONCATENATE(O84," units x $",'DCA Underwriting Assumptions'!$Q$67," =")</f>
        <v>0 units x $420 =</v>
      </c>
      <c r="P187" s="675">
        <f>O84*'DCA Underwriting Assumptions'!$Q$67</f>
        <v>0</v>
      </c>
      <c r="Q187" s="929"/>
      <c r="R187" s="3223"/>
      <c r="S187" s="3284"/>
      <c r="T187" s="3284"/>
      <c r="U187" s="3284"/>
      <c r="V187" s="3224"/>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43064</v>
      </c>
      <c r="G188" s="1853"/>
      <c r="H188" s="1"/>
      <c r="I188" s="1"/>
      <c r="J188" s="13"/>
      <c r="K188" s="1"/>
      <c r="L188" s="1"/>
      <c r="M188" s="1"/>
      <c r="N188" s="1061" t="s">
        <v>2735</v>
      </c>
      <c r="O188" s="1062">
        <f>SUM(JC48:JG48)+SUM(JH48:JL48)+SUM(JM48:JQ48)+O84</f>
        <v>66</v>
      </c>
      <c r="P188" s="1063">
        <f>SUM(P184:P187)</f>
        <v>17180</v>
      </c>
      <c r="Q188" s="929"/>
      <c r="R188" s="3229"/>
      <c r="S188" s="3285"/>
      <c r="T188" s="3285"/>
      <c r="U188" s="3285"/>
      <c r="V188" s="3230"/>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295991</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4154</v>
      </c>
      <c r="N192" s="14"/>
    </row>
    <row r="193" spans="1:296" ht="409.5" customHeight="1">
      <c r="A193" s="3316" t="s">
        <v>4747</v>
      </c>
      <c r="B193" s="3316"/>
      <c r="C193" s="3316"/>
      <c r="D193" s="3316"/>
      <c r="E193" s="3316"/>
      <c r="F193" s="3316"/>
      <c r="G193" s="3316"/>
      <c r="H193" s="3316"/>
      <c r="I193" s="3316"/>
      <c r="J193" s="3316"/>
      <c r="K193" s="3316"/>
      <c r="L193" s="3316"/>
      <c r="M193" s="3317"/>
      <c r="N193" s="3317"/>
      <c r="O193" s="3317"/>
      <c r="P193" s="3317"/>
      <c r="Q193" s="1847" t="s">
        <v>4153</v>
      </c>
      <c r="R193" s="1619"/>
      <c r="S193" s="1619"/>
      <c r="T193" s="1619"/>
    </row>
    <row r="194" spans="1:296" ht="11.25" customHeight="1"/>
    <row r="195" spans="1:296" ht="12" customHeight="1"/>
    <row r="196" spans="1:296" ht="12" customHeight="1"/>
    <row r="197" spans="1:296" ht="14.1" customHeight="1"/>
    <row r="198" spans="1:296" s="93" customFormat="1" ht="14.1"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4.1"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4.1"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4.1"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4.1"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4.1" customHeight="1">
      <c r="A203" s="1591"/>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4.1"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4.1" customHeight="1"/>
    <row r="206" spans="1:296" ht="14.1" customHeight="1"/>
    <row r="207" spans="1:296" ht="14.1" customHeight="1"/>
    <row r="208" spans="1:296" ht="14.1" customHeight="1"/>
    <row r="209" spans="1:296" s="93" customFormat="1" ht="14.1"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4.1"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4.1" customHeight="1">
      <c r="A211" s="1591"/>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4.1"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4.1"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4.1" customHeight="1"/>
    <row r="215" spans="1:296" ht="14.1" customHeight="1">
      <c r="A215" s="14"/>
    </row>
    <row r="216" spans="1:296" ht="14.1" customHeight="1"/>
    <row r="217" spans="1:296" ht="14.1" customHeight="1"/>
    <row r="218" spans="1:296" ht="14.1" customHeight="1"/>
    <row r="219" spans="1:296" ht="14.1" customHeight="1"/>
    <row r="220" spans="1:296" ht="14.1" customHeight="1"/>
    <row r="221" spans="1:296" s="93" customFormat="1" ht="14.1"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4.1"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4.1" customHeight="1">
      <c r="A223" s="1591"/>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4.1"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4.1"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4.1" customHeight="1"/>
    <row r="227" spans="1:296" ht="14.1" customHeight="1">
      <c r="A227" s="14"/>
    </row>
    <row r="228" spans="1:296" ht="14.1" customHeight="1"/>
    <row r="229" spans="1:296" ht="14.1" customHeight="1"/>
    <row r="230" spans="1:296" ht="14.1" customHeight="1"/>
    <row r="231" spans="1:296" ht="14.1" customHeight="1"/>
    <row r="232" spans="1:296" ht="14.1" customHeight="1"/>
    <row r="233" spans="1:296" ht="14.1" customHeight="1"/>
    <row r="234" spans="1:296" ht="14.1" customHeight="1"/>
    <row r="235" spans="1:296" ht="14.1" customHeight="1"/>
    <row r="236" spans="1:296" ht="14.1" customHeight="1"/>
  </sheetData>
  <sheetProtection algorithmName="SHA-512" hashValue="jdXk533Ba23ij7w651emScXdwYFoVHSpC0mC9PB+C0Ahwt5yxTWoCYDOipoGfn6c0jFnf3+T2h03+Y+ahmnxCA==" saltValue="JQwTlOLzqDz8Qi1x9gOsjg=="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H8" workbookViewId="0">
      <selection activeCell="A2"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4.1" customHeight="1">
      <c r="A1" s="1889" t="str">
        <f>CONCATENATE("PART SEVEN - OPERATING PRO FORMA","  -  ",'Part I-Project Information'!$O$6," ",'Part I-Project Information'!$F$34,", ",'Part I-Project Information'!F38,", ",'Part I-Project Information'!J39," County")</f>
        <v>PART SEVEN - OPERATING PRO FORMA  -  2018-045 Altoview Terrace, Rome, Floyd County</v>
      </c>
      <c r="B1" s="3218"/>
      <c r="C1" s="3218"/>
      <c r="D1" s="3218"/>
      <c r="E1" s="3218"/>
      <c r="F1" s="3218"/>
      <c r="G1" s="3218"/>
      <c r="H1" s="3218"/>
      <c r="I1" s="3218"/>
      <c r="J1" s="3218"/>
      <c r="K1" s="3219"/>
      <c r="L1" s="10"/>
      <c r="M1" s="10"/>
      <c r="N1" s="1890" t="str">
        <f>A1</f>
        <v>PART SEVEN - OPERATING PRO FORMA  -  2018-045 Altoview Terrace, Rome, Floyd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4233</v>
      </c>
      <c r="N3" s="14" t="str">
        <f>A3</f>
        <v>I.  OPERATING ASSUMPTIONS</v>
      </c>
      <c r="O3" s="32"/>
    </row>
    <row r="4" spans="1:19" ht="2.4500000000000002" customHeight="1">
      <c r="A4" s="17"/>
      <c r="B4" s="17"/>
      <c r="C4" s="17"/>
      <c r="H4" s="17"/>
      <c r="I4" s="17"/>
    </row>
    <row r="5" spans="1:19" ht="13.5" customHeight="1">
      <c r="A5" s="17" t="s">
        <v>2204</v>
      </c>
      <c r="B5" s="80">
        <v>0.02</v>
      </c>
      <c r="C5" s="17"/>
      <c r="D5" s="1862" t="s">
        <v>4234</v>
      </c>
      <c r="E5" s="1862"/>
      <c r="F5" s="1862"/>
      <c r="G5" s="3220">
        <v>5000</v>
      </c>
      <c r="H5" s="99" t="s">
        <v>1922</v>
      </c>
      <c r="K5" s="104">
        <f>IF(($B$14+$B$15+$B$16+$B$17)=0,"",B28/($B$14+$B$15+$B$16+$B$17))</f>
        <v>-1.3266197459304558E-2</v>
      </c>
      <c r="N5" s="3221"/>
      <c r="O5" s="3222"/>
    </row>
    <row r="6" spans="1:19">
      <c r="A6" s="17" t="s">
        <v>2205</v>
      </c>
      <c r="B6" s="80">
        <v>0.03</v>
      </c>
      <c r="C6" s="17"/>
      <c r="D6" s="1862"/>
      <c r="E6" s="1862"/>
      <c r="F6" s="1862"/>
      <c r="G6" s="1364">
        <f>IF(OR('Part III-Sources of Funds'!B11="Yes",'Part III-Sources of Funds'!E11&gt;0),'DCA Underwriting Assumptions'!$Q$95,0)</f>
        <v>0</v>
      </c>
      <c r="H6" s="17"/>
      <c r="I6" s="17"/>
      <c r="J6" s="17"/>
      <c r="K6" s="17"/>
      <c r="N6" s="3223"/>
      <c r="O6" s="3224"/>
    </row>
    <row r="7" spans="1:19">
      <c r="A7" s="17" t="s">
        <v>2207</v>
      </c>
      <c r="B7" s="80">
        <v>0.03</v>
      </c>
      <c r="C7" s="17"/>
      <c r="D7" s="82" t="s">
        <v>272</v>
      </c>
      <c r="G7" s="84"/>
      <c r="H7" s="99" t="s">
        <v>2390</v>
      </c>
      <c r="K7" s="104">
        <f>IF(($B$14+$B$15+$B$16+$B$17)=0,"",-B20/($B$14+$B$15+$B$16+$B$17))</f>
        <v>6.4314525282708493E-2</v>
      </c>
      <c r="N7" s="3223"/>
      <c r="O7" s="3224"/>
    </row>
    <row r="8" spans="1:19" ht="13.35" customHeight="1">
      <c r="A8" s="17" t="s">
        <v>2206</v>
      </c>
      <c r="B8" s="3225">
        <v>7.0000000000000007E-2</v>
      </c>
      <c r="C8" s="17"/>
      <c r="D8" s="81" t="s">
        <v>2525</v>
      </c>
      <c r="G8" s="3226" t="s">
        <v>3009</v>
      </c>
      <c r="H8" s="169" t="s">
        <v>1456</v>
      </c>
      <c r="K8" s="3227">
        <v>24240</v>
      </c>
      <c r="N8" s="3223"/>
      <c r="O8" s="3224"/>
    </row>
    <row r="9" spans="1:19">
      <c r="A9" s="17" t="s">
        <v>1430</v>
      </c>
      <c r="B9" s="80">
        <v>0.02</v>
      </c>
      <c r="D9" s="81" t="s">
        <v>1731</v>
      </c>
      <c r="G9" s="3226" t="s">
        <v>3012</v>
      </c>
      <c r="H9" s="169" t="s">
        <v>2372</v>
      </c>
      <c r="K9" s="3228"/>
      <c r="N9" s="3229"/>
      <c r="O9" s="3230"/>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35" customHeight="1">
      <c r="A14" s="19" t="s">
        <v>2420</v>
      </c>
      <c r="B14" s="20">
        <f>'Part VI-Revenues &amp; Expenses'!$L$49</f>
        <v>397320</v>
      </c>
      <c r="C14" s="20">
        <f t="shared" ref="C14:K14" si="1">$B$14*(1+$B$5)^(C13-1)</f>
        <v>405266.4</v>
      </c>
      <c r="D14" s="20">
        <f t="shared" si="1"/>
        <v>413371.728</v>
      </c>
      <c r="E14" s="20">
        <f t="shared" si="1"/>
        <v>421639.16255999997</v>
      </c>
      <c r="F14" s="20">
        <f t="shared" si="1"/>
        <v>430071.94581120001</v>
      </c>
      <c r="G14" s="20">
        <f t="shared" si="1"/>
        <v>438673.38472742401</v>
      </c>
      <c r="H14" s="20">
        <f t="shared" si="1"/>
        <v>447446.85242197249</v>
      </c>
      <c r="I14" s="20">
        <f t="shared" si="1"/>
        <v>456395.78947041184</v>
      </c>
      <c r="J14" s="20">
        <f t="shared" si="1"/>
        <v>465523.70525982016</v>
      </c>
      <c r="K14" s="21">
        <f t="shared" si="1"/>
        <v>474834.17936501652</v>
      </c>
      <c r="N14" s="3221"/>
      <c r="O14" s="3222"/>
      <c r="S14" s="1885" t="s">
        <v>4239</v>
      </c>
    </row>
    <row r="15" spans="1:19" ht="13.35" customHeight="1">
      <c r="A15" s="22" t="s">
        <v>1026</v>
      </c>
      <c r="B15" s="23">
        <f>MIN(B14*B9,'Part VI-Revenues &amp; Expenses'!$H$122)</f>
        <v>7946.4000000000005</v>
      </c>
      <c r="C15" s="23">
        <f t="shared" ref="C15:K15" si="2">$B$15*(1+$B$5)^(C13-1)</f>
        <v>8105.3280000000004</v>
      </c>
      <c r="D15" s="23">
        <f t="shared" si="2"/>
        <v>8267.4345599999997</v>
      </c>
      <c r="E15" s="23">
        <f t="shared" si="2"/>
        <v>8432.7832512000004</v>
      </c>
      <c r="F15" s="23">
        <f t="shared" si="2"/>
        <v>8601.4389162240004</v>
      </c>
      <c r="G15" s="23">
        <f t="shared" si="2"/>
        <v>8773.4676945484807</v>
      </c>
      <c r="H15" s="23">
        <f t="shared" si="2"/>
        <v>8948.9370484394512</v>
      </c>
      <c r="I15" s="23">
        <f t="shared" si="2"/>
        <v>9127.9157894082382</v>
      </c>
      <c r="J15" s="23">
        <f t="shared" si="2"/>
        <v>9310.4741051964029</v>
      </c>
      <c r="K15" s="24">
        <f t="shared" si="2"/>
        <v>9496.6835873003311</v>
      </c>
      <c r="N15" s="3223"/>
      <c r="O15" s="3224"/>
      <c r="S15" s="1886"/>
    </row>
    <row r="16" spans="1:19" ht="13.35" customHeight="1">
      <c r="A16" s="22" t="s">
        <v>2421</v>
      </c>
      <c r="B16" s="23">
        <f t="shared" ref="B16:K16" si="3">-(B14+B15)*$B$8</f>
        <v>-28368.648000000005</v>
      </c>
      <c r="C16" s="23">
        <f t="shared" si="3"/>
        <v>-28936.020960000002</v>
      </c>
      <c r="D16" s="23">
        <f t="shared" si="3"/>
        <v>-29514.741379200004</v>
      </c>
      <c r="E16" s="23">
        <f t="shared" si="3"/>
        <v>-30105.036206784</v>
      </c>
      <c r="F16" s="23">
        <f t="shared" si="3"/>
        <v>-30707.136930919685</v>
      </c>
      <c r="G16" s="23">
        <f t="shared" si="3"/>
        <v>-31321.279669538078</v>
      </c>
      <c r="H16" s="23">
        <f t="shared" si="3"/>
        <v>-31947.705262928841</v>
      </c>
      <c r="I16" s="23">
        <f t="shared" si="3"/>
        <v>-32586.659368187411</v>
      </c>
      <c r="J16" s="23">
        <f t="shared" si="3"/>
        <v>-33238.392555551167</v>
      </c>
      <c r="K16" s="24">
        <f t="shared" si="3"/>
        <v>-33903.160406662188</v>
      </c>
      <c r="N16" s="3223"/>
      <c r="O16" s="3224"/>
      <c r="Q16" s="1888" t="s">
        <v>3912</v>
      </c>
      <c r="R16" s="1888" t="s">
        <v>4238</v>
      </c>
      <c r="S16" s="1886"/>
    </row>
    <row r="17" spans="1:19" ht="13.3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3"/>
      <c r="O17" s="3224"/>
      <c r="Q17" s="1888"/>
      <c r="R17" s="1888"/>
      <c r="S17" s="1887"/>
    </row>
    <row r="18" spans="1:19"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3"/>
      <c r="O18" s="3224"/>
    </row>
    <row r="19" spans="1:19" ht="13.35" customHeight="1">
      <c r="A19" s="22" t="s">
        <v>620</v>
      </c>
      <c r="B19" s="23">
        <f>-('Part VI-Revenues &amp; Expenses'!$P$175-'Part VI-Revenues &amp; Expenses'!$P$170)</f>
        <v>-254571</v>
      </c>
      <c r="C19" s="23">
        <f t="shared" ref="C19:K19" si="4">$B$19*(1+$B$6)^(C13-1)</f>
        <v>-262208.13</v>
      </c>
      <c r="D19" s="23">
        <f t="shared" si="4"/>
        <v>-270074.37390000001</v>
      </c>
      <c r="E19" s="23">
        <f t="shared" si="4"/>
        <v>-278176.605117</v>
      </c>
      <c r="F19" s="23">
        <f t="shared" si="4"/>
        <v>-286521.90327050997</v>
      </c>
      <c r="G19" s="23">
        <f t="shared" si="4"/>
        <v>-295117.56036862527</v>
      </c>
      <c r="H19" s="23">
        <f t="shared" si="4"/>
        <v>-303971.08717968402</v>
      </c>
      <c r="I19" s="23">
        <f t="shared" si="4"/>
        <v>-313090.2197950746</v>
      </c>
      <c r="J19" s="23">
        <f t="shared" si="4"/>
        <v>-322482.9263889268</v>
      </c>
      <c r="K19" s="24">
        <f t="shared" si="4"/>
        <v>-332157.41418059461</v>
      </c>
      <c r="N19" s="3223"/>
      <c r="O19" s="3224"/>
      <c r="Q19" s="63">
        <v>1</v>
      </c>
      <c r="R19" s="1197">
        <f>-B29</f>
        <v>75907</v>
      </c>
      <c r="S19" s="1197">
        <f>B30+R19</f>
        <v>75906.752000000037</v>
      </c>
    </row>
    <row r="20" spans="1:19" ht="13.35" customHeight="1">
      <c r="A20" s="22" t="s">
        <v>1125</v>
      </c>
      <c r="B20" s="23">
        <f>IF(AND('Part VII-Pro Forma'!$G$8="Yes",'Part VII-Pro Forma'!$G$9="Yes"),"Choose One!",IF('Part VII-Pro Forma'!$G$8="Yes",ROUND((-$K$8*(1+'Part VII-Pro Forma'!$B$6)^('Part VII-Pro Forma'!B13-1)),),IF('Part VII-Pro Forma'!$G$9="Yes",ROUND((-(SUM(B14:B17)*'Part VII-Pro Forma'!$K$9)),),"Choose mgt fee")))</f>
        <v>-24240</v>
      </c>
      <c r="C20" s="23">
        <f>IF(AND('Part VII-Pro Forma'!$G$8="Yes",'Part VII-Pro Forma'!$G$9="Yes"),"Choose One!",IF('Part VII-Pro Forma'!$G$8="Yes",ROUND((-$K$8*(1+'Part VII-Pro Forma'!$B$6)^('Part VII-Pro Forma'!C13-1)),),IF('Part VII-Pro Forma'!$G$9="Yes",ROUND((-(SUM(C14:C17)*'Part VII-Pro Forma'!$K$9)),),"Choose mgt fee")))</f>
        <v>-24967</v>
      </c>
      <c r="D20" s="23">
        <f>IF(AND('Part VII-Pro Forma'!$G$8="Yes",'Part VII-Pro Forma'!$G$9="Yes"),"Choose One!",IF('Part VII-Pro Forma'!$G$8="Yes",ROUND((-$K$8*(1+'Part VII-Pro Forma'!$B$6)^('Part VII-Pro Forma'!D13-1)),),IF('Part VII-Pro Forma'!$G$9="Yes",ROUND((-(SUM(D14:D17)*'Part VII-Pro Forma'!$K$9)),),"Choose mgt fee")))</f>
        <v>-25716</v>
      </c>
      <c r="E20" s="23">
        <f>IF(AND('Part VII-Pro Forma'!$G$8="Yes",'Part VII-Pro Forma'!$G$9="Yes"),"Choose One!",IF('Part VII-Pro Forma'!$G$8="Yes",ROUND((-$K$8*(1+'Part VII-Pro Forma'!$B$6)^('Part VII-Pro Forma'!E13-1)),),IF('Part VII-Pro Forma'!$G$9="Yes",ROUND((-(SUM(E14:E17)*'Part VII-Pro Forma'!$K$9)),),"Choose mgt fee")))</f>
        <v>-26488</v>
      </c>
      <c r="F20" s="23">
        <f>IF(AND('Part VII-Pro Forma'!$G$8="Yes",'Part VII-Pro Forma'!$G$9="Yes"),"Choose One!",IF('Part VII-Pro Forma'!$G$8="Yes",ROUND((-$K$8*(1+'Part VII-Pro Forma'!$B$6)^('Part VII-Pro Forma'!F13-1)),),IF('Part VII-Pro Forma'!$G$9="Yes",ROUND((-(SUM(F14:F17)*'Part VII-Pro Forma'!$K$9)),),"Choose mgt fee")))</f>
        <v>-27282</v>
      </c>
      <c r="G20" s="23">
        <f>IF(AND('Part VII-Pro Forma'!$G$8="Yes",'Part VII-Pro Forma'!$G$9="Yes"),"Choose One!",IF('Part VII-Pro Forma'!$G$8="Yes",ROUND((-$K$8*(1+'Part VII-Pro Forma'!$B$6)^('Part VII-Pro Forma'!G13-1)),),IF('Part VII-Pro Forma'!$G$9="Yes",ROUND((-(SUM(G14:G17)*'Part VII-Pro Forma'!$K$9)),),"Choose mgt fee")))</f>
        <v>-28101</v>
      </c>
      <c r="H20" s="23">
        <f>IF(AND('Part VII-Pro Forma'!$G$8="Yes",'Part VII-Pro Forma'!$G$9="Yes"),"Choose One!",IF('Part VII-Pro Forma'!$G$8="Yes",ROUND((-$K$8*(1+'Part VII-Pro Forma'!$B$6)^('Part VII-Pro Forma'!H13-1)),),IF('Part VII-Pro Forma'!$G$9="Yes",ROUND((-(SUM(H14:H17)*'Part VII-Pro Forma'!$K$9)),),"Choose mgt fee")))</f>
        <v>-28944</v>
      </c>
      <c r="I20" s="23">
        <f>IF(AND('Part VII-Pro Forma'!$G$8="Yes",'Part VII-Pro Forma'!$G$9="Yes"),"Choose One!",IF('Part VII-Pro Forma'!$G$8="Yes",ROUND((-$K$8*(1+'Part VII-Pro Forma'!$B$6)^('Part VII-Pro Forma'!I13-1)),),IF('Part VII-Pro Forma'!$G$9="Yes",ROUND((-(SUM(I14:I17)*'Part VII-Pro Forma'!$K$9)),),"Choose mgt fee")))</f>
        <v>-29812</v>
      </c>
      <c r="J20" s="23">
        <f>IF(AND('Part VII-Pro Forma'!$G$8="Yes",'Part VII-Pro Forma'!$G$9="Yes"),"Choose One!",IF('Part VII-Pro Forma'!$G$8="Yes",ROUND((-$K$8*(1+'Part VII-Pro Forma'!$B$6)^('Part VII-Pro Forma'!J13-1)),),IF('Part VII-Pro Forma'!$G$9="Yes",ROUND((-(SUM(J14:J17)*'Part VII-Pro Forma'!$K$9)),),"Choose mgt fee")))</f>
        <v>-30707</v>
      </c>
      <c r="K20" s="23">
        <f>IF(AND('Part VII-Pro Forma'!$G$8="Yes",'Part VII-Pro Forma'!$G$9="Yes"),"Choose One!",IF('Part VII-Pro Forma'!$G$8="Yes",ROUND((-$K$8*(1+'Part VII-Pro Forma'!$B$6)^('Part VII-Pro Forma'!K13-1)),),IF('Part VII-Pro Forma'!$G$9="Yes",ROUND((-(SUM(K14:K17)*'Part VII-Pro Forma'!$K$9)),),"Choose mgt fee")))</f>
        <v>-31628</v>
      </c>
      <c r="N20" s="3223"/>
      <c r="O20" s="3224"/>
      <c r="Q20" s="63">
        <v>2</v>
      </c>
      <c r="R20" s="1197">
        <f>-SUM($B$29:$C$29)</f>
        <v>150322</v>
      </c>
      <c r="S20" s="1197">
        <f>SUM($B$30:$C$30)+R20</f>
        <v>150321.92904000005</v>
      </c>
    </row>
    <row r="21" spans="1:19" ht="13.35" customHeight="1">
      <c r="A21" s="22" t="s">
        <v>1214</v>
      </c>
      <c r="B21" s="23">
        <f>-('Part VI-Revenues &amp; Expenses'!$P$179)</f>
        <v>-17180</v>
      </c>
      <c r="C21" s="23">
        <f t="shared" ref="C21:K21" si="5">$B$21*(1+$B$7)^(C13-1)</f>
        <v>-17695.400000000001</v>
      </c>
      <c r="D21" s="23">
        <f t="shared" si="5"/>
        <v>-18226.261999999999</v>
      </c>
      <c r="E21" s="23">
        <f t="shared" si="5"/>
        <v>-18773.049859999999</v>
      </c>
      <c r="F21" s="23">
        <f t="shared" si="5"/>
        <v>-19336.241355799997</v>
      </c>
      <c r="G21" s="23">
        <f t="shared" si="5"/>
        <v>-19916.328596473999</v>
      </c>
      <c r="H21" s="23">
        <f t="shared" si="5"/>
        <v>-20513.818454368218</v>
      </c>
      <c r="I21" s="23">
        <f t="shared" si="5"/>
        <v>-21129.233007999268</v>
      </c>
      <c r="J21" s="23">
        <f t="shared" si="5"/>
        <v>-21763.109998239241</v>
      </c>
      <c r="K21" s="24">
        <f t="shared" si="5"/>
        <v>-22416.003298186421</v>
      </c>
      <c r="N21" s="3223"/>
      <c r="O21" s="3224"/>
      <c r="Q21" s="63">
        <v>3</v>
      </c>
      <c r="R21" s="1197">
        <f>-SUM($B$29:$D$29)</f>
        <v>182040</v>
      </c>
      <c r="S21" s="1197">
        <f>SUM($B$30:$D$30)+R21</f>
        <v>223125.21432080003</v>
      </c>
    </row>
    <row r="22" spans="1:19" ht="13.35" customHeight="1">
      <c r="A22" s="22" t="s">
        <v>1215</v>
      </c>
      <c r="B22" s="23">
        <f t="shared" ref="B22:K22" si="6">SUM(B14:B21)</f>
        <v>80906.752000000037</v>
      </c>
      <c r="C22" s="23">
        <f t="shared" si="6"/>
        <v>79565.17704000001</v>
      </c>
      <c r="D22" s="23">
        <f t="shared" si="6"/>
        <v>78107.785280800003</v>
      </c>
      <c r="E22" s="23">
        <f t="shared" si="6"/>
        <v>76529.254627415939</v>
      </c>
      <c r="F22" s="23">
        <f t="shared" si="6"/>
        <v>74826.103170194387</v>
      </c>
      <c r="G22" s="23">
        <f t="shared" si="6"/>
        <v>72990.683787335147</v>
      </c>
      <c r="H22" s="23">
        <f t="shared" si="6"/>
        <v>71019.178573430865</v>
      </c>
      <c r="I22" s="23">
        <f t="shared" si="6"/>
        <v>68905.593088558802</v>
      </c>
      <c r="J22" s="23">
        <f t="shared" si="6"/>
        <v>66642.750422299345</v>
      </c>
      <c r="K22" s="24">
        <f t="shared" si="6"/>
        <v>64226.285066873636</v>
      </c>
      <c r="N22" s="3223"/>
      <c r="O22" s="3224"/>
      <c r="Q22" s="1040">
        <v>4</v>
      </c>
      <c r="R22" s="1197">
        <f>-SUM($B$29:$E$29)</f>
        <v>182040</v>
      </c>
      <c r="S22" s="1197">
        <f>SUM($B$30:$E$30)+R22</f>
        <v>294190.83394821599</v>
      </c>
    </row>
    <row r="23" spans="1:19" ht="13.35" customHeight="1">
      <c r="A23" s="435" t="s">
        <v>1603</v>
      </c>
      <c r="B23" s="3231">
        <f>IF('Part III-Sources of Funds'!$N$37="", 0,-'Part III-Sources of Funds'!$N$37)</f>
        <v>0</v>
      </c>
      <c r="C23" s="3231">
        <f>IF('Part III-Sources of Funds'!$N$37="", 0,-'Part III-Sources of Funds'!$N$37)</f>
        <v>0</v>
      </c>
      <c r="D23" s="3231">
        <f>IF('Part III-Sources of Funds'!$N$37="", 0,-'Part III-Sources of Funds'!$N$37)</f>
        <v>0</v>
      </c>
      <c r="E23" s="3231">
        <f>IF('Part III-Sources of Funds'!$N$37="", 0,-'Part III-Sources of Funds'!$N$37)</f>
        <v>0</v>
      </c>
      <c r="F23" s="3231">
        <f>IF('Part III-Sources of Funds'!$N$37="", 0,-'Part III-Sources of Funds'!$N$37)</f>
        <v>0</v>
      </c>
      <c r="G23" s="3231">
        <f>IF('Part III-Sources of Funds'!$N$37="", 0,-'Part III-Sources of Funds'!$N$37)</f>
        <v>0</v>
      </c>
      <c r="H23" s="3231">
        <f>IF('Part III-Sources of Funds'!$N$37="", 0,-'Part III-Sources of Funds'!$N$37)</f>
        <v>0</v>
      </c>
      <c r="I23" s="3231">
        <f>IF('Part III-Sources of Funds'!$N$37="", 0,-'Part III-Sources of Funds'!$N$37)</f>
        <v>0</v>
      </c>
      <c r="J23" s="3231">
        <f>IF('Part III-Sources of Funds'!$N$37="", 0,-'Part III-Sources of Funds'!$N$37)</f>
        <v>0</v>
      </c>
      <c r="K23" s="3231">
        <f>IF('Part III-Sources of Funds'!$N$37="", 0,-'Part III-Sources of Funds'!$N$37)</f>
        <v>0</v>
      </c>
      <c r="N23" s="3223"/>
      <c r="O23" s="3224"/>
      <c r="Q23" s="1040">
        <v>5</v>
      </c>
      <c r="R23" s="1197">
        <f>-SUM($B$29:$F$29)</f>
        <v>182040</v>
      </c>
      <c r="S23" s="1197">
        <f>SUM($B$30:$F$30)+R23</f>
        <v>363389.3930684104</v>
      </c>
    </row>
    <row r="24" spans="1:19" ht="13.35" customHeight="1">
      <c r="A24" s="435" t="s">
        <v>1604</v>
      </c>
      <c r="B24" s="3232">
        <f>IF('Part III-Sources of Funds'!$N$38="", 0,-'Part III-Sources of Funds'!$N$38)</f>
        <v>0</v>
      </c>
      <c r="C24" s="3232">
        <f>IF('Part III-Sources of Funds'!$N$38="", 0,-'Part III-Sources of Funds'!$N$38)</f>
        <v>0</v>
      </c>
      <c r="D24" s="3232">
        <f>IF('Part III-Sources of Funds'!$N$38="", 0,-'Part III-Sources of Funds'!$N$38)</f>
        <v>0</v>
      </c>
      <c r="E24" s="3232">
        <f>IF('Part III-Sources of Funds'!$N$38="", 0,-'Part III-Sources of Funds'!$N$38)</f>
        <v>0</v>
      </c>
      <c r="F24" s="3232">
        <f>IF('Part III-Sources of Funds'!$N$38="", 0,-'Part III-Sources of Funds'!$N$38)</f>
        <v>0</v>
      </c>
      <c r="G24" s="3232">
        <f>IF('Part III-Sources of Funds'!$N$38="", 0,-'Part III-Sources of Funds'!$N$38)</f>
        <v>0</v>
      </c>
      <c r="H24" s="3232">
        <f>IF('Part III-Sources of Funds'!$N$38="", 0,-'Part III-Sources of Funds'!$N$38)</f>
        <v>0</v>
      </c>
      <c r="I24" s="3232">
        <f>IF('Part III-Sources of Funds'!$N$38="", 0,-'Part III-Sources of Funds'!$N$38)</f>
        <v>0</v>
      </c>
      <c r="J24" s="3232">
        <f>IF('Part III-Sources of Funds'!$N$38="", 0,-'Part III-Sources of Funds'!$N$38)</f>
        <v>0</v>
      </c>
      <c r="K24" s="3232">
        <f>IF('Part III-Sources of Funds'!$N$38="", 0,-'Part III-Sources of Funds'!$N$38)</f>
        <v>0</v>
      </c>
      <c r="N24" s="3223"/>
      <c r="O24" s="3224"/>
      <c r="Q24" s="1040">
        <v>6</v>
      </c>
      <c r="R24" s="1197">
        <f>-SUM($B$29:$G$29)</f>
        <v>182040</v>
      </c>
      <c r="S24" s="1197">
        <f>SUM($B$30:$G$30)+R24</f>
        <v>430583.70648424554</v>
      </c>
    </row>
    <row r="25" spans="1:19" ht="13.35" customHeight="1">
      <c r="A25" s="435" t="s">
        <v>1605</v>
      </c>
      <c r="B25" s="3232">
        <f>IF('Part III-Sources of Funds'!$N$39="", 0,-'Part III-Sources of Funds'!$N$39)</f>
        <v>0</v>
      </c>
      <c r="C25" s="3232">
        <f>IF('Part III-Sources of Funds'!$N$39="", 0,-'Part III-Sources of Funds'!$N$39)</f>
        <v>0</v>
      </c>
      <c r="D25" s="3232">
        <f>IF('Part III-Sources of Funds'!$N$39="", 0,-'Part III-Sources of Funds'!$N$39)</f>
        <v>0</v>
      </c>
      <c r="E25" s="3232">
        <f>IF('Part III-Sources of Funds'!$N$39="", 0,-'Part III-Sources of Funds'!$N$39)</f>
        <v>0</v>
      </c>
      <c r="F25" s="3232">
        <f>IF('Part III-Sources of Funds'!$N$39="", 0,-'Part III-Sources of Funds'!$N$39)</f>
        <v>0</v>
      </c>
      <c r="G25" s="3232">
        <f>IF('Part III-Sources of Funds'!$N$39="", 0,-'Part III-Sources of Funds'!$N$39)</f>
        <v>0</v>
      </c>
      <c r="H25" s="3232">
        <f>IF('Part III-Sources of Funds'!$N$39="", 0,-'Part III-Sources of Funds'!$N$39)</f>
        <v>0</v>
      </c>
      <c r="I25" s="3232">
        <f>IF('Part III-Sources of Funds'!$N$39="", 0,-'Part III-Sources of Funds'!$N$39)</f>
        <v>0</v>
      </c>
      <c r="J25" s="3232">
        <f>IF('Part III-Sources of Funds'!$N$39="", 0,-'Part III-Sources of Funds'!$N$39)</f>
        <v>0</v>
      </c>
      <c r="K25" s="3232">
        <f>IF('Part III-Sources of Funds'!$N$39="", 0,-'Part III-Sources of Funds'!$N$39)</f>
        <v>0</v>
      </c>
      <c r="N25" s="3223"/>
      <c r="O25" s="3224"/>
      <c r="Q25" s="1040">
        <v>7</v>
      </c>
      <c r="R25" s="1197">
        <f>-SUM($B$29:$H$29)</f>
        <v>182040</v>
      </c>
      <c r="S25" s="1197">
        <f>SUM($B$30:$H$30)+R25</f>
        <v>495632.62357503141</v>
      </c>
    </row>
    <row r="26" spans="1:19" ht="13.35" customHeight="1">
      <c r="A26" s="435" t="s">
        <v>3880</v>
      </c>
      <c r="B26" s="3232">
        <f>IF('Part III-Sources of Funds'!$N$40="", 0,-'Part III-Sources of Funds'!$N$40)</f>
        <v>0</v>
      </c>
      <c r="C26" s="3232">
        <f>IF('Part III-Sources of Funds'!$N$40="", 0,-'Part III-Sources of Funds'!$N$40)</f>
        <v>0</v>
      </c>
      <c r="D26" s="3232">
        <f>IF('Part III-Sources of Funds'!$N$40="", 0,-'Part III-Sources of Funds'!$N$40)</f>
        <v>0</v>
      </c>
      <c r="E26" s="3232">
        <f>IF('Part III-Sources of Funds'!$N$40="", 0,-'Part III-Sources of Funds'!$N$40)</f>
        <v>0</v>
      </c>
      <c r="F26" s="3232">
        <f>IF('Part III-Sources of Funds'!$N$40="", 0,-'Part III-Sources of Funds'!$N$40)</f>
        <v>0</v>
      </c>
      <c r="G26" s="3232">
        <f>IF('Part III-Sources of Funds'!$N$40="", 0,-'Part III-Sources of Funds'!$N$40)</f>
        <v>0</v>
      </c>
      <c r="H26" s="3232">
        <f>IF('Part III-Sources of Funds'!$N$40="", 0,-'Part III-Sources of Funds'!$N$40)</f>
        <v>0</v>
      </c>
      <c r="I26" s="3232">
        <f>IF('Part III-Sources of Funds'!$N$40="", 0,-'Part III-Sources of Funds'!$N$40)</f>
        <v>0</v>
      </c>
      <c r="J26" s="3232">
        <f>IF('Part III-Sources of Funds'!$N$40="", 0,-'Part III-Sources of Funds'!$N$40)</f>
        <v>0</v>
      </c>
      <c r="K26" s="3232">
        <f>IF('Part III-Sources of Funds'!$N$40="", 0,-'Part III-Sources of Funds'!$N$40)</f>
        <v>0</v>
      </c>
      <c r="N26" s="3223"/>
      <c r="O26" s="3224"/>
      <c r="Q26" s="1040">
        <v>8</v>
      </c>
      <c r="R26" s="1197">
        <f>-SUM($B$29:$I$29)</f>
        <v>182040</v>
      </c>
      <c r="S26" s="1197">
        <f>SUM($B$30:$I$30)+R26</f>
        <v>558388.84733646584</v>
      </c>
    </row>
    <row r="27" spans="1:19" ht="13.35" customHeight="1">
      <c r="A27" s="22" t="s">
        <v>771</v>
      </c>
      <c r="B27" s="3233"/>
      <c r="C27" s="3233"/>
      <c r="D27" s="3233"/>
      <c r="E27" s="3233"/>
      <c r="F27" s="3233"/>
      <c r="G27" s="3233"/>
      <c r="H27" s="3233"/>
      <c r="I27" s="3233"/>
      <c r="J27" s="3233"/>
      <c r="K27" s="3233"/>
      <c r="N27" s="3223"/>
      <c r="O27" s="3224"/>
      <c r="Q27" s="1040">
        <v>9</v>
      </c>
      <c r="R27" s="1197">
        <f>-SUM($B$29:$J$29)</f>
        <v>182040</v>
      </c>
      <c r="S27" s="1197">
        <f>SUM($B$30:$J$30)+R27</f>
        <v>618697.7473518271</v>
      </c>
    </row>
    <row r="28" spans="1:19" ht="13.35" customHeight="1">
      <c r="A28" s="435" t="s">
        <v>1174</v>
      </c>
      <c r="B28" s="3234">
        <f>-$G$5</f>
        <v>-5000</v>
      </c>
      <c r="C28" s="3234">
        <f>B28*1.03</f>
        <v>-5150</v>
      </c>
      <c r="D28" s="3234">
        <f t="shared" ref="D28:K28" si="7">C28*1.03</f>
        <v>-5304.5</v>
      </c>
      <c r="E28" s="3234">
        <f t="shared" si="7"/>
        <v>-5463.6350000000002</v>
      </c>
      <c r="F28" s="3234">
        <f t="shared" si="7"/>
        <v>-5627.5440500000004</v>
      </c>
      <c r="G28" s="3234">
        <f t="shared" si="7"/>
        <v>-5796.3703715000001</v>
      </c>
      <c r="H28" s="3234">
        <f t="shared" si="7"/>
        <v>-5970.2614826449999</v>
      </c>
      <c r="I28" s="3234">
        <f t="shared" si="7"/>
        <v>-6149.3693271243501</v>
      </c>
      <c r="J28" s="3234">
        <f t="shared" si="7"/>
        <v>-6333.8504069380806</v>
      </c>
      <c r="K28" s="3234">
        <f t="shared" si="7"/>
        <v>-6523.865919146223</v>
      </c>
      <c r="N28" s="3223"/>
      <c r="O28" s="3224"/>
      <c r="Q28" s="1040">
        <v>10</v>
      </c>
      <c r="R28" s="1197">
        <f>-SUM($B$29:$K$29)</f>
        <v>182040</v>
      </c>
      <c r="S28" s="1197">
        <f>SUM($B$30:$K$30)+R28</f>
        <v>676400.16649955453</v>
      </c>
    </row>
    <row r="29" spans="1:19" ht="13.35" customHeight="1">
      <c r="A29" s="435" t="s">
        <v>4127</v>
      </c>
      <c r="B29" s="3235">
        <v>-75907</v>
      </c>
      <c r="C29" s="3235">
        <v>-74415</v>
      </c>
      <c r="D29" s="3235">
        <v>-31718</v>
      </c>
      <c r="E29" s="3235">
        <f>IF('Part III-Sources of Funds'!$N$42="", 0,-'Part III-Sources of Funds'!$N$42)</f>
        <v>0</v>
      </c>
      <c r="F29" s="3235">
        <f>IF('Part III-Sources of Funds'!$N$42="", 0,-'Part III-Sources of Funds'!$N$42)</f>
        <v>0</v>
      </c>
      <c r="G29" s="3235">
        <f>IF('Part III-Sources of Funds'!$N$42="", 0,-'Part III-Sources of Funds'!$N$42)</f>
        <v>0</v>
      </c>
      <c r="H29" s="3235">
        <f>IF('Part III-Sources of Funds'!$N$42="", 0,-'Part III-Sources of Funds'!$N$42)</f>
        <v>0</v>
      </c>
      <c r="I29" s="3235">
        <f>IF('Part III-Sources of Funds'!$N$42="", 0,-'Part III-Sources of Funds'!$N$42)</f>
        <v>0</v>
      </c>
      <c r="J29" s="3235">
        <f>IF('Part III-Sources of Funds'!$N$42="", 0,-'Part III-Sources of Funds'!$N$42)</f>
        <v>0</v>
      </c>
      <c r="K29" s="3235">
        <f>IF('Part III-Sources of Funds'!$N$42="", 0,-'Part III-Sources of Funds'!$N$42)</f>
        <v>0</v>
      </c>
      <c r="N29" s="3223"/>
      <c r="O29" s="3224"/>
      <c r="Q29" s="1040">
        <v>11</v>
      </c>
      <c r="R29" s="1197">
        <f>-SUM($B$29:$K$29)-$B$59</f>
        <v>182040</v>
      </c>
      <c r="S29" s="1197">
        <f>SUM($B$30:$K$30)+$B$60+R29</f>
        <v>731329.22119625728</v>
      </c>
    </row>
    <row r="30" spans="1:19" ht="13.35" customHeight="1">
      <c r="A30" s="22" t="s">
        <v>1175</v>
      </c>
      <c r="B30" s="23">
        <f>SUM(B22:B29)</f>
        <v>-0.24799999996321276</v>
      </c>
      <c r="C30" s="23">
        <f t="shared" ref="C30:K30" si="8">SUM(C22:C29)</f>
        <v>0.17704000000958331</v>
      </c>
      <c r="D30" s="23">
        <f t="shared" si="8"/>
        <v>41085.285280800003</v>
      </c>
      <c r="E30" s="23">
        <f t="shared" si="8"/>
        <v>71065.619627415945</v>
      </c>
      <c r="F30" s="23">
        <f t="shared" si="8"/>
        <v>69198.55912019439</v>
      </c>
      <c r="G30" s="23">
        <f t="shared" si="8"/>
        <v>67194.313415835146</v>
      </c>
      <c r="H30" s="23">
        <f t="shared" si="8"/>
        <v>65048.917090785864</v>
      </c>
      <c r="I30" s="23">
        <f t="shared" si="8"/>
        <v>62756.223761434449</v>
      </c>
      <c r="J30" s="23">
        <f t="shared" si="8"/>
        <v>60308.900015361265</v>
      </c>
      <c r="K30" s="23">
        <f t="shared" si="8"/>
        <v>57702.419147727414</v>
      </c>
      <c r="N30" s="3223"/>
      <c r="O30" s="3224"/>
      <c r="Q30" s="1040">
        <v>12</v>
      </c>
      <c r="R30" s="1197">
        <f>-SUM($B$29:$K$29) - SUM($B$59:$C$59)</f>
        <v>182040</v>
      </c>
      <c r="S30" s="1197">
        <f>SUM($B$30:$K$30) + SUM($B$60:$C$60)+R30</f>
        <v>783312.0949678953</v>
      </c>
    </row>
    <row r="31" spans="1:19" ht="13.3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3223"/>
      <c r="O31" s="3224"/>
      <c r="Q31" s="1040">
        <v>13</v>
      </c>
      <c r="R31" s="1197">
        <f>-SUM($B$29:$K$29) - SUM($B$59:$D$59)</f>
        <v>182040</v>
      </c>
      <c r="S31" s="1197">
        <f>SUM($B$30:$K$30) + SUM($B$60:$D$60)+R31</f>
        <v>832168.82513539772</v>
      </c>
    </row>
    <row r="32" spans="1:19" ht="13.3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23"/>
      <c r="O32" s="3224"/>
      <c r="Q32" s="1040">
        <v>14</v>
      </c>
      <c r="R32" s="1197">
        <f>-SUM($B$29:$K$29) - SUM($B$59:$E$59)</f>
        <v>182040</v>
      </c>
      <c r="S32" s="1197">
        <f>SUM($B$30:$K$30) + SUM($B$60:$E$60)+R32</f>
        <v>877711.08239429444</v>
      </c>
    </row>
    <row r="33" spans="1:19" ht="13.3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23"/>
      <c r="O33" s="3224"/>
      <c r="Q33" s="1040">
        <v>15</v>
      </c>
      <c r="R33" s="1197">
        <f>-SUM($B$29:$K$29) - SUM($B$59:$F$59)</f>
        <v>182040</v>
      </c>
      <c r="S33" s="1197">
        <f>SUM($B$30:$K$30) + SUM($B$60:$F$60)+R33</f>
        <v>919743.94306105492</v>
      </c>
    </row>
    <row r="34" spans="1:19" ht="13.3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23"/>
      <c r="O34" s="3224"/>
      <c r="Q34" s="63">
        <v>16</v>
      </c>
      <c r="R34" s="1197">
        <f>-SUM($B$29:$K$29) - SUM($B$59:$G$59)</f>
        <v>182040</v>
      </c>
      <c r="S34" s="1197">
        <f>SUM($B$30:$K$30) + SUM($B$60:$G$60)+R34</f>
        <v>958291.54221044481</v>
      </c>
    </row>
    <row r="35" spans="1:19" ht="13.35" customHeight="1">
      <c r="A35" s="435" t="s">
        <v>3738</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3223"/>
      <c r="O35" s="3224"/>
      <c r="Q35" s="63">
        <v>17</v>
      </c>
      <c r="R35" s="1197">
        <f>-SUM($B$29:$K$29) - SUM($B$59:$H$59)</f>
        <v>182040</v>
      </c>
      <c r="S35" s="1197">
        <f>SUM($B$30:$K$30) + SUM($B$60:$H$60)+R35</f>
        <v>993149.86028102133</v>
      </c>
    </row>
    <row r="36" spans="1:19" ht="13.35" customHeight="1">
      <c r="A36" s="22" t="s">
        <v>778</v>
      </c>
      <c r="B36" s="274">
        <f t="shared" ref="B36:K36" si="14">IF(OR(B20="Choose mgt fee",B20="Choose One!"),"",(B14+B15+B16+B17+B18) / -(B19+B20+B21))</f>
        <v>1.2733419326938995</v>
      </c>
      <c r="C36" s="274">
        <f t="shared" si="14"/>
        <v>1.2609802168809165</v>
      </c>
      <c r="D36" s="274">
        <f t="shared" si="14"/>
        <v>1.2487377302700415</v>
      </c>
      <c r="E36" s="274">
        <f t="shared" si="14"/>
        <v>1.2366120748459484</v>
      </c>
      <c r="F36" s="274">
        <f t="shared" si="14"/>
        <v>1.2246084849789818</v>
      </c>
      <c r="G36" s="274">
        <f t="shared" si="14"/>
        <v>1.2127171737256921</v>
      </c>
      <c r="H36" s="274">
        <f t="shared" si="14"/>
        <v>1.2009433225220283</v>
      </c>
      <c r="I36" s="274">
        <f t="shared" si="14"/>
        <v>1.1892847240478255</v>
      </c>
      <c r="J36" s="274">
        <f t="shared" si="14"/>
        <v>1.1777362601578878</v>
      </c>
      <c r="K36" s="275">
        <f t="shared" si="14"/>
        <v>1.1663025617206659</v>
      </c>
      <c r="N36" s="3223"/>
      <c r="O36" s="3224"/>
      <c r="Q36" s="63">
        <v>18</v>
      </c>
      <c r="R36" s="1197">
        <f>-SUM($B$29:$K$29) - SUM($B$59:$I$59)</f>
        <v>182040</v>
      </c>
      <c r="S36" s="1197">
        <f>SUM($B$30:$K$30) + SUM($B$60:$I$60)+R36</f>
        <v>1024106.7578901798</v>
      </c>
    </row>
    <row r="37" spans="1:19" ht="13.35" customHeight="1">
      <c r="A37" s="435" t="s">
        <v>2634</v>
      </c>
      <c r="B37" s="3236" t="str">
        <f>IF('Part III-Sources of Funds'!$I$37="","",-FV('Part III-Sources of Funds'!$K$37/12,12,B23/12,'Part III-Sources of Funds'!$I$37))</f>
        <v/>
      </c>
      <c r="C37" s="3236" t="str">
        <f>IF('Part III-Sources of Funds'!$I$37="","",-FV('Part III-Sources of Funds'!$K$37/12,12,C23/12,B37))</f>
        <v/>
      </c>
      <c r="D37" s="3236" t="str">
        <f>IF('Part III-Sources of Funds'!$I$37="","",-FV('Part III-Sources of Funds'!$K$37/12,12,D23/12,C37))</f>
        <v/>
      </c>
      <c r="E37" s="3236" t="str">
        <f>IF('Part III-Sources of Funds'!$I$37="","",-FV('Part III-Sources of Funds'!$K$37/12,12,E23/12,D37))</f>
        <v/>
      </c>
      <c r="F37" s="3236" t="str">
        <f>IF('Part III-Sources of Funds'!$I$37="","",-FV('Part III-Sources of Funds'!$K$37/12,12,F23/12,E37))</f>
        <v/>
      </c>
      <c r="G37" s="3236" t="str">
        <f>IF('Part III-Sources of Funds'!$I$37="","",-FV('Part III-Sources of Funds'!$K$37/12,12,G23/12,F37))</f>
        <v/>
      </c>
      <c r="H37" s="3236" t="str">
        <f>IF('Part III-Sources of Funds'!$I$37="","",-FV('Part III-Sources of Funds'!$K$37/12,12,H23/12,G37))</f>
        <v/>
      </c>
      <c r="I37" s="3236" t="str">
        <f>IF('Part III-Sources of Funds'!$I$37="","",-FV('Part III-Sources of Funds'!$K$37/12,12,I23/12,H37))</f>
        <v/>
      </c>
      <c r="J37" s="3236" t="str">
        <f>IF('Part III-Sources of Funds'!$I$37="","",-FV('Part III-Sources of Funds'!$K$37/12,12,J23/12,I37))</f>
        <v/>
      </c>
      <c r="K37" s="3236" t="str">
        <f>IF('Part III-Sources of Funds'!$I$37="","",-FV('Part III-Sources of Funds'!$K$37/12,12,K23/12,J37))</f>
        <v/>
      </c>
      <c r="N37" s="3223"/>
      <c r="O37" s="3224"/>
      <c r="Q37" s="1040">
        <v>19</v>
      </c>
      <c r="R37" s="1197">
        <f>-SUM($B$29:$K$29) - SUM($B$59:$J$59)</f>
        <v>182040</v>
      </c>
      <c r="S37" s="1197">
        <f>SUM($B$30:$K$30) + SUM($B$60:$J$60)+R37</f>
        <v>1050941.7224548319</v>
      </c>
    </row>
    <row r="38" spans="1:19" ht="13.35" customHeight="1">
      <c r="A38" s="435" t="s">
        <v>2635</v>
      </c>
      <c r="B38" s="3232" t="str">
        <f>IF('Part III-Sources of Funds'!$I$38="","",-FV('Part III-Sources of Funds'!$K$38/12,12,B24/12,'Part III-Sources of Funds'!$I$38))</f>
        <v/>
      </c>
      <c r="C38" s="3232" t="str">
        <f>IF('Part III-Sources of Funds'!$I$38="","",-FV('Part III-Sources of Funds'!$K$38/12,12,C24/12,B38))</f>
        <v/>
      </c>
      <c r="D38" s="3232" t="str">
        <f>IF('Part III-Sources of Funds'!$I$38="","",-FV('Part III-Sources of Funds'!$K$38/12,12,D24/12,C38))</f>
        <v/>
      </c>
      <c r="E38" s="3232" t="str">
        <f>IF('Part III-Sources of Funds'!$I$38="","",-FV('Part III-Sources of Funds'!$K$38/12,12,E24/12,D38))</f>
        <v/>
      </c>
      <c r="F38" s="3232" t="str">
        <f>IF('Part III-Sources of Funds'!$I$38="","",-FV('Part III-Sources of Funds'!$K$38/12,12,F24/12,E38))</f>
        <v/>
      </c>
      <c r="G38" s="3232" t="str">
        <f>IF('Part III-Sources of Funds'!$I$38="","",-FV('Part III-Sources of Funds'!$K$38/12,12,G24/12,F38))</f>
        <v/>
      </c>
      <c r="H38" s="3232" t="str">
        <f>IF('Part III-Sources of Funds'!$I$38="","",-FV('Part III-Sources of Funds'!$K$38/12,12,H24/12,G38))</f>
        <v/>
      </c>
      <c r="I38" s="3232" t="str">
        <f>IF('Part III-Sources of Funds'!$I$38="","",-FV('Part III-Sources of Funds'!$K$38/12,12,I24/12,H38))</f>
        <v/>
      </c>
      <c r="J38" s="3232" t="str">
        <f>IF('Part III-Sources of Funds'!$I$38="","",-FV('Part III-Sources of Funds'!$K$38/12,12,J24/12,I38))</f>
        <v/>
      </c>
      <c r="K38" s="3232" t="str">
        <f>IF('Part III-Sources of Funds'!$I$38="","",-FV('Part III-Sources of Funds'!$K$38/12,12,K24/12,J38))</f>
        <v/>
      </c>
      <c r="N38" s="3223"/>
      <c r="O38" s="3224"/>
      <c r="Q38" s="1040">
        <v>20</v>
      </c>
      <c r="R38" s="1197">
        <f>-SUM($B$29:$K$29) - SUM($B$59:$K$59)</f>
        <v>182040</v>
      </c>
      <c r="S38" s="1197">
        <f>SUM($B$30:$K$30) + SUM($B$60:$K$60)+R38</f>
        <v>1073425.6064150124</v>
      </c>
    </row>
    <row r="39" spans="1:19" ht="13.35" customHeight="1">
      <c r="A39" s="435" t="s">
        <v>2636</v>
      </c>
      <c r="B39" s="3232" t="str">
        <f>IF('Part III-Sources of Funds'!$I$39="","",-FV('Part III-Sources of Funds'!$K$39/12,12,B25/12,'Part III-Sources of Funds'!$I$39))</f>
        <v/>
      </c>
      <c r="C39" s="3232" t="str">
        <f>IF('Part III-Sources of Funds'!$I$39="","",-FV('Part III-Sources of Funds'!$K$39/12,12,C25/12,B39))</f>
        <v/>
      </c>
      <c r="D39" s="3232" t="str">
        <f>IF('Part III-Sources of Funds'!$I$39="","",-FV('Part III-Sources of Funds'!$K$39/12,12,D25/12,C39))</f>
        <v/>
      </c>
      <c r="E39" s="3232" t="str">
        <f>IF('Part III-Sources of Funds'!$I$39="","",-FV('Part III-Sources of Funds'!$K$39/12,12,E25/12,D39))</f>
        <v/>
      </c>
      <c r="F39" s="3232" t="str">
        <f>IF('Part III-Sources of Funds'!$I$39="","",-FV('Part III-Sources of Funds'!$K$39/12,12,F25/12,E39))</f>
        <v/>
      </c>
      <c r="G39" s="3232" t="str">
        <f>IF('Part III-Sources of Funds'!$I$39="","",-FV('Part III-Sources of Funds'!$K$39/12,12,G25/12,F39))</f>
        <v/>
      </c>
      <c r="H39" s="3232" t="str">
        <f>IF('Part III-Sources of Funds'!$I$39="","",-FV('Part III-Sources of Funds'!$K$39/12,12,H25/12,G39))</f>
        <v/>
      </c>
      <c r="I39" s="3232" t="str">
        <f>IF('Part III-Sources of Funds'!$I$39="","",-FV('Part III-Sources of Funds'!$K$39/12,12,I25/12,H39))</f>
        <v/>
      </c>
      <c r="J39" s="3232" t="str">
        <f>IF('Part III-Sources of Funds'!$I$39="","",-FV('Part III-Sources of Funds'!$K$39/12,12,J25/12,I39))</f>
        <v/>
      </c>
      <c r="K39" s="3232" t="str">
        <f>IF('Part III-Sources of Funds'!$I$39="","",-FV('Part III-Sources of Funds'!$K$39/12,12,K25/12,J39))</f>
        <v/>
      </c>
      <c r="N39" s="3223"/>
      <c r="O39" s="3224"/>
    </row>
    <row r="40" spans="1:19" ht="13.35" customHeight="1">
      <c r="A40" s="22" t="s">
        <v>792</v>
      </c>
      <c r="B40" s="3232" t="str">
        <f>IF('Part III-Sources of Funds'!$I$40="","",-FV('Part III-Sources of Funds'!$K$40/12,12,B26/12,'Part III-Sources of Funds'!$I$40))</f>
        <v/>
      </c>
      <c r="C40" s="3232" t="str">
        <f>IF('Part III-Sources of Funds'!$I$40="","",-FV('Part III-Sources of Funds'!$K$40/12,12,C26/12,B40))</f>
        <v/>
      </c>
      <c r="D40" s="3232" t="str">
        <f>IF('Part III-Sources of Funds'!$I$40="","",-FV('Part III-Sources of Funds'!$K$40/12,12,D26/12,C40))</f>
        <v/>
      </c>
      <c r="E40" s="3232" t="str">
        <f>IF('Part III-Sources of Funds'!$I$40="","",-FV('Part III-Sources of Funds'!$K$40/12,12,E26/12,D40))</f>
        <v/>
      </c>
      <c r="F40" s="3232" t="str">
        <f>IF('Part III-Sources of Funds'!$I$40="","",-FV('Part III-Sources of Funds'!$K$40/12,12,F26/12,E40))</f>
        <v/>
      </c>
      <c r="G40" s="3232" t="str">
        <f>IF('Part III-Sources of Funds'!$I$40="","",-FV('Part III-Sources of Funds'!$K$40/12,12,G26/12,F40))</f>
        <v/>
      </c>
      <c r="H40" s="3232" t="str">
        <f>IF('Part III-Sources of Funds'!$I$40="","",-FV('Part III-Sources of Funds'!$K$40/12,12,H26/12,G40))</f>
        <v/>
      </c>
      <c r="I40" s="3232" t="str">
        <f>IF('Part III-Sources of Funds'!$I$40="","",-FV('Part III-Sources of Funds'!$K$40/12,12,I26/12,H40))</f>
        <v/>
      </c>
      <c r="J40" s="3232" t="str">
        <f>IF('Part III-Sources of Funds'!$I$40="","",-FV('Part III-Sources of Funds'!$K$40/12,12,J26/12,I40))</f>
        <v/>
      </c>
      <c r="K40" s="3232" t="str">
        <f>IF('Part III-Sources of Funds'!$I$40="","",-FV('Part III-Sources of Funds'!$K$40/12,12,K26/12,J40))</f>
        <v/>
      </c>
      <c r="N40" s="3223"/>
      <c r="O40" s="3224"/>
    </row>
    <row r="41" spans="1:19" ht="13.35" customHeight="1">
      <c r="A41" s="435" t="s">
        <v>4128</v>
      </c>
      <c r="B41" s="3235">
        <f>IF('Part III-Sources of Funds'!$I$42="","",-FV('Part III-Sources of Funds'!$K$42/12,12,B29/12,'Part III-Sources of Funds'!$I$42))</f>
        <v>106133</v>
      </c>
      <c r="C41" s="3235">
        <f>IF('Part III-Sources of Funds'!$I$42="","",IF(-FV('Part III-Sources of Funds'!$K$42/12,12,C29/12,B41)&gt;0,-FV('Part III-Sources of Funds'!$K$42/12,12,C29/12,B41),0))</f>
        <v>31718</v>
      </c>
      <c r="D41" s="3235">
        <f>IF('Part III-Sources of Funds'!$I$42="","",IF(-FV('Part III-Sources of Funds'!$K$42/12,12,D29/12,C41)&gt;0,-FV('Part III-Sources of Funds'!$K$42/12,12,D29/12,C41),0))</f>
        <v>0</v>
      </c>
      <c r="E41" s="3235">
        <f>IF('Part III-Sources of Funds'!$I$42="","",IF(-FV('Part III-Sources of Funds'!$K$42/12,12,E29/12,D41)&gt;0,-FV('Part III-Sources of Funds'!$K$42/12,12,E29/12,D41),0))</f>
        <v>0</v>
      </c>
      <c r="F41" s="3235">
        <f>IF('Part III-Sources of Funds'!$I$42="","",IF(-FV('Part III-Sources of Funds'!$K$42/12,12,F29/12,E41)&gt;0,-FV('Part III-Sources of Funds'!$K$42/12,12,F29/12,E41),0))</f>
        <v>0</v>
      </c>
      <c r="G41" s="3235">
        <f>IF('Part III-Sources of Funds'!$I$42="","",IF(-FV('Part III-Sources of Funds'!$K$42/12,12,G29/12,F41)&gt;0,-FV('Part III-Sources of Funds'!$K$42/12,12,G29/12,F41),0))</f>
        <v>0</v>
      </c>
      <c r="H41" s="3235">
        <f>IF('Part III-Sources of Funds'!$I$42="","",IF(-FV('Part III-Sources of Funds'!$K$42/12,12,H29/12,G41)&gt;0,-FV('Part III-Sources of Funds'!$K$42/12,12,H29/12,G41),0))</f>
        <v>0</v>
      </c>
      <c r="I41" s="3235">
        <f>IF('Part III-Sources of Funds'!$I$42="","",IF(-FV('Part III-Sources of Funds'!$K$42/12,12,I29/12,H41)&gt;0,-FV('Part III-Sources of Funds'!$K$42/12,12,I29/12,H41),0))</f>
        <v>0</v>
      </c>
      <c r="J41" s="3235">
        <f>IF('Part III-Sources of Funds'!$I$42="","",IF(-FV('Part III-Sources of Funds'!$K$42/12,12,J29/12,I41)&gt;0,-FV('Part III-Sources of Funds'!$K$42/12,12,J29/12,I41),0))</f>
        <v>0</v>
      </c>
      <c r="K41" s="3235">
        <f>IF('Part III-Sources of Funds'!$I$42="","",IF(-FV('Part III-Sources of Funds'!$K$42/12,12,K29/12,J41)&gt;0,-FV('Part III-Sources of Funds'!$K$42/12,12,K29/12,J41),0))</f>
        <v>0</v>
      </c>
      <c r="N41" s="3229"/>
      <c r="O41" s="3230"/>
    </row>
    <row r="42" spans="1:19" ht="4.3499999999999996"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35" customHeight="1">
      <c r="A44" s="19" t="s">
        <v>2420</v>
      </c>
      <c r="B44" s="20">
        <f t="shared" ref="B44:K44" si="16">$B$14*(1+$B$5)^(B43-1)</f>
        <v>484330.86295231688</v>
      </c>
      <c r="C44" s="20">
        <f t="shared" si="16"/>
        <v>494017.48021136312</v>
      </c>
      <c r="D44" s="20">
        <f t="shared" si="16"/>
        <v>503897.82981559046</v>
      </c>
      <c r="E44" s="20">
        <f t="shared" si="16"/>
        <v>513975.78641190229</v>
      </c>
      <c r="F44" s="20">
        <f t="shared" si="16"/>
        <v>524255.30214014038</v>
      </c>
      <c r="G44" s="20">
        <f t="shared" si="16"/>
        <v>534740.40818294301</v>
      </c>
      <c r="H44" s="20">
        <f t="shared" si="16"/>
        <v>545435.21634660196</v>
      </c>
      <c r="I44" s="20">
        <f t="shared" si="16"/>
        <v>556343.92067353404</v>
      </c>
      <c r="J44" s="20">
        <f t="shared" si="16"/>
        <v>567470.79908700462</v>
      </c>
      <c r="K44" s="21">
        <f t="shared" si="16"/>
        <v>578820.21506874473</v>
      </c>
      <c r="N44" s="3221"/>
      <c r="O44" s="3222"/>
    </row>
    <row r="45" spans="1:19" ht="13.35" customHeight="1">
      <c r="A45" s="22" t="s">
        <v>1026</v>
      </c>
      <c r="B45" s="23">
        <f t="shared" ref="B45:K45" si="17">$B$15*(1+$B$5)^(B43-1)</f>
        <v>9686.6172590463393</v>
      </c>
      <c r="C45" s="23">
        <f t="shared" si="17"/>
        <v>9880.3496042272636</v>
      </c>
      <c r="D45" s="23">
        <f t="shared" si="17"/>
        <v>10077.956596311811</v>
      </c>
      <c r="E45" s="23">
        <f t="shared" si="17"/>
        <v>10279.515728238046</v>
      </c>
      <c r="F45" s="23">
        <f t="shared" si="17"/>
        <v>10485.106042802809</v>
      </c>
      <c r="G45" s="23">
        <f t="shared" si="17"/>
        <v>10694.808163658861</v>
      </c>
      <c r="H45" s="23">
        <f t="shared" si="17"/>
        <v>10908.70432693204</v>
      </c>
      <c r="I45" s="23">
        <f t="shared" si="17"/>
        <v>11126.878413470682</v>
      </c>
      <c r="J45" s="23">
        <f t="shared" si="17"/>
        <v>11349.415981740094</v>
      </c>
      <c r="K45" s="24">
        <f t="shared" si="17"/>
        <v>11576.404301374896</v>
      </c>
      <c r="N45" s="3223"/>
      <c r="O45" s="3224"/>
    </row>
    <row r="46" spans="1:19" ht="13.35" customHeight="1">
      <c r="A46" s="22" t="s">
        <v>2421</v>
      </c>
      <c r="B46" s="23">
        <f t="shared" ref="B46:K46" si="18">-(B44+B45)*$B$8</f>
        <v>-34581.223614795432</v>
      </c>
      <c r="C46" s="23">
        <f t="shared" si="18"/>
        <v>-35272.848087091334</v>
      </c>
      <c r="D46" s="23">
        <f t="shared" si="18"/>
        <v>-35978.305048833165</v>
      </c>
      <c r="E46" s="23">
        <f t="shared" si="18"/>
        <v>-36697.871149809827</v>
      </c>
      <c r="F46" s="23">
        <f t="shared" si="18"/>
        <v>-37431.828572806029</v>
      </c>
      <c r="G46" s="23">
        <f t="shared" si="18"/>
        <v>-38180.465144262133</v>
      </c>
      <c r="H46" s="23">
        <f t="shared" si="18"/>
        <v>-38944.074447147388</v>
      </c>
      <c r="I46" s="23">
        <f t="shared" si="18"/>
        <v>-39722.955936090337</v>
      </c>
      <c r="J46" s="23">
        <f t="shared" si="18"/>
        <v>-40517.415054812132</v>
      </c>
      <c r="K46" s="24">
        <f t="shared" si="18"/>
        <v>-41327.763355908377</v>
      </c>
      <c r="N46" s="3223"/>
      <c r="O46" s="3224"/>
    </row>
    <row r="47" spans="1:19" ht="13.3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3"/>
      <c r="O47" s="3224"/>
    </row>
    <row r="48" spans="1:19" ht="13.3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3"/>
      <c r="O48" s="3224"/>
    </row>
    <row r="49" spans="1:18" ht="13.35" customHeight="1">
      <c r="A49" s="22" t="s">
        <v>620</v>
      </c>
      <c r="B49" s="23">
        <f t="shared" ref="B49:K49" si="19">$B$19*(1+$B$6)^(B43-1)</f>
        <v>-342122.13660601241</v>
      </c>
      <c r="C49" s="23">
        <f t="shared" si="19"/>
        <v>-352385.80070419284</v>
      </c>
      <c r="D49" s="23">
        <f t="shared" si="19"/>
        <v>-362957.37472531851</v>
      </c>
      <c r="E49" s="23">
        <f t="shared" si="19"/>
        <v>-373846.09596707806</v>
      </c>
      <c r="F49" s="23">
        <f t="shared" si="19"/>
        <v>-385061.47884609044</v>
      </c>
      <c r="G49" s="23">
        <f t="shared" si="19"/>
        <v>-396613.32321147318</v>
      </c>
      <c r="H49" s="23">
        <f t="shared" si="19"/>
        <v>-408511.72290781734</v>
      </c>
      <c r="I49" s="23">
        <f t="shared" si="19"/>
        <v>-420767.07459505182</v>
      </c>
      <c r="J49" s="23">
        <f t="shared" si="19"/>
        <v>-433390.08683290338</v>
      </c>
      <c r="K49" s="24">
        <f t="shared" si="19"/>
        <v>-446391.78943789052</v>
      </c>
      <c r="N49" s="3223"/>
      <c r="O49" s="3224"/>
    </row>
    <row r="50" spans="1:18" ht="13.35" customHeight="1">
      <c r="A50" s="22" t="s">
        <v>1125</v>
      </c>
      <c r="B50" s="23">
        <f>IF(AND('Part VII-Pro Forma'!$G$8="Yes",'Part VII-Pro Forma'!$G$9="Yes"),"Choose One!",IF('Part VII-Pro Forma'!$G$8="Yes",ROUND((-$K$8*(1+'Part VII-Pro Forma'!$B$6)^('Part VII-Pro Forma'!B43-1)),),IF('Part VII-Pro Forma'!$G$9="Yes",ROUND((-(SUM(B44:B47)*'Part VII-Pro Forma'!$K$9)),),"Choose mgt fee")))</f>
        <v>-32577</v>
      </c>
      <c r="C50" s="23">
        <f>IF(AND('Part VII-Pro Forma'!$G$8="Yes",'Part VII-Pro Forma'!$G$9="Yes"),"Choose One!",IF('Part VII-Pro Forma'!$G$8="Yes",ROUND((-$K$8*(1+'Part VII-Pro Forma'!$B$6)^('Part VII-Pro Forma'!C43-1)),),IF('Part VII-Pro Forma'!$G$9="Yes",ROUND((-(SUM(C44:C47)*'Part VII-Pro Forma'!$K$9)),),"Choose mgt fee")))</f>
        <v>-33554</v>
      </c>
      <c r="D50" s="23">
        <f>IF(AND('Part VII-Pro Forma'!$G$8="Yes",'Part VII-Pro Forma'!$G$9="Yes"),"Choose One!",IF('Part VII-Pro Forma'!$G$8="Yes",ROUND((-$K$8*(1+'Part VII-Pro Forma'!$B$6)^('Part VII-Pro Forma'!D43-1)),),IF('Part VII-Pro Forma'!$G$9="Yes",ROUND((-(SUM(D44:D47)*'Part VII-Pro Forma'!$K$9)),),"Choose mgt fee")))</f>
        <v>-34560</v>
      </c>
      <c r="E50" s="23">
        <f>IF(AND('Part VII-Pro Forma'!$G$8="Yes",'Part VII-Pro Forma'!$G$9="Yes"),"Choose One!",IF('Part VII-Pro Forma'!$G$8="Yes",ROUND((-$K$8*(1+'Part VII-Pro Forma'!$B$6)^('Part VII-Pro Forma'!E43-1)),),IF('Part VII-Pro Forma'!$G$9="Yes",ROUND((-(SUM(E44:E47)*'Part VII-Pro Forma'!$K$9)),),"Choose mgt fee")))</f>
        <v>-35597</v>
      </c>
      <c r="F50" s="23">
        <f>IF(AND('Part VII-Pro Forma'!$G$8="Yes",'Part VII-Pro Forma'!$G$9="Yes"),"Choose One!",IF('Part VII-Pro Forma'!$G$8="Yes",ROUND((-$K$8*(1+'Part VII-Pro Forma'!$B$6)^('Part VII-Pro Forma'!F43-1)),),IF('Part VII-Pro Forma'!$G$9="Yes",ROUND((-(SUM(F44:F47)*'Part VII-Pro Forma'!$K$9)),),"Choose mgt fee")))</f>
        <v>-36665</v>
      </c>
      <c r="G50" s="23">
        <f>IF(AND('Part VII-Pro Forma'!$G$8="Yes",'Part VII-Pro Forma'!$G$9="Yes"),"Choose One!",IF('Part VII-Pro Forma'!$G$8="Yes",ROUND((-$K$8*(1+'Part VII-Pro Forma'!$B$6)^('Part VII-Pro Forma'!G43-1)),),IF('Part VII-Pro Forma'!$G$9="Yes",ROUND((-(SUM(G44:G47)*'Part VII-Pro Forma'!$K$9)),),"Choose mgt fee")))</f>
        <v>-37765</v>
      </c>
      <c r="H50" s="23">
        <f>IF(AND('Part VII-Pro Forma'!$G$8="Yes",'Part VII-Pro Forma'!$G$9="Yes"),"Choose One!",IF('Part VII-Pro Forma'!$G$8="Yes",ROUND((-$K$8*(1+'Part VII-Pro Forma'!$B$6)^('Part VII-Pro Forma'!H43-1)),),IF('Part VII-Pro Forma'!$G$9="Yes",ROUND((-(SUM(H44:H47)*'Part VII-Pro Forma'!$K$9)),),"Choose mgt fee")))</f>
        <v>-38898</v>
      </c>
      <c r="I50" s="23">
        <f>IF(AND('Part VII-Pro Forma'!$G$8="Yes",'Part VII-Pro Forma'!$G$9="Yes"),"Choose One!",IF('Part VII-Pro Forma'!$G$8="Yes",ROUND((-$K$8*(1+'Part VII-Pro Forma'!$B$6)^('Part VII-Pro Forma'!I43-1)),),IF('Part VII-Pro Forma'!$G$9="Yes",ROUND((-(SUM(I44:I47)*'Part VII-Pro Forma'!$K$9)),),"Choose mgt fee")))</f>
        <v>-40065</v>
      </c>
      <c r="J50" s="23">
        <f>IF(AND('Part VII-Pro Forma'!$G$8="Yes",'Part VII-Pro Forma'!$G$9="Yes"),"Choose One!",IF('Part VII-Pro Forma'!$G$8="Yes",ROUND((-$K$8*(1+'Part VII-Pro Forma'!$B$6)^('Part VII-Pro Forma'!J43-1)),),IF('Part VII-Pro Forma'!$G$9="Yes",ROUND((-(SUM(J44:J47)*'Part VII-Pro Forma'!$K$9)),),"Choose mgt fee")))</f>
        <v>-41267</v>
      </c>
      <c r="K50" s="23">
        <f>IF(AND('Part VII-Pro Forma'!$G$8="Yes",'Part VII-Pro Forma'!$G$9="Yes"),"Choose One!",IF('Part VII-Pro Forma'!$G$8="Yes",ROUND((-$K$8*(1+'Part VII-Pro Forma'!$B$6)^('Part VII-Pro Forma'!K43-1)),),IF('Part VII-Pro Forma'!$G$9="Yes",ROUND((-(SUM(K44:K47)*'Part VII-Pro Forma'!$K$9)),),"Choose mgt fee")))</f>
        <v>-42505</v>
      </c>
      <c r="N50" s="3223"/>
      <c r="O50" s="3224"/>
    </row>
    <row r="51" spans="1:18" ht="13.35" customHeight="1">
      <c r="A51" s="22" t="s">
        <v>1214</v>
      </c>
      <c r="B51" s="23">
        <f t="shared" ref="B51:K51" si="20">$B$21*(1+$B$7)^(B43-1)</f>
        <v>-23088.483397132011</v>
      </c>
      <c r="C51" s="23">
        <f t="shared" si="20"/>
        <v>-23781.137899045974</v>
      </c>
      <c r="D51" s="23">
        <f t="shared" si="20"/>
        <v>-24494.572036017347</v>
      </c>
      <c r="E51" s="23">
        <f t="shared" si="20"/>
        <v>-25229.40919709787</v>
      </c>
      <c r="F51" s="23">
        <f t="shared" si="20"/>
        <v>-25986.291473010806</v>
      </c>
      <c r="G51" s="23">
        <f t="shared" si="20"/>
        <v>-26765.880217201135</v>
      </c>
      <c r="H51" s="23">
        <f t="shared" si="20"/>
        <v>-27568.856623717162</v>
      </c>
      <c r="I51" s="23">
        <f t="shared" si="20"/>
        <v>-28395.922322428676</v>
      </c>
      <c r="J51" s="23">
        <f t="shared" si="20"/>
        <v>-29247.799992101536</v>
      </c>
      <c r="K51" s="24">
        <f t="shared" si="20"/>
        <v>-30125.233991864581</v>
      </c>
      <c r="N51" s="3223"/>
      <c r="O51" s="3224"/>
    </row>
    <row r="52" spans="1:18" ht="13.35" customHeight="1">
      <c r="A52" s="22" t="s">
        <v>1215</v>
      </c>
      <c r="B52" s="23">
        <f t="shared" ref="B52:K52" si="21">SUM(B44:B51)</f>
        <v>61648.636593423384</v>
      </c>
      <c r="C52" s="23">
        <f t="shared" si="21"/>
        <v>58904.043125260243</v>
      </c>
      <c r="D52" s="23">
        <f t="shared" si="21"/>
        <v>55985.534601733292</v>
      </c>
      <c r="E52" s="23">
        <f t="shared" si="21"/>
        <v>52884.925826154598</v>
      </c>
      <c r="F52" s="23">
        <f t="shared" si="21"/>
        <v>49595.80929103597</v>
      </c>
      <c r="G52" s="23">
        <f t="shared" si="21"/>
        <v>46110.547773665399</v>
      </c>
      <c r="H52" s="23">
        <f t="shared" si="21"/>
        <v>42421.266694852166</v>
      </c>
      <c r="I52" s="23">
        <f t="shared" si="21"/>
        <v>38519.84623343392</v>
      </c>
      <c r="J52" s="23">
        <f t="shared" si="21"/>
        <v>34397.913188927712</v>
      </c>
      <c r="K52" s="24">
        <f t="shared" si="21"/>
        <v>30046.832584456213</v>
      </c>
      <c r="N52" s="3223"/>
      <c r="O52" s="3224"/>
    </row>
    <row r="53" spans="1:18" ht="13.35" customHeight="1">
      <c r="A53" s="22" t="str">
        <f>$A23</f>
        <v>Mortgage A</v>
      </c>
      <c r="B53" s="3231">
        <f>IF('Part III-Sources of Funds'!$N$37="", 0,-'Part III-Sources of Funds'!$N$37)</f>
        <v>0</v>
      </c>
      <c r="C53" s="3231">
        <f>IF('Part III-Sources of Funds'!$N$37="", 0,-'Part III-Sources of Funds'!$N$37)</f>
        <v>0</v>
      </c>
      <c r="D53" s="3231">
        <f>IF('Part III-Sources of Funds'!$N$37="", 0,-'Part III-Sources of Funds'!$N$37)</f>
        <v>0</v>
      </c>
      <c r="E53" s="3231">
        <f>IF('Part III-Sources of Funds'!$N$37="", 0,-'Part III-Sources of Funds'!$N$37)</f>
        <v>0</v>
      </c>
      <c r="F53" s="3231">
        <f>IF('Part III-Sources of Funds'!$N$37="", 0,-'Part III-Sources of Funds'!$N$37)</f>
        <v>0</v>
      </c>
      <c r="G53" s="3231">
        <f>IF('Part III-Sources of Funds'!$N$37="", 0,-'Part III-Sources of Funds'!$N$37)</f>
        <v>0</v>
      </c>
      <c r="H53" s="3231">
        <f>IF('Part III-Sources of Funds'!$N$37="", 0,-'Part III-Sources of Funds'!$N$37)</f>
        <v>0</v>
      </c>
      <c r="I53" s="3231">
        <f>IF('Part III-Sources of Funds'!$N$37="", 0,-'Part III-Sources of Funds'!$N$37)</f>
        <v>0</v>
      </c>
      <c r="J53" s="3231">
        <f>IF('Part III-Sources of Funds'!$N$37="", 0,-'Part III-Sources of Funds'!$N$37)</f>
        <v>0</v>
      </c>
      <c r="K53" s="3231">
        <f>IF('Part III-Sources of Funds'!$N$37="", 0,-'Part III-Sources of Funds'!$N$37)</f>
        <v>0</v>
      </c>
      <c r="N53" s="3223"/>
      <c r="O53" s="3224"/>
    </row>
    <row r="54" spans="1:18" ht="13.35" customHeight="1">
      <c r="A54" s="22" t="str">
        <f>$A24</f>
        <v>Mortgage B</v>
      </c>
      <c r="B54" s="3232">
        <f>IF('Part III-Sources of Funds'!$N$38="", 0,-'Part III-Sources of Funds'!$N$38)</f>
        <v>0</v>
      </c>
      <c r="C54" s="3232">
        <f>IF('Part III-Sources of Funds'!$N$38="", 0,-'Part III-Sources of Funds'!$N$38)</f>
        <v>0</v>
      </c>
      <c r="D54" s="3232">
        <f>IF('Part III-Sources of Funds'!$N$38="", 0,-'Part III-Sources of Funds'!$N$38)</f>
        <v>0</v>
      </c>
      <c r="E54" s="3232">
        <f>IF('Part III-Sources of Funds'!$N$38="", 0,-'Part III-Sources of Funds'!$N$38)</f>
        <v>0</v>
      </c>
      <c r="F54" s="3232">
        <f>IF('Part III-Sources of Funds'!$N$38="", 0,-'Part III-Sources of Funds'!$N$38)</f>
        <v>0</v>
      </c>
      <c r="G54" s="3232">
        <f>IF('Part III-Sources of Funds'!$N$38="", 0,-'Part III-Sources of Funds'!$N$38)</f>
        <v>0</v>
      </c>
      <c r="H54" s="3232">
        <f>IF('Part III-Sources of Funds'!$N$38="", 0,-'Part III-Sources of Funds'!$N$38)</f>
        <v>0</v>
      </c>
      <c r="I54" s="3232">
        <f>IF('Part III-Sources of Funds'!$N$38="", 0,-'Part III-Sources of Funds'!$N$38)</f>
        <v>0</v>
      </c>
      <c r="J54" s="3232">
        <f>IF('Part III-Sources of Funds'!$N$38="", 0,-'Part III-Sources of Funds'!$N$38)</f>
        <v>0</v>
      </c>
      <c r="K54" s="3232">
        <f>IF('Part III-Sources of Funds'!$N$38="", 0,-'Part III-Sources of Funds'!$N$38)</f>
        <v>0</v>
      </c>
      <c r="N54" s="3223"/>
      <c r="O54" s="3224"/>
    </row>
    <row r="55" spans="1:18" ht="13.35" customHeight="1">
      <c r="A55" s="22" t="str">
        <f>$A25</f>
        <v>Mortgage C</v>
      </c>
      <c r="B55" s="3232">
        <f>IF('Part III-Sources of Funds'!$N$39="", 0,-'Part III-Sources of Funds'!$N$39)</f>
        <v>0</v>
      </c>
      <c r="C55" s="3232">
        <f>IF('Part III-Sources of Funds'!$N$39="", 0,-'Part III-Sources of Funds'!$N$39)</f>
        <v>0</v>
      </c>
      <c r="D55" s="3232">
        <f>IF('Part III-Sources of Funds'!$N$39="", 0,-'Part III-Sources of Funds'!$N$39)</f>
        <v>0</v>
      </c>
      <c r="E55" s="3232">
        <f>IF('Part III-Sources of Funds'!$N$39="", 0,-'Part III-Sources of Funds'!$N$39)</f>
        <v>0</v>
      </c>
      <c r="F55" s="3232">
        <f>IF('Part III-Sources of Funds'!$N$39="", 0,-'Part III-Sources of Funds'!$N$39)</f>
        <v>0</v>
      </c>
      <c r="G55" s="3232">
        <f>IF('Part III-Sources of Funds'!$N$39="", 0,-'Part III-Sources of Funds'!$N$39)</f>
        <v>0</v>
      </c>
      <c r="H55" s="3232">
        <f>IF('Part III-Sources of Funds'!$N$39="", 0,-'Part III-Sources of Funds'!$N$39)</f>
        <v>0</v>
      </c>
      <c r="I55" s="3232">
        <f>IF('Part III-Sources of Funds'!$N$39="", 0,-'Part III-Sources of Funds'!$N$39)</f>
        <v>0</v>
      </c>
      <c r="J55" s="3232">
        <f>IF('Part III-Sources of Funds'!$N$39="", 0,-'Part III-Sources of Funds'!$N$39)</f>
        <v>0</v>
      </c>
      <c r="K55" s="3232">
        <f>IF('Part III-Sources of Funds'!$N$39="", 0,-'Part III-Sources of Funds'!$N$39)</f>
        <v>0</v>
      </c>
      <c r="N55" s="3223"/>
      <c r="O55" s="3224"/>
    </row>
    <row r="56" spans="1:18" ht="13.35" customHeight="1">
      <c r="A56" s="22" t="str">
        <f>$A26</f>
        <v>D/S Other Source,not DDF</v>
      </c>
      <c r="B56" s="3232">
        <f>IF('Part III-Sources of Funds'!$N$40="", 0,-'Part III-Sources of Funds'!$N$40)</f>
        <v>0</v>
      </c>
      <c r="C56" s="3232">
        <f>IF('Part III-Sources of Funds'!$N$40="", 0,-'Part III-Sources of Funds'!$N$40)</f>
        <v>0</v>
      </c>
      <c r="D56" s="3232">
        <f>IF('Part III-Sources of Funds'!$N$40="", 0,-'Part III-Sources of Funds'!$N$40)</f>
        <v>0</v>
      </c>
      <c r="E56" s="3232">
        <f>IF('Part III-Sources of Funds'!$N$40="", 0,-'Part III-Sources of Funds'!$N$40)</f>
        <v>0</v>
      </c>
      <c r="F56" s="3232">
        <f>IF('Part III-Sources of Funds'!$N$40="", 0,-'Part III-Sources of Funds'!$N$40)</f>
        <v>0</v>
      </c>
      <c r="G56" s="3232">
        <f>IF('Part III-Sources of Funds'!$N$40="", 0,-'Part III-Sources of Funds'!$N$40)</f>
        <v>0</v>
      </c>
      <c r="H56" s="3232">
        <f>IF('Part III-Sources of Funds'!$N$40="", 0,-'Part III-Sources of Funds'!$N$40)</f>
        <v>0</v>
      </c>
      <c r="I56" s="3232">
        <f>IF('Part III-Sources of Funds'!$N$40="", 0,-'Part III-Sources of Funds'!$N$40)</f>
        <v>0</v>
      </c>
      <c r="J56" s="3232">
        <f>IF('Part III-Sources of Funds'!$N$40="", 0,-'Part III-Sources of Funds'!$N$40)</f>
        <v>0</v>
      </c>
      <c r="K56" s="3232">
        <f>IF('Part III-Sources of Funds'!$N$40="", 0,-'Part III-Sources of Funds'!$N$40)</f>
        <v>0</v>
      </c>
      <c r="N56" s="3223"/>
      <c r="O56" s="3224"/>
    </row>
    <row r="57" spans="1:18" ht="13.35" customHeight="1">
      <c r="A57" s="22" t="s">
        <v>771</v>
      </c>
      <c r="B57" s="3233"/>
      <c r="C57" s="3233"/>
      <c r="D57" s="3233"/>
      <c r="E57" s="3233"/>
      <c r="F57" s="3233"/>
      <c r="G57" s="3233"/>
      <c r="H57" s="3233"/>
      <c r="I57" s="3233"/>
      <c r="J57" s="3233"/>
      <c r="K57" s="3233"/>
      <c r="N57" s="3223"/>
      <c r="O57" s="3224"/>
    </row>
    <row r="58" spans="1:18" ht="13.35" customHeight="1">
      <c r="A58" s="435" t="s">
        <v>1174</v>
      </c>
      <c r="B58" s="3232">
        <f>K28*1.03</f>
        <v>-6719.5818967206096</v>
      </c>
      <c r="C58" s="3232">
        <f>B58*1.03</f>
        <v>-6921.1693536222283</v>
      </c>
      <c r="D58" s="3232">
        <f t="shared" ref="D58:F58" si="22">C58*1.03</f>
        <v>-7128.8044342308949</v>
      </c>
      <c r="E58" s="3232">
        <f t="shared" si="22"/>
        <v>-7342.6685672578224</v>
      </c>
      <c r="F58" s="3232">
        <f t="shared" si="22"/>
        <v>-7562.9486242755574</v>
      </c>
      <c r="G58" s="3232">
        <f t="shared" ref="G58:K58" si="23">+F58</f>
        <v>-7562.9486242755574</v>
      </c>
      <c r="H58" s="3232">
        <f t="shared" si="23"/>
        <v>-7562.9486242755574</v>
      </c>
      <c r="I58" s="3232">
        <f t="shared" si="23"/>
        <v>-7562.9486242755574</v>
      </c>
      <c r="J58" s="3232">
        <f t="shared" si="23"/>
        <v>-7562.9486242755574</v>
      </c>
      <c r="K58" s="3232">
        <f t="shared" si="23"/>
        <v>-7562.9486242755574</v>
      </c>
      <c r="N58" s="3223"/>
      <c r="O58" s="3224"/>
      <c r="Q58" s="1040"/>
      <c r="R58" s="1197"/>
    </row>
    <row r="59" spans="1:18" ht="13.35" customHeight="1">
      <c r="A59" s="435" t="s">
        <v>4127</v>
      </c>
      <c r="B59" s="3235">
        <f>IF('Part III-Sources of Funds'!$N$42="", 0,-'Part III-Sources of Funds'!$N$42)</f>
        <v>0</v>
      </c>
      <c r="C59" s="3235">
        <f>IF('Part III-Sources of Funds'!$N$42="", 0,-'Part III-Sources of Funds'!$N$42)</f>
        <v>0</v>
      </c>
      <c r="D59" s="3235">
        <f>IF('Part III-Sources of Funds'!$N$42="", 0,-'Part III-Sources of Funds'!$N$42)</f>
        <v>0</v>
      </c>
      <c r="E59" s="3235">
        <f>IF('Part III-Sources of Funds'!$N$42="", 0,-'Part III-Sources of Funds'!$N$42)</f>
        <v>0</v>
      </c>
      <c r="F59" s="3235">
        <f>IF('Part III-Sources of Funds'!$N$42="", 0,-'Part III-Sources of Funds'!$N$42)</f>
        <v>0</v>
      </c>
      <c r="G59" s="3235"/>
      <c r="H59" s="3235"/>
      <c r="I59" s="3235"/>
      <c r="J59" s="3235"/>
      <c r="K59" s="3235"/>
      <c r="N59" s="3223"/>
      <c r="O59" s="3224"/>
    </row>
    <row r="60" spans="1:18" ht="13.35" customHeight="1">
      <c r="A60" s="22" t="s">
        <v>1175</v>
      </c>
      <c r="B60" s="23">
        <f>SUM(B52:B59)</f>
        <v>54929.054696702777</v>
      </c>
      <c r="C60" s="23">
        <f t="shared" ref="C60:K60" si="24">SUM(C52:C59)</f>
        <v>51982.873771638013</v>
      </c>
      <c r="D60" s="23">
        <f t="shared" si="24"/>
        <v>48856.730167502399</v>
      </c>
      <c r="E60" s="23">
        <f t="shared" si="24"/>
        <v>45542.257258896774</v>
      </c>
      <c r="F60" s="23">
        <f t="shared" si="24"/>
        <v>42032.860666760411</v>
      </c>
      <c r="G60" s="23">
        <f t="shared" si="24"/>
        <v>38547.59914938984</v>
      </c>
      <c r="H60" s="23">
        <f t="shared" si="24"/>
        <v>34858.318070576606</v>
      </c>
      <c r="I60" s="23">
        <f t="shared" si="24"/>
        <v>30956.897609158361</v>
      </c>
      <c r="J60" s="23">
        <f t="shared" si="24"/>
        <v>26834.964564652153</v>
      </c>
      <c r="K60" s="23">
        <f t="shared" si="24"/>
        <v>22483.883960180654</v>
      </c>
      <c r="N60" s="3223"/>
      <c r="O60" s="3224"/>
    </row>
    <row r="61" spans="1:18" ht="13.35" customHeight="1">
      <c r="A61" s="22" t="str">
        <f>$A31</f>
        <v>DCR Mortgage A</v>
      </c>
      <c r="B61" s="25" t="str">
        <f t="shared" ref="B61:K61" si="25">IF(B53=0,"",-B52/B53)</f>
        <v/>
      </c>
      <c r="C61" s="25" t="str">
        <f t="shared" si="25"/>
        <v/>
      </c>
      <c r="D61" s="25" t="str">
        <f t="shared" si="25"/>
        <v/>
      </c>
      <c r="E61" s="25" t="str">
        <f t="shared" si="25"/>
        <v/>
      </c>
      <c r="F61" s="25" t="str">
        <f t="shared" si="25"/>
        <v/>
      </c>
      <c r="G61" s="25" t="str">
        <f t="shared" si="25"/>
        <v/>
      </c>
      <c r="H61" s="25" t="str">
        <f t="shared" si="25"/>
        <v/>
      </c>
      <c r="I61" s="25" t="str">
        <f t="shared" si="25"/>
        <v/>
      </c>
      <c r="J61" s="25" t="str">
        <f t="shared" si="25"/>
        <v/>
      </c>
      <c r="K61" s="26" t="str">
        <f t="shared" si="25"/>
        <v/>
      </c>
      <c r="N61" s="3223"/>
      <c r="O61" s="3224"/>
    </row>
    <row r="62" spans="1:18" ht="13.35" customHeight="1">
      <c r="A62" s="22" t="str">
        <f>$A32</f>
        <v>DCR Mortgage B</v>
      </c>
      <c r="B62" s="25" t="str">
        <f t="shared" ref="B62:K62" si="26">IF(B54=0,"",-(B52+B53)/B54)</f>
        <v/>
      </c>
      <c r="C62" s="25" t="str">
        <f t="shared" si="26"/>
        <v/>
      </c>
      <c r="D62" s="25" t="str">
        <f t="shared" si="26"/>
        <v/>
      </c>
      <c r="E62" s="25" t="str">
        <f t="shared" si="26"/>
        <v/>
      </c>
      <c r="F62" s="25" t="str">
        <f t="shared" si="26"/>
        <v/>
      </c>
      <c r="G62" s="25" t="str">
        <f t="shared" si="26"/>
        <v/>
      </c>
      <c r="H62" s="25" t="str">
        <f t="shared" si="26"/>
        <v/>
      </c>
      <c r="I62" s="25" t="str">
        <f t="shared" si="26"/>
        <v/>
      </c>
      <c r="J62" s="25" t="str">
        <f t="shared" si="26"/>
        <v/>
      </c>
      <c r="K62" s="26" t="str">
        <f t="shared" si="26"/>
        <v/>
      </c>
      <c r="N62" s="3223"/>
      <c r="O62" s="3224"/>
    </row>
    <row r="63" spans="1:18" ht="13.35" customHeight="1">
      <c r="A63" s="22" t="str">
        <f>$A33</f>
        <v>DCR Mortgage C</v>
      </c>
      <c r="B63" s="25" t="str">
        <f t="shared" ref="B63:K63" si="27">IF(B55=0,"",-(B52+B53+B54)/B55)</f>
        <v/>
      </c>
      <c r="C63" s="25" t="str">
        <f t="shared" si="27"/>
        <v/>
      </c>
      <c r="D63" s="25" t="str">
        <f t="shared" si="27"/>
        <v/>
      </c>
      <c r="E63" s="25" t="str">
        <f t="shared" si="27"/>
        <v/>
      </c>
      <c r="F63" s="25" t="str">
        <f t="shared" si="27"/>
        <v/>
      </c>
      <c r="G63" s="25" t="str">
        <f t="shared" si="27"/>
        <v/>
      </c>
      <c r="H63" s="25" t="str">
        <f t="shared" si="27"/>
        <v/>
      </c>
      <c r="I63" s="25" t="str">
        <f t="shared" si="27"/>
        <v/>
      </c>
      <c r="J63" s="25" t="str">
        <f t="shared" si="27"/>
        <v/>
      </c>
      <c r="K63" s="26" t="str">
        <f t="shared" si="27"/>
        <v/>
      </c>
      <c r="N63" s="3223"/>
      <c r="O63" s="3224"/>
    </row>
    <row r="64" spans="1:18" ht="13.35" customHeight="1">
      <c r="A64" s="22" t="str">
        <f>$A34</f>
        <v>DCR Other Source</v>
      </c>
      <c r="B64" s="25" t="str">
        <f t="shared" ref="B64:K64" si="28">IF(B56=0,"",-(B52+B53+B54+B55)/B56)</f>
        <v/>
      </c>
      <c r="C64" s="25" t="str">
        <f t="shared" si="28"/>
        <v/>
      </c>
      <c r="D64" s="25" t="str">
        <f t="shared" si="28"/>
        <v/>
      </c>
      <c r="E64" s="25" t="str">
        <f t="shared" si="28"/>
        <v/>
      </c>
      <c r="F64" s="25" t="str">
        <f t="shared" si="28"/>
        <v/>
      </c>
      <c r="G64" s="25" t="str">
        <f t="shared" si="28"/>
        <v/>
      </c>
      <c r="H64" s="25" t="str">
        <f t="shared" si="28"/>
        <v/>
      </c>
      <c r="I64" s="25" t="str">
        <f t="shared" si="28"/>
        <v/>
      </c>
      <c r="J64" s="25" t="str">
        <f t="shared" si="28"/>
        <v/>
      </c>
      <c r="K64" s="26" t="str">
        <f t="shared" si="28"/>
        <v/>
      </c>
      <c r="N64" s="3223"/>
      <c r="O64" s="3224"/>
    </row>
    <row r="65" spans="1:15" ht="13.35" customHeight="1">
      <c r="A65" s="435" t="s">
        <v>3738</v>
      </c>
      <c r="B65" s="25" t="str">
        <f t="shared" ref="B65:K65" si="29">IF(AND(B53=0,B54=0,B55=0,B56=0),"",-B52/(B53+B54+B55+B56))</f>
        <v/>
      </c>
      <c r="C65" s="25" t="str">
        <f t="shared" si="29"/>
        <v/>
      </c>
      <c r="D65" s="25" t="str">
        <f t="shared" si="29"/>
        <v/>
      </c>
      <c r="E65" s="25" t="str">
        <f t="shared" si="29"/>
        <v/>
      </c>
      <c r="F65" s="25" t="str">
        <f t="shared" si="29"/>
        <v/>
      </c>
      <c r="G65" s="25" t="str">
        <f t="shared" si="29"/>
        <v/>
      </c>
      <c r="H65" s="25" t="str">
        <f t="shared" si="29"/>
        <v/>
      </c>
      <c r="I65" s="25" t="str">
        <f t="shared" si="29"/>
        <v/>
      </c>
      <c r="J65" s="25" t="str">
        <f t="shared" si="29"/>
        <v/>
      </c>
      <c r="K65" s="26" t="str">
        <f t="shared" si="29"/>
        <v/>
      </c>
      <c r="N65" s="3223"/>
      <c r="O65" s="3224"/>
    </row>
    <row r="66" spans="1:15" ht="13.35" customHeight="1">
      <c r="A66" s="22" t="s">
        <v>778</v>
      </c>
      <c r="B66" s="274">
        <f t="shared" ref="B66:K66" si="30">IF(OR(B50="Choose mgt fee",B50="Choose One!"),"",(B44+B45+B46+B47+B48) / -(B49+B50+B51))</f>
        <v>1.154978771317559</v>
      </c>
      <c r="C66" s="274">
        <f t="shared" si="30"/>
        <v>1.1437662505754951</v>
      </c>
      <c r="D66" s="274">
        <f t="shared" si="30"/>
        <v>1.132663387923933</v>
      </c>
      <c r="E66" s="274">
        <f t="shared" si="30"/>
        <v>1.1216661399049841</v>
      </c>
      <c r="F66" s="274">
        <f t="shared" si="30"/>
        <v>1.1107759540914752</v>
      </c>
      <c r="G66" s="274">
        <f t="shared" si="30"/>
        <v>1.0999916022598284</v>
      </c>
      <c r="H66" s="274">
        <f t="shared" si="30"/>
        <v>1.0893119574712016</v>
      </c>
      <c r="I66" s="274">
        <f t="shared" si="30"/>
        <v>1.0787359809253336</v>
      </c>
      <c r="J66" s="274">
        <f t="shared" si="30"/>
        <v>1.0682627100635229</v>
      </c>
      <c r="K66" s="275">
        <f t="shared" si="30"/>
        <v>1.0578912478239428</v>
      </c>
      <c r="N66" s="3223"/>
      <c r="O66" s="3224"/>
    </row>
    <row r="67" spans="1:15" ht="13.35" customHeight="1">
      <c r="A67" s="435" t="s">
        <v>2634</v>
      </c>
      <c r="B67" s="3236" t="str">
        <f>IF('Part III-Sources of Funds'!$I$37="","",-FV('Part III-Sources of Funds'!$K$37/12,12,B53/12,K37))</f>
        <v/>
      </c>
      <c r="C67" s="3236" t="str">
        <f>IF('Part III-Sources of Funds'!$I$37="","",-FV('Part III-Sources of Funds'!$K$37/12,12,C53/12,B67))</f>
        <v/>
      </c>
      <c r="D67" s="3236" t="str">
        <f>IF('Part III-Sources of Funds'!$I$37="","",-FV('Part III-Sources of Funds'!$K$37/12,12,D53/12,C67))</f>
        <v/>
      </c>
      <c r="E67" s="3236" t="str">
        <f>IF('Part III-Sources of Funds'!$I$37="","",-FV('Part III-Sources of Funds'!$K$37/12,12,E53/12,D67))</f>
        <v/>
      </c>
      <c r="F67" s="3236" t="str">
        <f>IF('Part III-Sources of Funds'!$I$37="","",-FV('Part III-Sources of Funds'!$K$37/12,12,F53/12,E67))</f>
        <v/>
      </c>
      <c r="G67" s="3236" t="str">
        <f>IF('Part III-Sources of Funds'!$I$37="","",-FV('Part III-Sources of Funds'!$K$37/12,12,G53/12,F67))</f>
        <v/>
      </c>
      <c r="H67" s="3236" t="str">
        <f>IF('Part III-Sources of Funds'!$I$37="","",-FV('Part III-Sources of Funds'!$K$37/12,12,H53/12,G67))</f>
        <v/>
      </c>
      <c r="I67" s="3236" t="str">
        <f>IF('Part III-Sources of Funds'!$I$37="","",-FV('Part III-Sources of Funds'!$K$37/12,12,I53/12,H67))</f>
        <v/>
      </c>
      <c r="J67" s="3236" t="str">
        <f>IF('Part III-Sources of Funds'!$I$37="","",-FV('Part III-Sources of Funds'!$K$37/12,12,J53/12,I67))</f>
        <v/>
      </c>
      <c r="K67" s="3236" t="str">
        <f>IF('Part III-Sources of Funds'!$I$37="","",-FV('Part III-Sources of Funds'!$K$37/12,12,K53/12,J67))</f>
        <v/>
      </c>
      <c r="N67" s="3223"/>
      <c r="O67" s="3224"/>
    </row>
    <row r="68" spans="1:15" ht="13.35" customHeight="1">
      <c r="A68" s="435" t="s">
        <v>2635</v>
      </c>
      <c r="B68" s="3232" t="str">
        <f>IF('Part III-Sources of Funds'!$I$38="","",-FV('Part III-Sources of Funds'!$K$38/12,12,B54/12,K38))</f>
        <v/>
      </c>
      <c r="C68" s="3232" t="str">
        <f>IF('Part III-Sources of Funds'!$I$38="","",-FV('Part III-Sources of Funds'!$K$38/12,12,C54/12,B68))</f>
        <v/>
      </c>
      <c r="D68" s="3232" t="str">
        <f>IF('Part III-Sources of Funds'!$I$38="","",-FV('Part III-Sources of Funds'!$K$38/12,12,D54/12,C68))</f>
        <v/>
      </c>
      <c r="E68" s="3232" t="str">
        <f>IF('Part III-Sources of Funds'!$I$38="","",-FV('Part III-Sources of Funds'!$K$38/12,12,E54/12,D68))</f>
        <v/>
      </c>
      <c r="F68" s="3232" t="str">
        <f>IF('Part III-Sources of Funds'!$I$38="","",-FV('Part III-Sources of Funds'!$K$38/12,12,F54/12,E68))</f>
        <v/>
      </c>
      <c r="G68" s="3232" t="str">
        <f>IF('Part III-Sources of Funds'!$I$38="","",-FV('Part III-Sources of Funds'!$K$38/12,12,G54/12,F68))</f>
        <v/>
      </c>
      <c r="H68" s="3232" t="str">
        <f>IF('Part III-Sources of Funds'!$I$38="","",-FV('Part III-Sources of Funds'!$K$38/12,12,H54/12,G68))</f>
        <v/>
      </c>
      <c r="I68" s="3232" t="str">
        <f>IF('Part III-Sources of Funds'!$I$38="","",-FV('Part III-Sources of Funds'!$K$38/12,12,I54/12,H68))</f>
        <v/>
      </c>
      <c r="J68" s="3232" t="str">
        <f>IF('Part III-Sources of Funds'!$I$38="","",-FV('Part III-Sources of Funds'!$K$38/12,12,J54/12,I68))</f>
        <v/>
      </c>
      <c r="K68" s="3232" t="str">
        <f>IF('Part III-Sources of Funds'!$I$38="","",-FV('Part III-Sources of Funds'!$K$38/12,12,K54/12,J68))</f>
        <v/>
      </c>
      <c r="N68" s="3223"/>
      <c r="O68" s="3224"/>
    </row>
    <row r="69" spans="1:15" ht="13.35" customHeight="1">
      <c r="A69" s="435" t="s">
        <v>2636</v>
      </c>
      <c r="B69" s="3232" t="str">
        <f>IF('Part III-Sources of Funds'!$I$39="","",-FV('Part III-Sources of Funds'!$K$39/12,12,B55/12,K39))</f>
        <v/>
      </c>
      <c r="C69" s="3232" t="str">
        <f>IF('Part III-Sources of Funds'!$I$39="","",-FV('Part III-Sources of Funds'!$K$39/12,12,C55/12,B69))</f>
        <v/>
      </c>
      <c r="D69" s="3232" t="str">
        <f>IF('Part III-Sources of Funds'!$I$39="","",-FV('Part III-Sources of Funds'!$K$39/12,12,D55/12,C69))</f>
        <v/>
      </c>
      <c r="E69" s="3232" t="str">
        <f>IF('Part III-Sources of Funds'!$I$39="","",-FV('Part III-Sources of Funds'!$K$39/12,12,E55/12,D69))</f>
        <v/>
      </c>
      <c r="F69" s="3232" t="str">
        <f>IF('Part III-Sources of Funds'!$I$39="","",-FV('Part III-Sources of Funds'!$K$39/12,12,F55/12,E69))</f>
        <v/>
      </c>
      <c r="G69" s="3232" t="str">
        <f>IF('Part III-Sources of Funds'!$I$39="","",-FV('Part III-Sources of Funds'!$K$39/12,12,G55/12,F69))</f>
        <v/>
      </c>
      <c r="H69" s="3232" t="str">
        <f>IF('Part III-Sources of Funds'!$I$39="","",-FV('Part III-Sources of Funds'!$K$39/12,12,H55/12,G69))</f>
        <v/>
      </c>
      <c r="I69" s="3232" t="str">
        <f>IF('Part III-Sources of Funds'!$I$39="","",-FV('Part III-Sources of Funds'!$K$39/12,12,I55/12,H69))</f>
        <v/>
      </c>
      <c r="J69" s="3232" t="str">
        <f>IF('Part III-Sources of Funds'!$I$39="","",-FV('Part III-Sources of Funds'!$K$39/12,12,J55/12,I69))</f>
        <v/>
      </c>
      <c r="K69" s="3232" t="str">
        <f>IF('Part III-Sources of Funds'!$I$39="","",-FV('Part III-Sources of Funds'!$K$39/12,12,K55/12,J69))</f>
        <v/>
      </c>
      <c r="N69" s="3223"/>
      <c r="O69" s="3224"/>
    </row>
    <row r="70" spans="1:15" ht="13.35" customHeight="1">
      <c r="A70" s="22" t="s">
        <v>792</v>
      </c>
      <c r="B70" s="3232" t="str">
        <f>IF('Part III-Sources of Funds'!$I$40="","",-FV('Part III-Sources of Funds'!$K$40/12,12,B56/12,K40))</f>
        <v/>
      </c>
      <c r="C70" s="3232" t="str">
        <f>IF('Part III-Sources of Funds'!$I$40="","",-FV('Part III-Sources of Funds'!$K$40/12,12,C56/12,B70))</f>
        <v/>
      </c>
      <c r="D70" s="3232" t="str">
        <f>IF('Part III-Sources of Funds'!$I$40="","",-FV('Part III-Sources of Funds'!$K$40/12,12,D56/12,C70))</f>
        <v/>
      </c>
      <c r="E70" s="3232" t="str">
        <f>IF('Part III-Sources of Funds'!$I$40="","",-FV('Part III-Sources of Funds'!$K$40/12,12,E56/12,D70))</f>
        <v/>
      </c>
      <c r="F70" s="3232" t="str">
        <f>IF('Part III-Sources of Funds'!$I$40="","",-FV('Part III-Sources of Funds'!$K$40/12,12,F56/12,E70))</f>
        <v/>
      </c>
      <c r="G70" s="3232" t="str">
        <f>IF('Part III-Sources of Funds'!$I$40="","",-FV('Part III-Sources of Funds'!$K$40/12,12,G56/12,F70))</f>
        <v/>
      </c>
      <c r="H70" s="3232" t="str">
        <f>IF('Part III-Sources of Funds'!$I$40="","",-FV('Part III-Sources of Funds'!$K$40/12,12,H56/12,G70))</f>
        <v/>
      </c>
      <c r="I70" s="3232" t="str">
        <f>IF('Part III-Sources of Funds'!$I$40="","",-FV('Part III-Sources of Funds'!$K$40/12,12,I56/12,H70))</f>
        <v/>
      </c>
      <c r="J70" s="3232" t="str">
        <f>IF('Part III-Sources of Funds'!$I$40="","",-FV('Part III-Sources of Funds'!$K$40/12,12,J56/12,I70))</f>
        <v/>
      </c>
      <c r="K70" s="3232" t="str">
        <f>IF('Part III-Sources of Funds'!$I$40="","",-FV('Part III-Sources of Funds'!$K$40/12,12,K56/12,J70))</f>
        <v/>
      </c>
      <c r="N70" s="3223"/>
      <c r="O70" s="3224"/>
    </row>
    <row r="71" spans="1:15" ht="13.35" customHeight="1">
      <c r="A71" s="435" t="s">
        <v>4128</v>
      </c>
      <c r="B71" s="3235">
        <f>IF('Part III-Sources of Funds'!$I$42="","",IF(-FV('Part III-Sources of Funds'!$K$42/12,12,B59/12,K41)&gt;0,-FV('Part III-Sources of Funds'!$K$42/12,12,B59/12,K41),0))</f>
        <v>0</v>
      </c>
      <c r="C71" s="3235">
        <f>IF('Part III-Sources of Funds'!$I$42="","",IF(-FV('Part III-Sources of Funds'!$K$42/12,12,C59/12,B71)&gt;0,-FV('Part III-Sources of Funds'!$K$42/12,12,C59/12,B71),0))</f>
        <v>0</v>
      </c>
      <c r="D71" s="3235">
        <f>IF('Part III-Sources of Funds'!$I$42="","",IF(-FV('Part III-Sources of Funds'!$K$42/12,12,D59/12,C71)&gt;0,-FV('Part III-Sources of Funds'!$K$42/12,12,D59/12,C71),0))</f>
        <v>0</v>
      </c>
      <c r="E71" s="3235">
        <f>IF('Part III-Sources of Funds'!$I$42="","",IF(-FV('Part III-Sources of Funds'!$K$42/12,12,E59/12,D71)&gt;0,-FV('Part III-Sources of Funds'!$K$42/12,12,E59/12,D71),0))</f>
        <v>0</v>
      </c>
      <c r="F71" s="3235">
        <f>IF('Part III-Sources of Funds'!$I$42="","",IF(-FV('Part III-Sources of Funds'!$K$42/12,12,F59/12,E71)&gt;0,-FV('Part III-Sources of Funds'!$K$42/12,12,F59/12,E71),0))</f>
        <v>0</v>
      </c>
      <c r="G71" s="3235">
        <f>IF('Part III-Sources of Funds'!$I$42="","",IF(-FV('Part III-Sources of Funds'!$K$42/12,12,G59/12,F71)&gt;0,-FV('Part III-Sources of Funds'!$K$42/12,12,G59/12,F71),0))</f>
        <v>0</v>
      </c>
      <c r="H71" s="3235" t="str">
        <f>IF('Part III-Sources of Funds'!$I$40="","",-FV('Part III-Sources of Funds'!$K$40/12,12,H57/12,G71))</f>
        <v/>
      </c>
      <c r="I71" s="3235" t="str">
        <f>IF('Part III-Sources of Funds'!$I$40="","",-FV('Part III-Sources of Funds'!$K$40/12,12,I57/12,H71))</f>
        <v/>
      </c>
      <c r="J71" s="3235" t="str">
        <f>IF('Part III-Sources of Funds'!$I$40="","",-FV('Part III-Sources of Funds'!$K$40/12,12,J57/12,I71))</f>
        <v/>
      </c>
      <c r="K71" s="3235" t="str">
        <f>IF('Part III-Sources of Funds'!$I$40="","",-FV('Part III-Sources of Funds'!$K$40/12,12,K57/12,J71))</f>
        <v/>
      </c>
      <c r="N71" s="3229"/>
      <c r="O71" s="3230"/>
    </row>
    <row r="72" spans="1:15" ht="4.3499999999999996" customHeight="1">
      <c r="B72" s="18"/>
      <c r="C72" s="18"/>
      <c r="D72" s="18"/>
      <c r="E72" s="18"/>
      <c r="F72" s="18"/>
      <c r="G72" s="18"/>
      <c r="H72" s="18"/>
      <c r="I72" s="18"/>
      <c r="J72" s="18"/>
      <c r="K72" s="18"/>
    </row>
    <row r="73" spans="1:15" ht="14.45" customHeight="1">
      <c r="A73" s="14" t="s">
        <v>2496</v>
      </c>
      <c r="B73" s="16">
        <f>K43+1</f>
        <v>21</v>
      </c>
      <c r="C73" s="16">
        <f t="shared" ref="C73:K73" si="31">B73+1</f>
        <v>22</v>
      </c>
      <c r="D73" s="16">
        <f t="shared" si="31"/>
        <v>23</v>
      </c>
      <c r="E73" s="16">
        <f t="shared" si="31"/>
        <v>24</v>
      </c>
      <c r="F73" s="16">
        <f t="shared" si="31"/>
        <v>25</v>
      </c>
      <c r="G73" s="16">
        <f t="shared" si="31"/>
        <v>26</v>
      </c>
      <c r="H73" s="16">
        <f t="shared" si="31"/>
        <v>27</v>
      </c>
      <c r="I73" s="16">
        <f t="shared" si="31"/>
        <v>28</v>
      </c>
      <c r="J73" s="16">
        <f t="shared" si="31"/>
        <v>29</v>
      </c>
      <c r="K73" s="16">
        <f t="shared" si="31"/>
        <v>30</v>
      </c>
      <c r="N73" s="1724" t="s">
        <v>2640</v>
      </c>
      <c r="O73" s="1724"/>
    </row>
    <row r="74" spans="1:15" ht="13.35" customHeight="1">
      <c r="A74" s="19" t="s">
        <v>2420</v>
      </c>
      <c r="B74" s="20">
        <f t="shared" ref="B74:K74" si="32">$B$14*(1+$B$5)^(B73-1)</f>
        <v>590396.61937011976</v>
      </c>
      <c r="C74" s="20">
        <f t="shared" si="32"/>
        <v>602204.55175752204</v>
      </c>
      <c r="D74" s="20">
        <f t="shared" si="32"/>
        <v>614248.6427926725</v>
      </c>
      <c r="E74" s="20">
        <f t="shared" si="32"/>
        <v>626533.61564852588</v>
      </c>
      <c r="F74" s="20">
        <f t="shared" si="32"/>
        <v>639064.28796149639</v>
      </c>
      <c r="G74" s="20">
        <f t="shared" si="32"/>
        <v>651845.5737207263</v>
      </c>
      <c r="H74" s="20">
        <f t="shared" si="32"/>
        <v>664882.48519514094</v>
      </c>
      <c r="I74" s="20">
        <f t="shared" si="32"/>
        <v>678180.13489904359</v>
      </c>
      <c r="J74" s="20">
        <f t="shared" si="32"/>
        <v>691743.73759702465</v>
      </c>
      <c r="K74" s="21">
        <f t="shared" si="32"/>
        <v>705578.61234896502</v>
      </c>
      <c r="N74" s="3221"/>
      <c r="O74" s="3222"/>
    </row>
    <row r="75" spans="1:15" ht="13.35" customHeight="1">
      <c r="A75" s="22" t="s">
        <v>1026</v>
      </c>
      <c r="B75" s="23">
        <f t="shared" ref="B75:K75" si="33">$B$15*(1+$B$5)^(B73-1)</f>
        <v>11807.932387402396</v>
      </c>
      <c r="C75" s="23">
        <f t="shared" si="33"/>
        <v>12044.091035150443</v>
      </c>
      <c r="D75" s="23">
        <f t="shared" si="33"/>
        <v>12284.972855853452</v>
      </c>
      <c r="E75" s="23">
        <f t="shared" si="33"/>
        <v>12530.672312970519</v>
      </c>
      <c r="F75" s="23">
        <f t="shared" si="33"/>
        <v>12781.28575922993</v>
      </c>
      <c r="G75" s="23">
        <f t="shared" si="33"/>
        <v>13036.911474414528</v>
      </c>
      <c r="H75" s="23">
        <f t="shared" si="33"/>
        <v>13297.64970390282</v>
      </c>
      <c r="I75" s="23">
        <f t="shared" si="33"/>
        <v>13563.602697980874</v>
      </c>
      <c r="J75" s="23">
        <f t="shared" si="33"/>
        <v>13834.874751940493</v>
      </c>
      <c r="K75" s="24">
        <f t="shared" si="33"/>
        <v>14111.572246979302</v>
      </c>
      <c r="N75" s="3223"/>
      <c r="O75" s="3224"/>
    </row>
    <row r="76" spans="1:15" ht="13.35" customHeight="1">
      <c r="A76" s="22" t="s">
        <v>2421</v>
      </c>
      <c r="B76" s="23">
        <f t="shared" ref="B76:K76" si="34">-(B74+B75)*$B$8</f>
        <v>-42154.318623026556</v>
      </c>
      <c r="C76" s="23">
        <f t="shared" si="34"/>
        <v>-42997.404995487079</v>
      </c>
      <c r="D76" s="23">
        <f t="shared" si="34"/>
        <v>-43857.353095396822</v>
      </c>
      <c r="E76" s="23">
        <f t="shared" si="34"/>
        <v>-44734.500157304748</v>
      </c>
      <c r="F76" s="23">
        <f t="shared" si="34"/>
        <v>-45629.190160450846</v>
      </c>
      <c r="G76" s="23">
        <f t="shared" si="34"/>
        <v>-46541.773963659864</v>
      </c>
      <c r="H76" s="23">
        <f t="shared" si="34"/>
        <v>-47472.609442933062</v>
      </c>
      <c r="I76" s="23">
        <f t="shared" si="34"/>
        <v>-48422.061631791716</v>
      </c>
      <c r="J76" s="23">
        <f t="shared" si="34"/>
        <v>-49390.502864427566</v>
      </c>
      <c r="K76" s="24">
        <f t="shared" si="34"/>
        <v>-50378.312921716111</v>
      </c>
      <c r="N76" s="3223"/>
      <c r="O76" s="3224"/>
    </row>
    <row r="77" spans="1:15" ht="13.3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3"/>
      <c r="O77" s="3224"/>
    </row>
    <row r="78" spans="1:15" ht="13.3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3"/>
      <c r="O78" s="3224"/>
    </row>
    <row r="79" spans="1:15" ht="13.35" customHeight="1">
      <c r="A79" s="22" t="s">
        <v>620</v>
      </c>
      <c r="B79" s="23">
        <f t="shared" ref="B79:K79" si="35">$B$19*(1+$B$6)^(B73-1)</f>
        <v>-459783.54312102718</v>
      </c>
      <c r="C79" s="23">
        <f t="shared" si="35"/>
        <v>-473577.04941465793</v>
      </c>
      <c r="D79" s="23">
        <f t="shared" si="35"/>
        <v>-487784.36089709774</v>
      </c>
      <c r="E79" s="23">
        <f t="shared" si="35"/>
        <v>-502417.8917240107</v>
      </c>
      <c r="F79" s="23">
        <f t="shared" si="35"/>
        <v>-517490.42847573094</v>
      </c>
      <c r="G79" s="23">
        <f t="shared" si="35"/>
        <v>-533015.14133000292</v>
      </c>
      <c r="H79" s="23">
        <f t="shared" si="35"/>
        <v>-549005.59556990303</v>
      </c>
      <c r="I79" s="23">
        <f t="shared" si="35"/>
        <v>-565475.7634370001</v>
      </c>
      <c r="J79" s="23">
        <f t="shared" si="35"/>
        <v>-582440.03634011012</v>
      </c>
      <c r="K79" s="24">
        <f t="shared" si="35"/>
        <v>-599913.23743031325</v>
      </c>
      <c r="N79" s="3223"/>
      <c r="O79" s="3224"/>
    </row>
    <row r="80" spans="1:15" ht="13.35" customHeight="1">
      <c r="A80" s="22" t="s">
        <v>1125</v>
      </c>
      <c r="B80" s="23">
        <f>IF(AND('Part VII-Pro Forma'!$G$8="Yes",'Part VII-Pro Forma'!$G$9="Yes"),"Choose One!",IF('Part VII-Pro Forma'!$G$8="Yes",ROUND((-$K$8*(1+'Part VII-Pro Forma'!$B$6)^('Part VII-Pro Forma'!B73-1)),),IF('Part VII-Pro Forma'!$G$9="Yes",ROUND((-(SUM(B74:B77)*'Part VII-Pro Forma'!$K$9)),),"Choose mgt fee")))</f>
        <v>-43780</v>
      </c>
      <c r="C80" s="23">
        <f>IF(AND('Part VII-Pro Forma'!$G$8="Yes",'Part VII-Pro Forma'!$G$9="Yes"),"Choose One!",IF('Part VII-Pro Forma'!$G$8="Yes",ROUND((-$K$8*(1+'Part VII-Pro Forma'!$B$6)^('Part VII-Pro Forma'!C73-1)),),IF('Part VII-Pro Forma'!$G$9="Yes",ROUND((-(SUM(C74:C77)*'Part VII-Pro Forma'!$K$9)),),"Choose mgt fee")))</f>
        <v>-45094</v>
      </c>
      <c r="D80" s="23">
        <f>IF(AND('Part VII-Pro Forma'!$G$8="Yes",'Part VII-Pro Forma'!$G$9="Yes"),"Choose One!",IF('Part VII-Pro Forma'!$G$8="Yes",ROUND((-$K$8*(1+'Part VII-Pro Forma'!$B$6)^('Part VII-Pro Forma'!D73-1)),),IF('Part VII-Pro Forma'!$G$9="Yes",ROUND((-(SUM(D74:D77)*'Part VII-Pro Forma'!$K$9)),),"Choose mgt fee")))</f>
        <v>-46446</v>
      </c>
      <c r="E80" s="23">
        <f>IF(AND('Part VII-Pro Forma'!$G$8="Yes",'Part VII-Pro Forma'!$G$9="Yes"),"Choose One!",IF('Part VII-Pro Forma'!$G$8="Yes",ROUND((-$K$8*(1+'Part VII-Pro Forma'!$B$6)^('Part VII-Pro Forma'!E73-1)),),IF('Part VII-Pro Forma'!$G$9="Yes",ROUND((-(SUM(E74:E77)*'Part VII-Pro Forma'!$K$9)),),"Choose mgt fee")))</f>
        <v>-47840</v>
      </c>
      <c r="F80" s="23">
        <f>IF(AND('Part VII-Pro Forma'!$G$8="Yes",'Part VII-Pro Forma'!$G$9="Yes"),"Choose One!",IF('Part VII-Pro Forma'!$G$8="Yes",ROUND((-$K$8*(1+'Part VII-Pro Forma'!$B$6)^('Part VII-Pro Forma'!F73-1)),),IF('Part VII-Pro Forma'!$G$9="Yes",ROUND((-(SUM(F74:F77)*'Part VII-Pro Forma'!$K$9)),),"Choose mgt fee")))</f>
        <v>-49275</v>
      </c>
      <c r="G80" s="23">
        <f>IF(AND('Part VII-Pro Forma'!$G$8="Yes",'Part VII-Pro Forma'!$G$9="Yes"),"Choose One!",IF('Part VII-Pro Forma'!$G$8="Yes",ROUND((-$K$8*(1+'Part VII-Pro Forma'!$B$6)^('Part VII-Pro Forma'!G73-1)),),IF('Part VII-Pro Forma'!$G$9="Yes",ROUND((-(SUM(G74:G77)*'Part VII-Pro Forma'!$K$9)),),"Choose mgt fee")))</f>
        <v>-50753</v>
      </c>
      <c r="H80" s="23">
        <f>IF(AND('Part VII-Pro Forma'!$G$8="Yes",'Part VII-Pro Forma'!$G$9="Yes"),"Choose One!",IF('Part VII-Pro Forma'!$G$8="Yes",ROUND((-$K$8*(1+'Part VII-Pro Forma'!$B$6)^('Part VII-Pro Forma'!H73-1)),),IF('Part VII-Pro Forma'!$G$9="Yes",ROUND((-(SUM(H74:H77)*'Part VII-Pro Forma'!$K$9)),),"Choose mgt fee")))</f>
        <v>-52276</v>
      </c>
      <c r="I80" s="23">
        <f>IF(AND('Part VII-Pro Forma'!$G$8="Yes",'Part VII-Pro Forma'!$G$9="Yes"),"Choose One!",IF('Part VII-Pro Forma'!$G$8="Yes",ROUND((-$K$8*(1+'Part VII-Pro Forma'!$B$6)^('Part VII-Pro Forma'!I73-1)),),IF('Part VII-Pro Forma'!$G$9="Yes",ROUND((-(SUM(I74:I77)*'Part VII-Pro Forma'!$K$9)),),"Choose mgt fee")))</f>
        <v>-53844</v>
      </c>
      <c r="J80" s="23">
        <f>IF(AND('Part VII-Pro Forma'!$G$8="Yes",'Part VII-Pro Forma'!$G$9="Yes"),"Choose One!",IF('Part VII-Pro Forma'!$G$8="Yes",ROUND((-$K$8*(1+'Part VII-Pro Forma'!$B$6)^('Part VII-Pro Forma'!J73-1)),),IF('Part VII-Pro Forma'!$G$9="Yes",ROUND((-(SUM(J74:J77)*'Part VII-Pro Forma'!$K$9)),),"Choose mgt fee")))</f>
        <v>-55459</v>
      </c>
      <c r="K80" s="23">
        <f>IF(AND('Part VII-Pro Forma'!$G$8="Yes",'Part VII-Pro Forma'!$G$9="Yes"),"Choose One!",IF('Part VII-Pro Forma'!$G$8="Yes",ROUND((-$K$8*(1+'Part VII-Pro Forma'!$B$6)^('Part VII-Pro Forma'!K73-1)),),IF('Part VII-Pro Forma'!$G$9="Yes",ROUND((-(SUM(K74:K77)*'Part VII-Pro Forma'!$K$9)),),"Choose mgt fee")))</f>
        <v>-57123</v>
      </c>
      <c r="N80" s="3223"/>
      <c r="O80" s="3224"/>
    </row>
    <row r="81" spans="1:15" ht="13.35" customHeight="1">
      <c r="A81" s="22" t="s">
        <v>1214</v>
      </c>
      <c r="B81" s="23">
        <f t="shared" ref="B81:K81" si="36">$B$21*(1+$B$7)^(B73-1)</f>
        <v>-31028.991011620521</v>
      </c>
      <c r="C81" s="23">
        <f t="shared" si="36"/>
        <v>-31959.860741969133</v>
      </c>
      <c r="D81" s="23">
        <f t="shared" si="36"/>
        <v>-32918.656564228208</v>
      </c>
      <c r="E81" s="23">
        <f t="shared" si="36"/>
        <v>-33906.216261155059</v>
      </c>
      <c r="F81" s="23">
        <f t="shared" si="36"/>
        <v>-34923.402748989705</v>
      </c>
      <c r="G81" s="23">
        <f t="shared" si="36"/>
        <v>-35971.104831459394</v>
      </c>
      <c r="H81" s="23">
        <f t="shared" si="36"/>
        <v>-37050.237976403179</v>
      </c>
      <c r="I81" s="23">
        <f t="shared" si="36"/>
        <v>-38161.745115695274</v>
      </c>
      <c r="J81" s="23">
        <f t="shared" si="36"/>
        <v>-39306.597469166132</v>
      </c>
      <c r="K81" s="24">
        <f t="shared" si="36"/>
        <v>-40485.795393241111</v>
      </c>
      <c r="N81" s="3223"/>
      <c r="O81" s="3224"/>
    </row>
    <row r="82" spans="1:15" ht="13.35" customHeight="1">
      <c r="A82" s="22" t="s">
        <v>1215</v>
      </c>
      <c r="B82" s="23">
        <f t="shared" ref="B82:K82" si="37">SUM(B74:B81)</f>
        <v>25457.699001847861</v>
      </c>
      <c r="C82" s="23">
        <f t="shared" si="37"/>
        <v>20620.327640558367</v>
      </c>
      <c r="D82" s="23">
        <f t="shared" si="37"/>
        <v>15527.245091803285</v>
      </c>
      <c r="E82" s="23">
        <f t="shared" si="37"/>
        <v>10165.679819025943</v>
      </c>
      <c r="F82" s="23">
        <f t="shared" si="37"/>
        <v>4527.5523355547848</v>
      </c>
      <c r="G82" s="23">
        <f t="shared" si="37"/>
        <v>-1398.5349299813824</v>
      </c>
      <c r="H82" s="23">
        <f t="shared" si="37"/>
        <v>-7624.3080901956127</v>
      </c>
      <c r="I82" s="23">
        <f t="shared" si="37"/>
        <v>-14159.832587462719</v>
      </c>
      <c r="J82" s="23">
        <f t="shared" si="37"/>
        <v>-21017.524324738632</v>
      </c>
      <c r="K82" s="24">
        <f t="shared" si="37"/>
        <v>-28210.161149326137</v>
      </c>
      <c r="N82" s="3223"/>
      <c r="O82" s="3224"/>
    </row>
    <row r="83" spans="1:15" ht="13.35" customHeight="1">
      <c r="A83" s="22" t="str">
        <f>$A53</f>
        <v>Mortgage A</v>
      </c>
      <c r="B83" s="3231">
        <f>IF('Part III-Sources of Funds'!$N$37="", 0,-'Part III-Sources of Funds'!$N$37)</f>
        <v>0</v>
      </c>
      <c r="C83" s="3231">
        <f>IF('Part III-Sources of Funds'!$N$37="", 0,-'Part III-Sources of Funds'!$N$37)</f>
        <v>0</v>
      </c>
      <c r="D83" s="3231">
        <f>IF('Part III-Sources of Funds'!$N$37="", 0,-'Part III-Sources of Funds'!$N$37)</f>
        <v>0</v>
      </c>
      <c r="E83" s="3231">
        <f>IF('Part III-Sources of Funds'!$N$37="", 0,-'Part III-Sources of Funds'!$N$37)</f>
        <v>0</v>
      </c>
      <c r="F83" s="3231">
        <f>IF('Part III-Sources of Funds'!$N$37="", 0,-'Part III-Sources of Funds'!$N$37)</f>
        <v>0</v>
      </c>
      <c r="G83" s="3231">
        <f>IF('Part III-Sources of Funds'!$N$37="", 0,-'Part III-Sources of Funds'!$N$37)</f>
        <v>0</v>
      </c>
      <c r="H83" s="3231">
        <f>IF('Part III-Sources of Funds'!$N$37="", 0,-'Part III-Sources of Funds'!$N$37)</f>
        <v>0</v>
      </c>
      <c r="I83" s="3231">
        <f>IF('Part III-Sources of Funds'!$N$37="", 0,-'Part III-Sources of Funds'!$N$37)</f>
        <v>0</v>
      </c>
      <c r="J83" s="3231">
        <f>IF('Part III-Sources of Funds'!$N$37="", 0,-'Part III-Sources of Funds'!$N$37)</f>
        <v>0</v>
      </c>
      <c r="K83" s="3231">
        <f>IF('Part III-Sources of Funds'!$N$37="", 0,-'Part III-Sources of Funds'!$N$37)</f>
        <v>0</v>
      </c>
      <c r="N83" s="3223"/>
      <c r="O83" s="3224"/>
    </row>
    <row r="84" spans="1:15" ht="13.35" customHeight="1">
      <c r="A84" s="22" t="str">
        <f>$A54</f>
        <v>Mortgage B</v>
      </c>
      <c r="B84" s="3232">
        <f>IF('Part III-Sources of Funds'!$N$38="", 0,-'Part III-Sources of Funds'!$N$38)</f>
        <v>0</v>
      </c>
      <c r="C84" s="3232">
        <f>IF('Part III-Sources of Funds'!$N$38="", 0,-'Part III-Sources of Funds'!$N$38)</f>
        <v>0</v>
      </c>
      <c r="D84" s="3232">
        <f>IF('Part III-Sources of Funds'!$N$38="", 0,-'Part III-Sources of Funds'!$N$38)</f>
        <v>0</v>
      </c>
      <c r="E84" s="3232">
        <f>IF('Part III-Sources of Funds'!$N$38="", 0,-'Part III-Sources of Funds'!$N$38)</f>
        <v>0</v>
      </c>
      <c r="F84" s="3232">
        <f>IF('Part III-Sources of Funds'!$N$38="", 0,-'Part III-Sources of Funds'!$N$38)</f>
        <v>0</v>
      </c>
      <c r="G84" s="3232">
        <f>IF('Part III-Sources of Funds'!$N$38="", 0,-'Part III-Sources of Funds'!$N$38)</f>
        <v>0</v>
      </c>
      <c r="H84" s="3232">
        <f>IF('Part III-Sources of Funds'!$N$38="", 0,-'Part III-Sources of Funds'!$N$38)</f>
        <v>0</v>
      </c>
      <c r="I84" s="3232">
        <f>IF('Part III-Sources of Funds'!$N$38="", 0,-'Part III-Sources of Funds'!$N$38)</f>
        <v>0</v>
      </c>
      <c r="J84" s="3232">
        <f>IF('Part III-Sources of Funds'!$N$38="", 0,-'Part III-Sources of Funds'!$N$38)</f>
        <v>0</v>
      </c>
      <c r="K84" s="3232">
        <f>IF('Part III-Sources of Funds'!$N$38="", 0,-'Part III-Sources of Funds'!$N$38)</f>
        <v>0</v>
      </c>
      <c r="N84" s="3223"/>
      <c r="O84" s="3224"/>
    </row>
    <row r="85" spans="1:15" ht="13.35" customHeight="1">
      <c r="A85" s="22" t="str">
        <f>$A55</f>
        <v>Mortgage C</v>
      </c>
      <c r="B85" s="3232">
        <f>IF('Part III-Sources of Funds'!$N$39="", 0,-'Part III-Sources of Funds'!$N$39)</f>
        <v>0</v>
      </c>
      <c r="C85" s="3232">
        <f>IF('Part III-Sources of Funds'!$N$39="", 0,-'Part III-Sources of Funds'!$N$39)</f>
        <v>0</v>
      </c>
      <c r="D85" s="3232">
        <f>IF('Part III-Sources of Funds'!$N$39="", 0,-'Part III-Sources of Funds'!$N$39)</f>
        <v>0</v>
      </c>
      <c r="E85" s="3232">
        <f>IF('Part III-Sources of Funds'!$N$39="", 0,-'Part III-Sources of Funds'!$N$39)</f>
        <v>0</v>
      </c>
      <c r="F85" s="3232">
        <f>IF('Part III-Sources of Funds'!$N$39="", 0,-'Part III-Sources of Funds'!$N$39)</f>
        <v>0</v>
      </c>
      <c r="G85" s="3232">
        <f>IF('Part III-Sources of Funds'!$N$39="", 0,-'Part III-Sources of Funds'!$N$39)</f>
        <v>0</v>
      </c>
      <c r="H85" s="3232">
        <f>IF('Part III-Sources of Funds'!$N$39="", 0,-'Part III-Sources of Funds'!$N$39)</f>
        <v>0</v>
      </c>
      <c r="I85" s="3232">
        <f>IF('Part III-Sources of Funds'!$N$39="", 0,-'Part III-Sources of Funds'!$N$39)</f>
        <v>0</v>
      </c>
      <c r="J85" s="3232">
        <f>IF('Part III-Sources of Funds'!$N$39="", 0,-'Part III-Sources of Funds'!$N$39)</f>
        <v>0</v>
      </c>
      <c r="K85" s="3232">
        <f>IF('Part III-Sources of Funds'!$N$39="", 0,-'Part III-Sources of Funds'!$N$39)</f>
        <v>0</v>
      </c>
      <c r="N85" s="3223"/>
      <c r="O85" s="3224"/>
    </row>
    <row r="86" spans="1:15" ht="13.35" customHeight="1">
      <c r="A86" s="22" t="str">
        <f>$A56</f>
        <v>D/S Other Source,not DDF</v>
      </c>
      <c r="B86" s="3232">
        <f>IF('Part III-Sources of Funds'!$N$40="", 0,-'Part III-Sources of Funds'!$N$40)</f>
        <v>0</v>
      </c>
      <c r="C86" s="3232">
        <f>IF('Part III-Sources of Funds'!$N$40="", 0,-'Part III-Sources of Funds'!$N$40)</f>
        <v>0</v>
      </c>
      <c r="D86" s="3232">
        <f>IF('Part III-Sources of Funds'!$N$40="", 0,-'Part III-Sources of Funds'!$N$40)</f>
        <v>0</v>
      </c>
      <c r="E86" s="3232">
        <f>IF('Part III-Sources of Funds'!$N$40="", 0,-'Part III-Sources of Funds'!$N$40)</f>
        <v>0</v>
      </c>
      <c r="F86" s="3232">
        <f>IF('Part III-Sources of Funds'!$N$40="", 0,-'Part III-Sources of Funds'!$N$40)</f>
        <v>0</v>
      </c>
      <c r="G86" s="3232">
        <f>IF('Part III-Sources of Funds'!$N$40="", 0,-'Part III-Sources of Funds'!$N$40)</f>
        <v>0</v>
      </c>
      <c r="H86" s="3232">
        <f>IF('Part III-Sources of Funds'!$N$40="", 0,-'Part III-Sources of Funds'!$N$40)</f>
        <v>0</v>
      </c>
      <c r="I86" s="3232">
        <f>IF('Part III-Sources of Funds'!$N$40="", 0,-'Part III-Sources of Funds'!$N$40)</f>
        <v>0</v>
      </c>
      <c r="J86" s="3232">
        <f>IF('Part III-Sources of Funds'!$N$40="", 0,-'Part III-Sources of Funds'!$N$40)</f>
        <v>0</v>
      </c>
      <c r="K86" s="3232">
        <f>IF('Part III-Sources of Funds'!$N$40="", 0,-'Part III-Sources of Funds'!$N$40)</f>
        <v>0</v>
      </c>
      <c r="N86" s="3223"/>
      <c r="O86" s="3224"/>
    </row>
    <row r="87" spans="1:15" ht="13.35" customHeight="1">
      <c r="A87" s="22" t="s">
        <v>771</v>
      </c>
      <c r="B87" s="3233"/>
      <c r="C87" s="3233"/>
      <c r="D87" s="3233"/>
      <c r="E87" s="3233"/>
      <c r="F87" s="3233"/>
      <c r="G87" s="3233"/>
      <c r="H87" s="3233"/>
      <c r="I87" s="3233"/>
      <c r="J87" s="3233"/>
      <c r="K87" s="3233"/>
      <c r="N87" s="3223"/>
      <c r="O87" s="3224"/>
    </row>
    <row r="88" spans="1:15" ht="13.35" customHeight="1">
      <c r="A88" s="435" t="s">
        <v>1174</v>
      </c>
      <c r="B88" s="3235">
        <f>+K58</f>
        <v>-7562.9486242755574</v>
      </c>
      <c r="C88" s="3235">
        <f t="shared" ref="C88:K88" si="38">+B88</f>
        <v>-7562.9486242755574</v>
      </c>
      <c r="D88" s="3235">
        <f t="shared" si="38"/>
        <v>-7562.9486242755574</v>
      </c>
      <c r="E88" s="3235">
        <f t="shared" si="38"/>
        <v>-7562.9486242755574</v>
      </c>
      <c r="F88" s="3235">
        <f t="shared" si="38"/>
        <v>-7562.9486242755574</v>
      </c>
      <c r="G88" s="3235">
        <f t="shared" si="38"/>
        <v>-7562.9486242755574</v>
      </c>
      <c r="H88" s="3235">
        <f t="shared" si="38"/>
        <v>-7562.9486242755574</v>
      </c>
      <c r="I88" s="3235">
        <f t="shared" si="38"/>
        <v>-7562.9486242755574</v>
      </c>
      <c r="J88" s="3235">
        <f t="shared" si="38"/>
        <v>-7562.9486242755574</v>
      </c>
      <c r="K88" s="3235">
        <f t="shared" si="38"/>
        <v>-7562.9486242755574</v>
      </c>
      <c r="N88" s="3223"/>
      <c r="O88" s="3224"/>
    </row>
    <row r="89" spans="1:15" ht="13.35" customHeight="1">
      <c r="A89" s="22" t="s">
        <v>1175</v>
      </c>
      <c r="B89" s="23">
        <f t="shared" ref="B89:K89" si="39">SUM(B82:B88)</f>
        <v>17894.750377572302</v>
      </c>
      <c r="C89" s="23">
        <f t="shared" si="39"/>
        <v>13057.37901628281</v>
      </c>
      <c r="D89" s="23">
        <f t="shared" si="39"/>
        <v>7964.2964675277271</v>
      </c>
      <c r="E89" s="23">
        <f t="shared" si="39"/>
        <v>2602.7311947503858</v>
      </c>
      <c r="F89" s="23">
        <f t="shared" si="39"/>
        <v>-3035.3962887207726</v>
      </c>
      <c r="G89" s="23">
        <f t="shared" si="39"/>
        <v>-8961.4835542569399</v>
      </c>
      <c r="H89" s="23">
        <f t="shared" si="39"/>
        <v>-15187.25671447117</v>
      </c>
      <c r="I89" s="23">
        <f t="shared" si="39"/>
        <v>-21722.781211738278</v>
      </c>
      <c r="J89" s="23">
        <f t="shared" si="39"/>
        <v>-28580.472949014191</v>
      </c>
      <c r="K89" s="24">
        <f t="shared" si="39"/>
        <v>-35773.109773601696</v>
      </c>
      <c r="N89" s="3223"/>
      <c r="O89" s="3224"/>
    </row>
    <row r="90" spans="1:15" ht="13.35" customHeight="1">
      <c r="A90" s="22" t="str">
        <f>$A61</f>
        <v>DCR Mortgage A</v>
      </c>
      <c r="B90" s="25" t="str">
        <f>IF(B83=0,"",-B82/B83)</f>
        <v/>
      </c>
      <c r="C90" s="25" t="str">
        <f t="shared" ref="C90:K90" si="40">IF(C83=0,"",-C82/C83)</f>
        <v/>
      </c>
      <c r="D90" s="25" t="str">
        <f t="shared" si="40"/>
        <v/>
      </c>
      <c r="E90" s="25" t="str">
        <f t="shared" si="40"/>
        <v/>
      </c>
      <c r="F90" s="25" t="str">
        <f t="shared" si="40"/>
        <v/>
      </c>
      <c r="G90" s="25" t="str">
        <f t="shared" si="40"/>
        <v/>
      </c>
      <c r="H90" s="25" t="str">
        <f t="shared" si="40"/>
        <v/>
      </c>
      <c r="I90" s="25" t="str">
        <f t="shared" si="40"/>
        <v/>
      </c>
      <c r="J90" s="25" t="str">
        <f t="shared" si="40"/>
        <v/>
      </c>
      <c r="K90" s="26" t="str">
        <f t="shared" si="40"/>
        <v/>
      </c>
      <c r="N90" s="3223"/>
      <c r="O90" s="3224"/>
    </row>
    <row r="91" spans="1:15" ht="13.35" customHeight="1">
      <c r="A91" s="22" t="str">
        <f>$A62</f>
        <v>DCR Mortgage B</v>
      </c>
      <c r="B91" s="25" t="str">
        <f>IF(B84=0,"",-(B82+B83)/B84)</f>
        <v/>
      </c>
      <c r="C91" s="25" t="str">
        <f t="shared" ref="C91:K91" si="41">IF(C84=0,"",-(C82+C83)/C84)</f>
        <v/>
      </c>
      <c r="D91" s="25" t="str">
        <f t="shared" si="41"/>
        <v/>
      </c>
      <c r="E91" s="25" t="str">
        <f t="shared" si="41"/>
        <v/>
      </c>
      <c r="F91" s="25" t="str">
        <f t="shared" si="41"/>
        <v/>
      </c>
      <c r="G91" s="25" t="str">
        <f t="shared" si="41"/>
        <v/>
      </c>
      <c r="H91" s="25" t="str">
        <f t="shared" si="41"/>
        <v/>
      </c>
      <c r="I91" s="25" t="str">
        <f t="shared" si="41"/>
        <v/>
      </c>
      <c r="J91" s="25" t="str">
        <f t="shared" si="41"/>
        <v/>
      </c>
      <c r="K91" s="26" t="str">
        <f t="shared" si="41"/>
        <v/>
      </c>
      <c r="N91" s="3223"/>
      <c r="O91" s="3224"/>
    </row>
    <row r="92" spans="1:15" ht="13.35" customHeight="1">
      <c r="A92" s="22" t="str">
        <f>$A63</f>
        <v>DCR Mortgage C</v>
      </c>
      <c r="B92" s="25" t="str">
        <f>IF(B85=0,"",-(B82+B83+B84)/B85)</f>
        <v/>
      </c>
      <c r="C92" s="25" t="str">
        <f t="shared" ref="C92:K92" si="42">IF(C85=0,"",-(C82+C83+C84)/C85)</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N92" s="3223"/>
      <c r="O92" s="3224"/>
    </row>
    <row r="93" spans="1:15" ht="13.35" customHeight="1">
      <c r="A93" s="22" t="str">
        <f>$A64</f>
        <v>DCR Other Source</v>
      </c>
      <c r="B93" s="25" t="str">
        <f>IF(B86=0,"",-(B82+B83+B84+B85)/B86)</f>
        <v/>
      </c>
      <c r="C93" s="25" t="str">
        <f t="shared" ref="C93:K93" si="43">IF(C86=0,"",-(C82+C83+C84+C85)/C86)</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N93" s="3223"/>
      <c r="O93" s="3224"/>
    </row>
    <row r="94" spans="1:15" ht="13.35" customHeight="1">
      <c r="A94" s="435" t="s">
        <v>3738</v>
      </c>
      <c r="B94" s="25" t="str">
        <f>IF(AND(B83=0,B84=0,B85=0,B86=0),"",-B82/(B83+B84+B85+B86))</f>
        <v/>
      </c>
      <c r="C94" s="25" t="str">
        <f t="shared" ref="C94:K94" si="44">IF(AND(C83=0,C84=0,C85=0,C86=0),"",-C82/(C83+C84+C85+C86))</f>
        <v/>
      </c>
      <c r="D94" s="25" t="str">
        <f t="shared" si="44"/>
        <v/>
      </c>
      <c r="E94" s="25" t="str">
        <f t="shared" si="44"/>
        <v/>
      </c>
      <c r="F94" s="25" t="str">
        <f t="shared" si="44"/>
        <v/>
      </c>
      <c r="G94" s="25" t="str">
        <f t="shared" si="44"/>
        <v/>
      </c>
      <c r="H94" s="25" t="str">
        <f t="shared" si="44"/>
        <v/>
      </c>
      <c r="I94" s="25" t="str">
        <f t="shared" si="44"/>
        <v/>
      </c>
      <c r="J94" s="25" t="str">
        <f t="shared" si="44"/>
        <v/>
      </c>
      <c r="K94" s="26" t="str">
        <f t="shared" si="44"/>
        <v/>
      </c>
      <c r="N94" s="3223"/>
      <c r="O94" s="3224"/>
    </row>
    <row r="95" spans="1:15" ht="13.35" customHeight="1">
      <c r="A95" s="22" t="s">
        <v>778</v>
      </c>
      <c r="B95" s="274">
        <f>IF(OR(B80="Choose mgt fee",B80="Choose One!"),"",(B74+B75+B76+B77+B78) / -(B79+B80+B81))</f>
        <v>1.0476207529593577</v>
      </c>
      <c r="C95" s="274">
        <f t="shared" ref="C95:K95" si="45">IF(OR(C80="Choose mgt fee",C80="Choose One!"),"",(C74+C75+C76+C77+C78) / -(C79+C80+C81))</f>
        <v>1.0374485472213917</v>
      </c>
      <c r="D95" s="274">
        <f t="shared" si="45"/>
        <v>1.0273777166384002</v>
      </c>
      <c r="E95" s="274">
        <f t="shared" si="45"/>
        <v>1.017402095883789</v>
      </c>
      <c r="F95" s="274">
        <f t="shared" si="45"/>
        <v>1.0075247405313126</v>
      </c>
      <c r="G95" s="274">
        <f t="shared" si="45"/>
        <v>0.99774334941889908</v>
      </c>
      <c r="H95" s="274">
        <f t="shared" si="45"/>
        <v>0.98805588615589146</v>
      </c>
      <c r="I95" s="274">
        <f t="shared" si="45"/>
        <v>0.97846352725777408</v>
      </c>
      <c r="J95" s="274">
        <f t="shared" si="45"/>
        <v>0.96896433922660208</v>
      </c>
      <c r="K95" s="275">
        <f t="shared" si="45"/>
        <v>0.95955660205437243</v>
      </c>
      <c r="N95" s="3223"/>
      <c r="O95" s="3224"/>
    </row>
    <row r="96" spans="1:15" ht="13.35" customHeight="1">
      <c r="A96" s="435" t="s">
        <v>2634</v>
      </c>
      <c r="B96" s="3236" t="str">
        <f>IF('Part III-Sources of Funds'!$I$37="","",-FV('Part III-Sources of Funds'!$K$37/12,12,B83/12,K67))</f>
        <v/>
      </c>
      <c r="C96" s="3236" t="str">
        <f>IF('Part III-Sources of Funds'!$I$37="","",-FV('Part III-Sources of Funds'!$K$37/12,12,C83/12,B96))</f>
        <v/>
      </c>
      <c r="D96" s="3236" t="str">
        <f>IF('Part III-Sources of Funds'!$I$37="","",-FV('Part III-Sources of Funds'!$K$37/12,12,D83/12,C96))</f>
        <v/>
      </c>
      <c r="E96" s="3236" t="str">
        <f>IF('Part III-Sources of Funds'!$I$37="","",-FV('Part III-Sources of Funds'!$K$37/12,12,E83/12,D96))</f>
        <v/>
      </c>
      <c r="F96" s="3236" t="str">
        <f>IF('Part III-Sources of Funds'!$I$37="","",-FV('Part III-Sources of Funds'!$K$37/12,12,F83/12,E96))</f>
        <v/>
      </c>
      <c r="G96" s="3236" t="str">
        <f>IF('Part III-Sources of Funds'!$I$37="","",-FV('Part III-Sources of Funds'!$K$37/12,12,G83/12,F96))</f>
        <v/>
      </c>
      <c r="H96" s="3236" t="str">
        <f>IF('Part III-Sources of Funds'!$I$37="","",-FV('Part III-Sources of Funds'!$K$37/12,12,H83/12,G96))</f>
        <v/>
      </c>
      <c r="I96" s="3236" t="str">
        <f>IF('Part III-Sources of Funds'!$I$37="","",-FV('Part III-Sources of Funds'!$K$37/12,12,I83/12,H96))</f>
        <v/>
      </c>
      <c r="J96" s="3236" t="str">
        <f>IF('Part III-Sources of Funds'!$I$37="","",-FV('Part III-Sources of Funds'!$K$37/12,12,J83/12,I96))</f>
        <v/>
      </c>
      <c r="K96" s="3236" t="str">
        <f>IF('Part III-Sources of Funds'!$I$37="","",-FV('Part III-Sources of Funds'!$K$37/12,12,K83/12,J96))</f>
        <v/>
      </c>
      <c r="N96" s="3223"/>
      <c r="O96" s="3224"/>
    </row>
    <row r="97" spans="1:15" ht="13.35" customHeight="1">
      <c r="A97" s="435" t="s">
        <v>2635</v>
      </c>
      <c r="B97" s="3232" t="str">
        <f>IF('Part III-Sources of Funds'!$I$38="","",-FV('Part III-Sources of Funds'!$K$38/12,12,B84/12,K68))</f>
        <v/>
      </c>
      <c r="C97" s="3232" t="str">
        <f>IF('Part III-Sources of Funds'!$I$38="","",-FV('Part III-Sources of Funds'!$K$38/12,12,C84/12,B97))</f>
        <v/>
      </c>
      <c r="D97" s="3232" t="str">
        <f>IF('Part III-Sources of Funds'!$I$38="","",-FV('Part III-Sources of Funds'!$K$38/12,12,D84/12,C97))</f>
        <v/>
      </c>
      <c r="E97" s="3232" t="str">
        <f>IF('Part III-Sources of Funds'!$I$38="","",-FV('Part III-Sources of Funds'!$K$38/12,12,E84/12,D97))</f>
        <v/>
      </c>
      <c r="F97" s="3232" t="str">
        <f>IF('Part III-Sources of Funds'!$I$38="","",-FV('Part III-Sources of Funds'!$K$38/12,12,F84/12,E97))</f>
        <v/>
      </c>
      <c r="G97" s="3232" t="str">
        <f>IF('Part III-Sources of Funds'!$I$38="","",-FV('Part III-Sources of Funds'!$K$38/12,12,G84/12,F97))</f>
        <v/>
      </c>
      <c r="H97" s="3232" t="str">
        <f>IF('Part III-Sources of Funds'!$I$38="","",-FV('Part III-Sources of Funds'!$K$38/12,12,H84/12,G97))</f>
        <v/>
      </c>
      <c r="I97" s="3232" t="str">
        <f>IF('Part III-Sources of Funds'!$I$38="","",-FV('Part III-Sources of Funds'!$K$38/12,12,I84/12,H97))</f>
        <v/>
      </c>
      <c r="J97" s="3232" t="str">
        <f>IF('Part III-Sources of Funds'!$I$38="","",-FV('Part III-Sources of Funds'!$K$38/12,12,J84/12,I97))</f>
        <v/>
      </c>
      <c r="K97" s="3232" t="str">
        <f>IF('Part III-Sources of Funds'!$I$38="","",-FV('Part III-Sources of Funds'!$K$38/12,12,K84/12,J97))</f>
        <v/>
      </c>
      <c r="N97" s="3223"/>
      <c r="O97" s="3224"/>
    </row>
    <row r="98" spans="1:15" ht="13.35" customHeight="1">
      <c r="A98" s="435" t="s">
        <v>2636</v>
      </c>
      <c r="B98" s="3232" t="str">
        <f>IF('Part III-Sources of Funds'!$I$39="","",-FV('Part III-Sources of Funds'!$K$39/12,12,B85/12,K69))</f>
        <v/>
      </c>
      <c r="C98" s="3232" t="str">
        <f>IF('Part III-Sources of Funds'!$I$39="","",-FV('Part III-Sources of Funds'!$K$39/12,12,C85/12,B98))</f>
        <v/>
      </c>
      <c r="D98" s="3232" t="str">
        <f>IF('Part III-Sources of Funds'!$I$39="","",-FV('Part III-Sources of Funds'!$K$39/12,12,D85/12,C98))</f>
        <v/>
      </c>
      <c r="E98" s="3232" t="str">
        <f>IF('Part III-Sources of Funds'!$I$39="","",-FV('Part III-Sources of Funds'!$K$39/12,12,E85/12,D98))</f>
        <v/>
      </c>
      <c r="F98" s="3232" t="str">
        <f>IF('Part III-Sources of Funds'!$I$39="","",-FV('Part III-Sources of Funds'!$K$39/12,12,F85/12,E98))</f>
        <v/>
      </c>
      <c r="G98" s="3232" t="str">
        <f>IF('Part III-Sources of Funds'!$I$39="","",-FV('Part III-Sources of Funds'!$K$39/12,12,G85/12,F98))</f>
        <v/>
      </c>
      <c r="H98" s="3232" t="str">
        <f>IF('Part III-Sources of Funds'!$I$39="","",-FV('Part III-Sources of Funds'!$K$39/12,12,H85/12,G98))</f>
        <v/>
      </c>
      <c r="I98" s="3232" t="str">
        <f>IF('Part III-Sources of Funds'!$I$39="","",-FV('Part III-Sources of Funds'!$K$39/12,12,I85/12,H98))</f>
        <v/>
      </c>
      <c r="J98" s="3232" t="str">
        <f>IF('Part III-Sources of Funds'!$I$39="","",-FV('Part III-Sources of Funds'!$K$39/12,12,J85/12,I98))</f>
        <v/>
      </c>
      <c r="K98" s="3232" t="str">
        <f>IF('Part III-Sources of Funds'!$I$39="","",-FV('Part III-Sources of Funds'!$K$39/12,12,K85/12,J98))</f>
        <v/>
      </c>
      <c r="N98" s="3223"/>
      <c r="O98" s="3224"/>
    </row>
    <row r="99" spans="1:15" ht="13.35" customHeight="1">
      <c r="A99" s="22" t="s">
        <v>792</v>
      </c>
      <c r="B99" s="3235" t="str">
        <f>IF('Part III-Sources of Funds'!$I$40="","",-FV('Part III-Sources of Funds'!$K$40/12,12,B86/12,K70))</f>
        <v/>
      </c>
      <c r="C99" s="3235" t="str">
        <f>IF('Part III-Sources of Funds'!$I$40="","",-FV('Part III-Sources of Funds'!$K$40/12,12,C86/12,B99))</f>
        <v/>
      </c>
      <c r="D99" s="3235" t="str">
        <f>IF('Part III-Sources of Funds'!$I$40="","",-FV('Part III-Sources of Funds'!$K$40/12,12,D86/12,C99))</f>
        <v/>
      </c>
      <c r="E99" s="3235" t="str">
        <f>IF('Part III-Sources of Funds'!$I$40="","",-FV('Part III-Sources of Funds'!$K$40/12,12,E86/12,D99))</f>
        <v/>
      </c>
      <c r="F99" s="3235" t="str">
        <f>IF('Part III-Sources of Funds'!$I$40="","",-FV('Part III-Sources of Funds'!$K$40/12,12,F86/12,E99))</f>
        <v/>
      </c>
      <c r="G99" s="3235" t="str">
        <f>IF('Part III-Sources of Funds'!$I$40="","",-FV('Part III-Sources of Funds'!$K$40/12,12,G86/12,F99))</f>
        <v/>
      </c>
      <c r="H99" s="3235" t="str">
        <f>IF('Part III-Sources of Funds'!$I$40="","",-FV('Part III-Sources of Funds'!$K$40/12,12,H86/12,G99))</f>
        <v/>
      </c>
      <c r="I99" s="3235" t="str">
        <f>IF('Part III-Sources of Funds'!$I$40="","",-FV('Part III-Sources of Funds'!$K$40/12,12,I86/12,H99))</f>
        <v/>
      </c>
      <c r="J99" s="3235" t="str">
        <f>IF('Part III-Sources of Funds'!$I$40="","",-FV('Part III-Sources of Funds'!$K$40/12,12,J86/12,I99))</f>
        <v/>
      </c>
      <c r="K99" s="3235" t="str">
        <f>IF('Part III-Sources of Funds'!$I$40="","",-FV('Part III-Sources of Funds'!$K$40/12,12,K86/12,J99))</f>
        <v/>
      </c>
      <c r="N99" s="3229"/>
      <c r="O99" s="3230"/>
    </row>
    <row r="100" spans="1:15" ht="4.3499999999999996"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3728</v>
      </c>
      <c r="O101" s="1724"/>
    </row>
    <row r="102" spans="1:15" ht="13.35" customHeight="1">
      <c r="A102" s="19" t="s">
        <v>2420</v>
      </c>
      <c r="B102" s="20">
        <f>$B$14*(1+$B$5)^(B101-1)</f>
        <v>719690.18459594436</v>
      </c>
      <c r="C102" s="20">
        <f>$B$14*(1+$B$5)^(C101-1)</f>
        <v>734083.98828786309</v>
      </c>
      <c r="D102" s="20">
        <f>$B$14*(1+$B$5)^(D101-1)</f>
        <v>748765.66805362049</v>
      </c>
      <c r="E102" s="20">
        <f>$B$14*(1+$B$5)^(E101-1)</f>
        <v>763740.98141469306</v>
      </c>
      <c r="F102" s="670">
        <f>$B$14*(1+$B$5)^(F101-1)</f>
        <v>779015.8010429868</v>
      </c>
      <c r="G102" s="18"/>
      <c r="H102" s="18"/>
      <c r="I102" s="18"/>
      <c r="J102" s="18"/>
      <c r="K102" s="18"/>
      <c r="N102" s="3221"/>
      <c r="O102" s="3222"/>
    </row>
    <row r="103" spans="1:15" ht="13.35" customHeight="1">
      <c r="A103" s="22" t="s">
        <v>1026</v>
      </c>
      <c r="B103" s="23">
        <f>$B$15*(1+$B$5)^(B101-1)</f>
        <v>14393.803691918889</v>
      </c>
      <c r="C103" s="23">
        <f>$B$15*(1+$B$5)^(C101-1)</f>
        <v>14681.679765757264</v>
      </c>
      <c r="D103" s="23">
        <f>$B$15*(1+$B$5)^(D101-1)</f>
        <v>14975.313361072413</v>
      </c>
      <c r="E103" s="23">
        <f>$B$15*(1+$B$5)^(E101-1)</f>
        <v>15274.819628293861</v>
      </c>
      <c r="F103" s="24">
        <f>$B$15*(1+$B$5)^(F101-1)</f>
        <v>15580.316020859736</v>
      </c>
      <c r="G103" s="18"/>
      <c r="H103" s="18"/>
      <c r="I103" s="18"/>
      <c r="J103" s="18"/>
      <c r="K103" s="18"/>
      <c r="N103" s="3223"/>
      <c r="O103" s="3224"/>
    </row>
    <row r="104" spans="1:15" ht="13.35" customHeight="1">
      <c r="A104" s="22" t="s">
        <v>2421</v>
      </c>
      <c r="B104" s="23">
        <f>-(B102+B103)*$B$8</f>
        <v>-51385.879180150427</v>
      </c>
      <c r="C104" s="23">
        <f>-(C102+C103)*$B$8</f>
        <v>-52413.596763753434</v>
      </c>
      <c r="D104" s="23">
        <f>-(D102+D103)*$B$8</f>
        <v>-53461.868699028513</v>
      </c>
      <c r="E104" s="23">
        <f>-(E102+E103)*$B$8</f>
        <v>-54531.10607300909</v>
      </c>
      <c r="F104" s="24">
        <f>-(F102+F103)*$B$8</f>
        <v>-55621.728194469266</v>
      </c>
      <c r="G104" s="18"/>
      <c r="H104" s="18"/>
      <c r="I104" s="18"/>
      <c r="J104" s="18"/>
      <c r="K104" s="18"/>
      <c r="N104" s="3223"/>
      <c r="O104" s="3224"/>
    </row>
    <row r="105" spans="1:15" ht="13.3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3"/>
      <c r="O105" s="3224"/>
    </row>
    <row r="106" spans="1:15" ht="13.3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3"/>
      <c r="O106" s="3224"/>
    </row>
    <row r="107" spans="1:15" ht="13.35" customHeight="1">
      <c r="A107" s="22" t="s">
        <v>620</v>
      </c>
      <c r="B107" s="23">
        <f>$B$19*(1+$B$6)^(B101-1)</f>
        <v>-617910.63455322268</v>
      </c>
      <c r="C107" s="23">
        <f>$B$19*(1+$B$6)^(C101-1)</f>
        <v>-636447.95358981949</v>
      </c>
      <c r="D107" s="23">
        <f>$B$19*(1+$B$6)^(D101-1)</f>
        <v>-655541.39219751395</v>
      </c>
      <c r="E107" s="23">
        <f>$B$19*(1+$B$6)^(E101-1)</f>
        <v>-675207.63396343938</v>
      </c>
      <c r="F107" s="24">
        <f>$B$19*(1+$B$6)^(F101-1)</f>
        <v>-695463.86298234249</v>
      </c>
      <c r="G107" s="18"/>
      <c r="H107" s="18"/>
      <c r="I107" s="18"/>
      <c r="J107" s="18"/>
      <c r="K107" s="18"/>
      <c r="N107" s="3223"/>
      <c r="O107" s="3224"/>
    </row>
    <row r="108" spans="1:15" ht="13.35" customHeight="1">
      <c r="A108" s="22" t="s">
        <v>1125</v>
      </c>
      <c r="B108" s="23">
        <f>IF(AND('Part VII-Pro Forma'!$G$8="Yes",'Part VII-Pro Forma'!$G$9="Yes"),"Choose One!",IF('Part VII-Pro Forma'!$G$8="Yes",ROUND((-$K$8*(1+'Part VII-Pro Forma'!$B$6)^('Part VII-Pro Forma'!B101-1)),),IF('Part VII-Pro Forma'!$G$9="Yes",ROUND((-(SUM(B102:B105)*'Part VII-Pro Forma'!$K$9)),),"Choose mgt fee")))</f>
        <v>-58837</v>
      </c>
      <c r="C108" s="23">
        <f>IF(AND('Part VII-Pro Forma'!$G$8="Yes",'Part VII-Pro Forma'!$G$9="Yes"),"Choose One!",IF('Part VII-Pro Forma'!$G$8="Yes",ROUND((-$K$8*(1+'Part VII-Pro Forma'!$B$6)^('Part VII-Pro Forma'!C101-1)),),IF('Part VII-Pro Forma'!$G$9="Yes",ROUND((-(SUM(C102:C105)*'Part VII-Pro Forma'!$K$9)),),"Choose mgt fee")))</f>
        <v>-60602</v>
      </c>
      <c r="D108" s="23">
        <f>IF(AND('Part VII-Pro Forma'!$G$8="Yes",'Part VII-Pro Forma'!$G$9="Yes"),"Choose One!",IF('Part VII-Pro Forma'!$G$8="Yes",ROUND((-$K$8*(1+'Part VII-Pro Forma'!$B$6)^('Part VII-Pro Forma'!D101-1)),),IF('Part VII-Pro Forma'!$G$9="Yes",ROUND((-(SUM(D102:D105)*'Part VII-Pro Forma'!$K$9)),),"Choose mgt fee")))</f>
        <v>-62420</v>
      </c>
      <c r="E108" s="23">
        <f>IF(AND('Part VII-Pro Forma'!$G$8="Yes",'Part VII-Pro Forma'!$G$9="Yes"),"Choose One!",IF('Part VII-Pro Forma'!$G$8="Yes",ROUND((-$K$8*(1+'Part VII-Pro Forma'!$B$6)^('Part VII-Pro Forma'!E101-1)),),IF('Part VII-Pro Forma'!$G$9="Yes",ROUND((-(SUM(E102:E105)*'Part VII-Pro Forma'!$K$9)),),"Choose mgt fee")))</f>
        <v>-64293</v>
      </c>
      <c r="F108" s="24">
        <f>IF(AND('Part VII-Pro Forma'!$G$8="Yes",'Part VII-Pro Forma'!$G$9="Yes"),"Choose One!",IF('Part VII-Pro Forma'!$G$8="Yes",ROUND((-$K$8*(1+'Part VII-Pro Forma'!$B$6)^('Part VII-Pro Forma'!F101-1)),),IF('Part VII-Pro Forma'!$G$9="Yes",ROUND((-(SUM(F102:F105)*'Part VII-Pro Forma'!$K$9)),),"Choose mgt fee")))</f>
        <v>-66221</v>
      </c>
      <c r="G108" s="18"/>
      <c r="H108" s="18"/>
      <c r="I108" s="18"/>
      <c r="J108" s="18"/>
      <c r="K108" s="18"/>
      <c r="N108" s="3223"/>
      <c r="O108" s="3224"/>
    </row>
    <row r="109" spans="1:15" ht="13.35" customHeight="1">
      <c r="A109" s="22" t="s">
        <v>1214</v>
      </c>
      <c r="B109" s="23">
        <f>$B$21*(1+$B$7)^(B101-1)</f>
        <v>-41700.369255038342</v>
      </c>
      <c r="C109" s="23">
        <f>$B$21*(1+$B$7)^(C101-1)</f>
        <v>-42951.380332689499</v>
      </c>
      <c r="D109" s="23">
        <f>$B$21*(1+$B$7)^(D101-1)</f>
        <v>-44239.92174267018</v>
      </c>
      <c r="E109" s="23">
        <f>$B$21*(1+$B$7)^(E101-1)</f>
        <v>-45567.119394950285</v>
      </c>
      <c r="F109" s="24">
        <f>$B$21*(1+$B$7)^(F101-1)</f>
        <v>-46934.132976798785</v>
      </c>
      <c r="G109" s="18"/>
      <c r="H109" s="18"/>
      <c r="I109" s="18"/>
      <c r="J109" s="18"/>
      <c r="K109" s="18"/>
      <c r="N109" s="3223"/>
      <c r="O109" s="3224"/>
    </row>
    <row r="110" spans="1:15" ht="13.35" customHeight="1">
      <c r="A110" s="22" t="s">
        <v>1215</v>
      </c>
      <c r="B110" s="23">
        <f>SUM(B102:B109)</f>
        <v>-35749.894700548277</v>
      </c>
      <c r="C110" s="23">
        <f>SUM(C102:C109)</f>
        <v>-43649.262632642058</v>
      </c>
      <c r="D110" s="23">
        <f>SUM(D102:D109)</f>
        <v>-51922.201224519697</v>
      </c>
      <c r="E110" s="23">
        <f>SUM(E102:E109)</f>
        <v>-60583.058388411831</v>
      </c>
      <c r="F110" s="24">
        <f>SUM(F102:F109)</f>
        <v>-69644.607089763944</v>
      </c>
      <c r="G110" s="18"/>
      <c r="H110" s="18"/>
      <c r="I110" s="18"/>
      <c r="J110" s="18"/>
      <c r="K110" s="18"/>
      <c r="N110" s="3223"/>
      <c r="O110" s="3224"/>
    </row>
    <row r="111" spans="1:15" ht="13.35" customHeight="1">
      <c r="A111" s="22" t="str">
        <f>$A83</f>
        <v>Mortgage A</v>
      </c>
      <c r="B111" s="3231">
        <f>IF('Part III-Sources of Funds'!$N$37="", 0,-'Part III-Sources of Funds'!$N$37)</f>
        <v>0</v>
      </c>
      <c r="C111" s="3231">
        <f>IF('Part III-Sources of Funds'!$N$37="", 0,-'Part III-Sources of Funds'!$N$37)</f>
        <v>0</v>
      </c>
      <c r="D111" s="3231">
        <f>IF('Part III-Sources of Funds'!$N$37="", 0,-'Part III-Sources of Funds'!$N$37)</f>
        <v>0</v>
      </c>
      <c r="E111" s="3231">
        <f>IF('Part III-Sources of Funds'!$N$37="", 0,-'Part III-Sources of Funds'!$N$37)</f>
        <v>0</v>
      </c>
      <c r="F111" s="3231">
        <f>IF('Part III-Sources of Funds'!$N$37="", 0,-'Part III-Sources of Funds'!$N$37)</f>
        <v>0</v>
      </c>
      <c r="G111" s="18"/>
      <c r="H111" s="18"/>
      <c r="I111" s="18"/>
      <c r="J111" s="18"/>
      <c r="K111" s="18"/>
      <c r="N111" s="3223"/>
      <c r="O111" s="3224"/>
    </row>
    <row r="112" spans="1:15" ht="13.35" customHeight="1">
      <c r="A112" s="22" t="str">
        <f>$A84</f>
        <v>Mortgage B</v>
      </c>
      <c r="B112" s="3232">
        <f>IF('Part III-Sources of Funds'!$N$38="", 0,-'Part III-Sources of Funds'!$N$38)</f>
        <v>0</v>
      </c>
      <c r="C112" s="3232">
        <f>IF('Part III-Sources of Funds'!$N$38="", 0,-'Part III-Sources of Funds'!$N$38)</f>
        <v>0</v>
      </c>
      <c r="D112" s="3232">
        <f>IF('Part III-Sources of Funds'!$N$38="", 0,-'Part III-Sources of Funds'!$N$38)</f>
        <v>0</v>
      </c>
      <c r="E112" s="3232">
        <f>IF('Part III-Sources of Funds'!$N$38="", 0,-'Part III-Sources of Funds'!$N$38)</f>
        <v>0</v>
      </c>
      <c r="F112" s="3232">
        <f>IF('Part III-Sources of Funds'!$N$38="", 0,-'Part III-Sources of Funds'!$N$38)</f>
        <v>0</v>
      </c>
      <c r="G112" s="18"/>
      <c r="H112" s="18"/>
      <c r="I112" s="18"/>
      <c r="J112" s="18"/>
      <c r="K112" s="18"/>
      <c r="N112" s="3223"/>
      <c r="O112" s="3224"/>
    </row>
    <row r="113" spans="1:15" ht="13.35" customHeight="1">
      <c r="A113" s="22" t="str">
        <f>$A85</f>
        <v>Mortgage C</v>
      </c>
      <c r="B113" s="3232">
        <f>IF('Part III-Sources of Funds'!$N$39="", 0,-'Part III-Sources of Funds'!$N$39)</f>
        <v>0</v>
      </c>
      <c r="C113" s="3232">
        <f>IF('Part III-Sources of Funds'!$N$39="", 0,-'Part III-Sources of Funds'!$N$39)</f>
        <v>0</v>
      </c>
      <c r="D113" s="3232">
        <f>IF('Part III-Sources of Funds'!$N$39="", 0,-'Part III-Sources of Funds'!$N$39)</f>
        <v>0</v>
      </c>
      <c r="E113" s="3232">
        <f>IF('Part III-Sources of Funds'!$N$39="", 0,-'Part III-Sources of Funds'!$N$39)</f>
        <v>0</v>
      </c>
      <c r="F113" s="3232">
        <f>IF('Part III-Sources of Funds'!$N$39="", 0,-'Part III-Sources of Funds'!$N$39)</f>
        <v>0</v>
      </c>
      <c r="G113" s="18"/>
      <c r="H113" s="18"/>
      <c r="I113" s="18"/>
      <c r="J113" s="18"/>
      <c r="K113" s="18"/>
      <c r="N113" s="3223"/>
      <c r="O113" s="3224"/>
    </row>
    <row r="114" spans="1:15" ht="13.35" customHeight="1">
      <c r="A114" s="22" t="str">
        <f>$A86</f>
        <v>D/S Other Source,not DDF</v>
      </c>
      <c r="B114" s="3232">
        <f>IF('Part III-Sources of Funds'!$N$40="", 0,-'Part III-Sources of Funds'!$N$40)</f>
        <v>0</v>
      </c>
      <c r="C114" s="3232">
        <f>IF('Part III-Sources of Funds'!$N$40="", 0,-'Part III-Sources of Funds'!$N$40)</f>
        <v>0</v>
      </c>
      <c r="D114" s="3232">
        <f>IF('Part III-Sources of Funds'!$N$40="", 0,-'Part III-Sources of Funds'!$N$40)</f>
        <v>0</v>
      </c>
      <c r="E114" s="3232">
        <f>IF('Part III-Sources of Funds'!$N$40="", 0,-'Part III-Sources of Funds'!$N$40)</f>
        <v>0</v>
      </c>
      <c r="F114" s="3232">
        <f>IF('Part III-Sources of Funds'!$N$40="", 0,-'Part III-Sources of Funds'!$N$40)</f>
        <v>0</v>
      </c>
      <c r="G114" s="18"/>
      <c r="H114" s="18"/>
      <c r="I114" s="18"/>
      <c r="J114" s="18"/>
      <c r="K114" s="18"/>
      <c r="N114" s="3223"/>
      <c r="O114" s="3224"/>
    </row>
    <row r="115" spans="1:15" ht="13.35" customHeight="1">
      <c r="A115" s="22" t="s">
        <v>771</v>
      </c>
      <c r="B115" s="3233"/>
      <c r="C115" s="3233"/>
      <c r="D115" s="3233"/>
      <c r="E115" s="3233"/>
      <c r="F115" s="3233"/>
      <c r="G115" s="18"/>
      <c r="H115" s="18"/>
      <c r="I115" s="18"/>
      <c r="J115" s="18"/>
      <c r="K115" s="18"/>
      <c r="N115" s="3223"/>
      <c r="O115" s="3224"/>
    </row>
    <row r="116" spans="1:15" ht="13.35" customHeight="1">
      <c r="A116" s="22" t="s">
        <v>1174</v>
      </c>
      <c r="B116" s="3235">
        <f>+K88</f>
        <v>-7562.9486242755574</v>
      </c>
      <c r="C116" s="3235">
        <f>+B116</f>
        <v>-7562.9486242755574</v>
      </c>
      <c r="D116" s="3235">
        <f>+C116</f>
        <v>-7562.9486242755574</v>
      </c>
      <c r="E116" s="3235">
        <f>+D116</f>
        <v>-7562.9486242755574</v>
      </c>
      <c r="F116" s="3235">
        <f>+E116</f>
        <v>-7562.9486242755574</v>
      </c>
      <c r="G116" s="18"/>
      <c r="H116" s="18"/>
      <c r="I116" s="18"/>
      <c r="J116" s="18"/>
      <c r="K116" s="18"/>
      <c r="N116" s="3223"/>
      <c r="O116" s="3224"/>
    </row>
    <row r="117" spans="1:15" ht="13.35" customHeight="1">
      <c r="A117" s="22" t="s">
        <v>1175</v>
      </c>
      <c r="B117" s="23">
        <f>SUM(B110:B116)</f>
        <v>-43312.843324823836</v>
      </c>
      <c r="C117" s="23">
        <f>SUM(C110:C116)</f>
        <v>-51212.211256917617</v>
      </c>
      <c r="D117" s="23">
        <f>SUM(D110:D116)</f>
        <v>-59485.149848795256</v>
      </c>
      <c r="E117" s="23">
        <f>SUM(E110:E116)</f>
        <v>-68146.007012687391</v>
      </c>
      <c r="F117" s="24">
        <f>SUM(F110:F116)</f>
        <v>-77207.555714039496</v>
      </c>
      <c r="G117" s="18"/>
      <c r="H117" s="18"/>
      <c r="I117" s="18"/>
      <c r="J117" s="18"/>
      <c r="K117" s="18"/>
      <c r="N117" s="3223"/>
      <c r="O117" s="3224"/>
    </row>
    <row r="118" spans="1:15" ht="13.3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23"/>
      <c r="O118" s="3224"/>
    </row>
    <row r="119" spans="1:15" ht="13.3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3"/>
      <c r="O119" s="3224"/>
    </row>
    <row r="120" spans="1:15" ht="13.3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3"/>
      <c r="O120" s="3224"/>
    </row>
    <row r="121" spans="1:15" ht="13.3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3"/>
      <c r="O121" s="3224"/>
    </row>
    <row r="122" spans="1:15" ht="13.35" customHeight="1">
      <c r="A122" s="435" t="s">
        <v>3738</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23"/>
      <c r="O122" s="3224"/>
    </row>
    <row r="123" spans="1:15" ht="13.35" customHeight="1">
      <c r="A123" s="22" t="s">
        <v>778</v>
      </c>
      <c r="B123" s="274">
        <f>IF(OR(B108="Choose mgt fee",B108="Choose One!"),"",(B102+B103+B104+B105+B106) / -(B107+B108+B109))</f>
        <v>0.95024010852413865</v>
      </c>
      <c r="C123" s="274">
        <f>IF(OR(C108="Choose mgt fee",C108="Choose One!"),"",(C102+C103+C104+C105+C106) / -(C107+C108+C109))</f>
        <v>0.9410146162828229</v>
      </c>
      <c r="D123" s="274">
        <f>IF(OR(D108="Choose mgt fee",D108="Choose One!"),"",(D102+D103+D104+D105+D106) / -(D107+D108+D109))</f>
        <v>0.93187862540395139</v>
      </c>
      <c r="E123" s="274">
        <f>IF(OR(E108="Choose mgt fee",E108="Choose One!"),"",(E102+E103+E104+E105+E106) / -(E107+E108+E109))</f>
        <v>0.92283078991686052</v>
      </c>
      <c r="F123" s="671">
        <f>IF(OR(F108="Choose mgt fee",F108="Choose One!"),"",(F102+F103+F104+F105+F106) / -(F107+F108+F109))</f>
        <v>0.91387216051342546</v>
      </c>
      <c r="G123" s="18"/>
      <c r="H123" s="18"/>
      <c r="I123" s="18"/>
      <c r="J123" s="18"/>
      <c r="K123" s="18"/>
      <c r="N123" s="3223"/>
      <c r="O123" s="3224"/>
    </row>
    <row r="124" spans="1:15" ht="13.35" customHeight="1">
      <c r="A124" s="435" t="s">
        <v>2634</v>
      </c>
      <c r="B124" s="3236" t="str">
        <f>IF('Part III-Sources of Funds'!$I$37="","",-FV('Part III-Sources of Funds'!$K$37/12,12,B111/12,K96))</f>
        <v/>
      </c>
      <c r="C124" s="3236" t="str">
        <f>IF('Part III-Sources of Funds'!$I$37="","",-FV('Part III-Sources of Funds'!$K$37/12,12,C111/12,B124))</f>
        <v/>
      </c>
      <c r="D124" s="3236" t="str">
        <f>IF('Part III-Sources of Funds'!$I$37="","",-FV('Part III-Sources of Funds'!$K$37/12,12,D111/12,C124))</f>
        <v/>
      </c>
      <c r="E124" s="3236" t="str">
        <f>IF('Part III-Sources of Funds'!$I$37="","",-FV('Part III-Sources of Funds'!$K$37/12,12,E111/12,D124))</f>
        <v/>
      </c>
      <c r="F124" s="3236" t="str">
        <f>IF('Part III-Sources of Funds'!$I$37="","",-FV('Part III-Sources of Funds'!$K$37/12,12,F111/12,E124))</f>
        <v/>
      </c>
      <c r="G124" s="18"/>
      <c r="H124" s="18"/>
      <c r="I124" s="18"/>
      <c r="J124" s="18"/>
      <c r="K124" s="18"/>
      <c r="N124" s="3223"/>
      <c r="O124" s="3224"/>
    </row>
    <row r="125" spans="1:15" ht="13.35" customHeight="1">
      <c r="A125" s="435" t="s">
        <v>2635</v>
      </c>
      <c r="B125" s="3232" t="str">
        <f>IF('Part III-Sources of Funds'!$I$38="","",-FV('Part III-Sources of Funds'!$K$38/12,12,B112/12,K97))</f>
        <v/>
      </c>
      <c r="C125" s="3232" t="str">
        <f>IF('Part III-Sources of Funds'!$I$38="","",-FV('Part III-Sources of Funds'!$K$38/12,12,C112/12,B125))</f>
        <v/>
      </c>
      <c r="D125" s="3232" t="str">
        <f>IF('Part III-Sources of Funds'!$I$38="","",-FV('Part III-Sources of Funds'!$K$38/12,12,D112/12,C125))</f>
        <v/>
      </c>
      <c r="E125" s="3232" t="str">
        <f>IF('Part III-Sources of Funds'!$I$38="","",-FV('Part III-Sources of Funds'!$K$38/12,12,E112/12,D125))</f>
        <v/>
      </c>
      <c r="F125" s="3232" t="str">
        <f>IF('Part III-Sources of Funds'!$I$38="","",-FV('Part III-Sources of Funds'!$K$38/12,12,F112/12,E125))</f>
        <v/>
      </c>
      <c r="G125" s="18"/>
      <c r="H125" s="18"/>
      <c r="I125" s="18"/>
      <c r="J125" s="18"/>
      <c r="K125" s="18"/>
      <c r="N125" s="3223"/>
      <c r="O125" s="3224"/>
    </row>
    <row r="126" spans="1:15" ht="13.35" customHeight="1">
      <c r="A126" s="435" t="s">
        <v>2636</v>
      </c>
      <c r="B126" s="3232" t="str">
        <f>IF('Part III-Sources of Funds'!$I$39="","",-FV('Part III-Sources of Funds'!$K$39/12,12,B113/12,K98))</f>
        <v/>
      </c>
      <c r="C126" s="3232" t="str">
        <f>IF('Part III-Sources of Funds'!$I$39="","",-FV('Part III-Sources of Funds'!$K$39/12,12,C113/12,B126))</f>
        <v/>
      </c>
      <c r="D126" s="3232" t="str">
        <f>IF('Part III-Sources of Funds'!$I$39="","",-FV('Part III-Sources of Funds'!$K$39/12,12,D113/12,C126))</f>
        <v/>
      </c>
      <c r="E126" s="3232" t="str">
        <f>IF('Part III-Sources of Funds'!$I$39="","",-FV('Part III-Sources of Funds'!$K$39/12,12,E113/12,D126))</f>
        <v/>
      </c>
      <c r="F126" s="3232" t="str">
        <f>IF('Part III-Sources of Funds'!$I$39="","",-FV('Part III-Sources of Funds'!$K$39/12,12,F113/12,E126))</f>
        <v/>
      </c>
      <c r="G126" s="18"/>
      <c r="H126" s="18"/>
      <c r="I126" s="18"/>
      <c r="J126" s="18"/>
      <c r="K126" s="18"/>
      <c r="N126" s="3223"/>
      <c r="O126" s="3224"/>
    </row>
    <row r="127" spans="1:15" ht="13.35" customHeight="1">
      <c r="A127" s="27" t="s">
        <v>792</v>
      </c>
      <c r="B127" s="3235" t="str">
        <f>IF('Part III-Sources of Funds'!$I$40="","",-FV('Part III-Sources of Funds'!$K$40/12,12,B114/12,K99))</f>
        <v/>
      </c>
      <c r="C127" s="3235" t="str">
        <f>IF('Part III-Sources of Funds'!$I$40="","",-FV('Part III-Sources of Funds'!$K$40/12,12,C114/12,B127))</f>
        <v/>
      </c>
      <c r="D127" s="3235" t="str">
        <f>IF('Part III-Sources of Funds'!$I$40="","",-FV('Part III-Sources of Funds'!$K$40/12,12,D114/12,C127))</f>
        <v/>
      </c>
      <c r="E127" s="3235" t="str">
        <f>IF('Part III-Sources of Funds'!$I$40="","",-FV('Part III-Sources of Funds'!$K$40/12,12,E114/12,D127))</f>
        <v/>
      </c>
      <c r="F127" s="3235" t="str">
        <f>IF('Part III-Sources of Funds'!$I$40="","",-FV('Part III-Sources of Funds'!$K$40/12,12,F114/12,E127))</f>
        <v/>
      </c>
      <c r="G127" s="18"/>
      <c r="H127" s="18"/>
      <c r="I127" s="18"/>
      <c r="J127" s="18"/>
      <c r="K127" s="18"/>
      <c r="N127" s="3229"/>
      <c r="O127" s="3230"/>
    </row>
    <row r="128" spans="1:15" ht="4.3499999999999996" customHeight="1"/>
    <row r="129" spans="1:18" ht="12" customHeight="1">
      <c r="A129" s="14" t="s">
        <v>576</v>
      </c>
      <c r="B129" s="14"/>
      <c r="G129" s="14" t="s">
        <v>1041</v>
      </c>
    </row>
    <row r="130" spans="1:18" ht="12" customHeight="1">
      <c r="B130" s="32"/>
    </row>
    <row r="131" spans="1:18" ht="409.5" customHeight="1">
      <c r="A131" s="3237" t="s">
        <v>4739</v>
      </c>
      <c r="B131" s="3238"/>
      <c r="C131" s="3238"/>
      <c r="D131" s="3238"/>
      <c r="E131" s="3238"/>
      <c r="F131" s="3239"/>
      <c r="G131" s="3240"/>
      <c r="H131" s="3241"/>
      <c r="I131" s="3241"/>
      <c r="J131" s="3241"/>
      <c r="K131" s="3242"/>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XOsSmFmz7fPpt9bwecxirMLZZCYJxtgzBXKSnoYcPaCkVj6/uWbQX2VKLf0c26Zi7K9rcvk+wuKDwFI2gbxm1Q==" saltValue="t+FAUpiKjjOT0uEx8vduqg=="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55" zoomScale="130" zoomScaleNormal="130" zoomScalePageLayoutView="130" workbookViewId="0">
      <selection activeCell="A2" sqref="A1:XFD1048576"/>
    </sheetView>
  </sheetViews>
  <sheetFormatPr defaultColWidth="9.140625" defaultRowHeight="12.75"/>
  <cols>
    <col min="1" max="1" width="5.28515625"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4.1" customHeight="1">
      <c r="A1" s="1737" t="str">
        <f>CONCATENATE("PART EIGHT - THRESHOLD CRITERIA","  -  ",'Part I-Project Information'!$O$6," ",'Part I-Project Information'!$F$34,", ",'Part I-Project Information'!F38,", ",'Part I-Project Information'!J39," County")</f>
        <v>PART EIGHT - THRESHOLD CRITERIA  -  2018-045 Altoview Terrace, Rome, Floyd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92"/>
      <c r="B4" s="1977"/>
      <c r="C4" s="1977"/>
      <c r="D4" s="1977"/>
      <c r="E4" s="1592"/>
      <c r="F4" s="1592"/>
      <c r="G4" s="1592"/>
      <c r="H4" s="1592"/>
      <c r="I4" s="1592"/>
      <c r="J4" s="1592"/>
      <c r="K4" s="1592"/>
      <c r="L4" s="1592"/>
      <c r="M4" s="1592"/>
      <c r="N4" s="1592"/>
      <c r="P4" s="1592"/>
      <c r="Q4" s="1592"/>
    </row>
    <row r="5" spans="1:32" ht="11.1" hidden="1" customHeight="1">
      <c r="A5" s="1592"/>
      <c r="B5" s="1592"/>
      <c r="C5" s="1592"/>
      <c r="D5" s="1592"/>
      <c r="E5" s="1592"/>
      <c r="F5" s="1592"/>
      <c r="G5" s="1592"/>
      <c r="H5" s="1592"/>
      <c r="I5" s="1592"/>
      <c r="J5" s="1592"/>
      <c r="K5" s="1592"/>
      <c r="L5" s="1592"/>
      <c r="M5" s="1592"/>
      <c r="N5" s="1592"/>
      <c r="P5" s="1592"/>
      <c r="Q5" s="1592"/>
    </row>
    <row r="6" spans="1:32" ht="17.25" customHeight="1">
      <c r="A6" s="130" t="s">
        <v>572</v>
      </c>
      <c r="J6" s="1980" t="s">
        <v>3873</v>
      </c>
      <c r="K6" s="1980"/>
      <c r="L6" s="1980"/>
      <c r="M6" s="1980"/>
      <c r="N6" s="1980"/>
      <c r="O6" s="1981"/>
      <c r="P6" s="1978"/>
      <c r="Q6" s="1979"/>
    </row>
    <row r="7" spans="1:32" ht="12.6" customHeight="1">
      <c r="A7" s="131" t="s">
        <v>3471</v>
      </c>
      <c r="C7" s="132"/>
      <c r="D7" s="132"/>
      <c r="H7" s="1435"/>
      <c r="I7" s="1435"/>
      <c r="J7" s="1435"/>
      <c r="K7" s="1435"/>
      <c r="L7" s="1435"/>
      <c r="M7" s="1592"/>
      <c r="N7" s="1592"/>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63"/>
      <c r="S12" s="1563"/>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63"/>
      <c r="S13" s="1563"/>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4.1" customHeight="1">
      <c r="A29" s="133" t="s">
        <v>622</v>
      </c>
      <c r="B29" s="134" t="s">
        <v>2668</v>
      </c>
      <c r="C29" s="135"/>
      <c r="D29" s="89"/>
      <c r="E29" s="89"/>
      <c r="F29" s="89"/>
      <c r="G29" s="89"/>
      <c r="I29" s="1596"/>
      <c r="J29" s="1596"/>
      <c r="K29" s="1596"/>
      <c r="L29" s="1592"/>
      <c r="M29" s="1592"/>
      <c r="O29" s="136" t="s">
        <v>1881</v>
      </c>
      <c r="P29" s="1897"/>
      <c r="Q29" s="1904"/>
    </row>
    <row r="30" spans="1:31" ht="3" customHeight="1"/>
    <row r="31" spans="1:31" ht="11.25" customHeight="1">
      <c r="B31" s="69" t="s">
        <v>3778</v>
      </c>
      <c r="C31" s="69"/>
      <c r="D31" s="69"/>
      <c r="E31" s="69"/>
      <c r="F31" s="69"/>
      <c r="G31" s="1596"/>
      <c r="H31" s="1596"/>
      <c r="I31" s="1596"/>
      <c r="J31" s="1596"/>
      <c r="K31" s="1592"/>
      <c r="L31" s="1592"/>
      <c r="M31" s="1592"/>
      <c r="N31" s="1592"/>
      <c r="O31" s="1592"/>
      <c r="P31" s="955"/>
      <c r="S31" s="163"/>
      <c r="T31" s="163"/>
    </row>
    <row r="32" spans="1:31" ht="108.75" customHeight="1">
      <c r="A32" s="3117" t="s">
        <v>4741</v>
      </c>
      <c r="B32" s="3118"/>
      <c r="C32" s="3118"/>
      <c r="D32" s="3118"/>
      <c r="E32" s="3118"/>
      <c r="F32" s="3118"/>
      <c r="G32" s="3118"/>
      <c r="H32" s="3118"/>
      <c r="I32" s="3118"/>
      <c r="J32" s="3118"/>
      <c r="K32" s="3118"/>
      <c r="L32" s="3118"/>
      <c r="M32" s="3118"/>
      <c r="N32" s="3118"/>
      <c r="O32" s="3118"/>
      <c r="P32" s="3118"/>
      <c r="Q32" s="3119"/>
      <c r="R32" s="461" t="s">
        <v>1266</v>
      </c>
      <c r="S32" s="462"/>
      <c r="T32" s="163"/>
      <c r="U32" s="140"/>
      <c r="V32" s="140"/>
      <c r="W32" s="140"/>
      <c r="X32" s="140"/>
      <c r="Y32" s="140"/>
      <c r="Z32" s="140"/>
      <c r="AA32" s="140"/>
      <c r="AB32" s="140"/>
      <c r="AC32" s="140"/>
      <c r="AD32" s="140"/>
      <c r="AE32" s="486"/>
    </row>
    <row r="33" spans="1:295" ht="11.25" customHeight="1">
      <c r="B33" s="141" t="s">
        <v>1880</v>
      </c>
      <c r="C33" s="142"/>
      <c r="D33" s="1599"/>
      <c r="E33" s="1599"/>
      <c r="F33" s="1599"/>
      <c r="G33" s="1599"/>
      <c r="H33" s="1599"/>
      <c r="I33" s="1599"/>
      <c r="J33" s="1599"/>
      <c r="K33" s="1599"/>
      <c r="L33" s="1599"/>
      <c r="M33" s="1599"/>
      <c r="N33" s="1599"/>
      <c r="O33" s="1599"/>
      <c r="P33" s="1599"/>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96"/>
      <c r="C35" s="1599"/>
      <c r="D35" s="1599"/>
      <c r="E35" s="1599"/>
      <c r="F35" s="1599"/>
      <c r="G35" s="1599"/>
      <c r="H35" s="1599"/>
      <c r="I35" s="1599"/>
      <c r="J35" s="1599"/>
      <c r="K35" s="1599"/>
      <c r="L35" s="1599"/>
      <c r="M35" s="1599"/>
      <c r="N35" s="1599"/>
      <c r="O35" s="1599"/>
      <c r="P35" s="1599"/>
      <c r="Q35" s="1592"/>
    </row>
    <row r="36" spans="1:295" ht="12.75" customHeight="1">
      <c r="A36" s="1593" t="s">
        <v>748</v>
      </c>
      <c r="B36" s="4" t="s">
        <v>2729</v>
      </c>
      <c r="C36" s="4"/>
      <c r="D36" s="4"/>
      <c r="E36" s="1599"/>
      <c r="G36" s="652"/>
      <c r="H36" s="652"/>
      <c r="I36" s="652"/>
      <c r="J36" s="43"/>
      <c r="L36" s="653"/>
      <c r="M36" s="653"/>
      <c r="N36" s="653"/>
      <c r="O36" s="136" t="s">
        <v>1881</v>
      </c>
      <c r="P36" s="1897"/>
      <c r="Q36" s="1904"/>
    </row>
    <row r="37" spans="1:295" ht="11.25" customHeight="1">
      <c r="A37" s="1999" t="s">
        <v>3472</v>
      </c>
      <c r="B37" s="1999"/>
      <c r="C37" s="1999"/>
      <c r="D37" s="1999"/>
      <c r="E37" s="1999"/>
      <c r="F37" s="1999"/>
      <c r="G37" s="2000" t="s">
        <v>2733</v>
      </c>
      <c r="H37" s="2001"/>
      <c r="I37" s="656"/>
      <c r="J37" s="43"/>
      <c r="K37" s="2002" t="s">
        <v>3658</v>
      </c>
      <c r="L37" s="2003"/>
      <c r="M37" s="2003"/>
      <c r="N37" s="2004"/>
    </row>
    <row r="38" spans="1:295" ht="11.25" customHeight="1">
      <c r="A38" s="1999"/>
      <c r="B38" s="1999"/>
      <c r="C38" s="1999"/>
      <c r="D38" s="1999"/>
      <c r="E38" s="1999"/>
      <c r="F38" s="1999"/>
      <c r="G38" s="2005" t="s">
        <v>348</v>
      </c>
      <c r="H38" s="2006"/>
      <c r="I38" s="656"/>
      <c r="J38" s="43"/>
      <c r="K38" s="1945" t="s">
        <v>3659</v>
      </c>
      <c r="L38" s="1946"/>
      <c r="M38" s="1946"/>
      <c r="N38" s="1947"/>
      <c r="P38" s="545" t="s">
        <v>2752</v>
      </c>
      <c r="Q38" s="3001" t="s">
        <v>3009</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3474</v>
      </c>
      <c r="G40" s="1993" t="s">
        <v>3473</v>
      </c>
      <c r="H40" s="1993"/>
      <c r="I40" s="1993"/>
      <c r="J40" s="36"/>
      <c r="K40" s="658" t="s">
        <v>3474</v>
      </c>
      <c r="L40" s="1993" t="s">
        <v>3473</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3378</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9"/>
      <c r="P41" s="1952" t="s">
        <v>3920</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9"/>
      <c r="P42" s="1994" t="str">
        <f>IF('Part I-Project Information'!$F$38="","",VLOOKUP('Part I-Project Information'!$J$39,'DCA Underwriting Assumptions'!$G$155:$N$314,8,FALSE))</f>
        <v>Atlanta</v>
      </c>
      <c r="Q42" s="1995"/>
      <c r="R42" s="422"/>
      <c r="S42" s="1985" t="s">
        <v>4133</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4</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4 units = </v>
      </c>
      <c r="I43" s="906">
        <f>F43*G43</f>
        <v>890240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9"/>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9"/>
      <c r="P44" s="1917" t="s">
        <v>3655</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9"/>
      <c r="P45" s="1961">
        <f>'Part IV-A-Uses of Funds'!$G$132</f>
        <v>13480710.35</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3388</v>
      </c>
      <c r="E46" s="137"/>
      <c r="F46" s="1198">
        <f>SUM(F41:F45)</f>
        <v>4</v>
      </c>
      <c r="G46" s="659"/>
      <c r="H46" s="1199"/>
      <c r="I46" s="1200">
        <f>SUM(I41:I45)</f>
        <v>890240</v>
      </c>
      <c r="J46" s="1201"/>
      <c r="K46" s="1198">
        <f>SUM(K41:K45)</f>
        <v>0</v>
      </c>
      <c r="L46" s="1201"/>
      <c r="M46" s="1199"/>
      <c r="N46" s="1200">
        <f>SUM(N41:N45)</f>
        <v>0</v>
      </c>
      <c r="O46" s="1599"/>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604"/>
      <c r="J47" s="132"/>
      <c r="K47" s="660"/>
      <c r="L47" s="132"/>
      <c r="M47" s="1599"/>
      <c r="N47" s="1604"/>
      <c r="O47" s="1599"/>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3373</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4132</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16</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16 units = </v>
      </c>
      <c r="I51" s="906">
        <f>F51*G51</f>
        <v>4022240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2</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2 units = </v>
      </c>
      <c r="I52" s="906">
        <f>F52*G52</f>
        <v>596144</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3653</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3388</v>
      </c>
      <c r="E53" s="137"/>
      <c r="F53" s="1198">
        <f>SUM(F48:F52)</f>
        <v>18</v>
      </c>
      <c r="G53" s="659"/>
      <c r="H53" s="1199"/>
      <c r="I53" s="1200">
        <f>SUM(I48:I52)</f>
        <v>4618384</v>
      </c>
      <c r="J53" s="1201"/>
      <c r="K53" s="1198">
        <f>SUM(K48:K52)</f>
        <v>0</v>
      </c>
      <c r="L53" s="1201"/>
      <c r="M53" s="1199"/>
      <c r="N53" s="1200">
        <f>SUM(N48:N52)</f>
        <v>0</v>
      </c>
      <c r="O53" s="595"/>
      <c r="P53" s="1204" t="s">
        <v>3265</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604"/>
      <c r="J54" s="36"/>
      <c r="K54" s="660"/>
      <c r="L54" s="36"/>
      <c r="M54" s="1599"/>
      <c r="N54" s="1604"/>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3374</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16</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16 units = </v>
      </c>
      <c r="I56" s="906">
        <f>F56*G56</f>
        <v>2479360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3654</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28</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28 units = </v>
      </c>
      <c r="I57" s="906">
        <f>F57*G57</f>
        <v>5506788</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3265</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2787</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3388</v>
      </c>
      <c r="E60" s="137"/>
      <c r="F60" s="1198">
        <f>SUM(F55:F59)</f>
        <v>44</v>
      </c>
      <c r="G60" s="659"/>
      <c r="H60" s="1199"/>
      <c r="I60" s="1200">
        <f>SUM(I55:I59)</f>
        <v>7986148</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604"/>
      <c r="J61" s="36"/>
      <c r="K61" s="660"/>
      <c r="L61" s="36"/>
      <c r="M61" s="1599"/>
      <c r="N61" s="1604"/>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3375</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13494772</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4296</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3388</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7"/>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3389</v>
      </c>
      <c r="B69" s="1"/>
      <c r="C69" s="1"/>
      <c r="D69" s="93"/>
      <c r="E69" s="113"/>
      <c r="F69" s="650">
        <f>F46+F53+F60+F67</f>
        <v>66</v>
      </c>
      <c r="G69" s="346"/>
      <c r="H69" s="1951">
        <f>I46+I53+I60+I67</f>
        <v>13494772</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3778</v>
      </c>
      <c r="D70" s="98"/>
      <c r="E70" s="98"/>
      <c r="F70" s="98"/>
      <c r="G70" s="98"/>
      <c r="H70" s="41"/>
      <c r="I70" s="1596"/>
      <c r="J70" s="1596"/>
      <c r="K70" s="141" t="s">
        <v>1880</v>
      </c>
      <c r="L70" s="1592"/>
      <c r="M70" s="1592"/>
      <c r="N70" s="1592"/>
      <c r="O70" s="1592"/>
      <c r="P70" s="1592"/>
      <c r="Q70" s="955"/>
    </row>
    <row r="71" spans="1:295" ht="10.5" customHeight="1">
      <c r="A71" s="3114" t="s">
        <v>4672</v>
      </c>
      <c r="B71" s="3115"/>
      <c r="C71" s="3115"/>
      <c r="D71" s="3115"/>
      <c r="E71" s="3115"/>
      <c r="F71" s="3115"/>
      <c r="G71" s="3115"/>
      <c r="H71" s="3115"/>
      <c r="I71" s="3115"/>
      <c r="J71" s="3116"/>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96"/>
      <c r="C72" s="1599"/>
      <c r="D72" s="1599"/>
      <c r="E72" s="1599"/>
      <c r="F72" s="1599"/>
      <c r="G72" s="1599"/>
      <c r="H72" s="1599"/>
      <c r="I72" s="1599"/>
      <c r="J72" s="1599"/>
      <c r="K72" s="1599"/>
      <c r="L72" s="1599"/>
      <c r="M72" s="1599"/>
      <c r="N72" s="1599"/>
      <c r="O72" s="1599"/>
      <c r="P72" s="1599"/>
      <c r="Q72" s="1592"/>
    </row>
    <row r="73" spans="1:295" ht="12.75" customHeight="1">
      <c r="A73" s="1593" t="s">
        <v>750</v>
      </c>
      <c r="B73" s="4" t="s">
        <v>1202</v>
      </c>
      <c r="C73" s="4"/>
      <c r="D73" s="4"/>
      <c r="E73" s="1599"/>
      <c r="F73" s="1599"/>
      <c r="G73" s="144" t="s">
        <v>100</v>
      </c>
      <c r="H73" s="1599"/>
      <c r="J73" s="3120" t="str">
        <f>'Part I-Project Information'!$H$78</f>
        <v>Family</v>
      </c>
      <c r="K73" s="3121"/>
      <c r="L73" s="3122"/>
      <c r="O73" s="136" t="s">
        <v>1881</v>
      </c>
      <c r="P73" s="1897"/>
      <c r="Q73" s="1904"/>
    </row>
    <row r="74" spans="1:295" ht="10.5" customHeight="1">
      <c r="B74" s="98" t="s">
        <v>3778</v>
      </c>
      <c r="D74" s="98"/>
      <c r="E74" s="98"/>
      <c r="F74" s="98"/>
      <c r="G74" s="98"/>
      <c r="H74" s="41"/>
      <c r="I74" s="1596"/>
      <c r="J74" s="1596"/>
      <c r="K74" s="141" t="s">
        <v>1880</v>
      </c>
      <c r="L74" s="1592"/>
      <c r="M74" s="1592"/>
      <c r="N74" s="1592"/>
      <c r="O74" s="1592"/>
      <c r="P74" s="1592"/>
      <c r="Q74" s="955"/>
    </row>
    <row r="75" spans="1:295" ht="10.5" customHeight="1">
      <c r="A75" s="3114" t="s">
        <v>4626</v>
      </c>
      <c r="B75" s="3115"/>
      <c r="C75" s="3115"/>
      <c r="D75" s="3115"/>
      <c r="E75" s="3115"/>
      <c r="F75" s="3115"/>
      <c r="G75" s="3115"/>
      <c r="H75" s="3115"/>
      <c r="I75" s="3115"/>
      <c r="J75" s="3116"/>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92"/>
      <c r="B76" s="1596"/>
      <c r="C76" s="1599"/>
      <c r="D76" s="1599"/>
      <c r="E76" s="1599"/>
      <c r="F76" s="1599"/>
      <c r="G76" s="1599"/>
      <c r="H76" s="1599"/>
      <c r="I76" s="1599"/>
      <c r="J76" s="1599"/>
      <c r="K76" s="1599"/>
      <c r="L76" s="1599"/>
      <c r="M76" s="1599"/>
      <c r="N76" s="1599"/>
      <c r="O76" s="1599"/>
      <c r="P76" s="1599"/>
      <c r="Q76" s="1592"/>
    </row>
    <row r="77" spans="1:295" ht="12.75" customHeight="1">
      <c r="A77" s="1593" t="s">
        <v>1805</v>
      </c>
      <c r="B77" s="1593" t="s">
        <v>2669</v>
      </c>
      <c r="C77" s="116"/>
      <c r="D77" s="1599"/>
      <c r="E77" s="1599"/>
      <c r="F77" s="1599"/>
      <c r="G77" s="1599"/>
      <c r="H77" s="1599"/>
      <c r="I77" s="1599"/>
      <c r="J77" s="1599"/>
      <c r="K77" s="1599"/>
      <c r="L77" s="1599"/>
      <c r="M77" s="1599"/>
      <c r="O77" s="136" t="s">
        <v>1881</v>
      </c>
      <c r="P77" s="1897"/>
      <c r="Q77" s="1904"/>
    </row>
    <row r="78" spans="1:295" ht="1.5" customHeight="1"/>
    <row r="79" spans="1:295" ht="10.5" customHeight="1">
      <c r="A79" s="146" t="s">
        <v>1999</v>
      </c>
      <c r="B79" s="405" t="s">
        <v>3768</v>
      </c>
      <c r="D79" s="1003"/>
      <c r="E79" s="1003"/>
      <c r="F79" s="1003"/>
      <c r="G79" s="1003"/>
      <c r="H79" s="1003"/>
      <c r="I79" s="1003"/>
      <c r="K79" s="1003"/>
      <c r="L79" s="1003"/>
      <c r="M79" s="1004" t="s">
        <v>3721</v>
      </c>
      <c r="O79" s="147"/>
      <c r="P79" s="3001" t="s">
        <v>4627</v>
      </c>
    </row>
    <row r="80" spans="1:295" ht="10.5" customHeight="1">
      <c r="A80" s="48" t="s">
        <v>2001</v>
      </c>
      <c r="B80" s="956" t="s">
        <v>3767</v>
      </c>
      <c r="D80" s="956"/>
      <c r="E80" s="956"/>
      <c r="F80" s="956"/>
      <c r="G80" s="956"/>
      <c r="H80" s="956"/>
      <c r="I80" s="956"/>
      <c r="J80" s="956"/>
      <c r="K80" s="956"/>
      <c r="L80" s="956"/>
      <c r="M80" s="956"/>
      <c r="O80" s="956"/>
      <c r="P80" s="956"/>
      <c r="Q80" s="956"/>
    </row>
    <row r="81" spans="1:31" ht="11.1" customHeight="1">
      <c r="A81" s="148"/>
      <c r="B81" s="68" t="s">
        <v>1750</v>
      </c>
      <c r="C81" s="956" t="s">
        <v>3505</v>
      </c>
      <c r="E81" s="1601"/>
      <c r="F81" s="1601"/>
      <c r="G81" s="1601"/>
      <c r="H81" s="34"/>
      <c r="I81" s="37" t="s">
        <v>2723</v>
      </c>
      <c r="J81" s="3123" t="s">
        <v>4628</v>
      </c>
      <c r="K81" s="3124"/>
      <c r="L81" s="3124"/>
      <c r="M81" s="3124"/>
      <c r="N81" s="3124"/>
      <c r="O81" s="3124"/>
      <c r="P81" s="3124"/>
      <c r="Q81" s="3125"/>
    </row>
    <row r="82" spans="1:31" ht="11.1" customHeight="1">
      <c r="A82" s="148"/>
      <c r="B82" s="68" t="s">
        <v>1751</v>
      </c>
      <c r="C82" s="956" t="s">
        <v>3603</v>
      </c>
      <c r="E82" s="1601"/>
      <c r="F82" s="1601"/>
      <c r="G82" s="1601"/>
      <c r="H82" s="34"/>
      <c r="I82" s="37" t="s">
        <v>2723</v>
      </c>
      <c r="J82" s="3126" t="s">
        <v>4629</v>
      </c>
      <c r="K82" s="3127"/>
      <c r="L82" s="3127"/>
      <c r="M82" s="3127"/>
      <c r="N82" s="3127"/>
      <c r="O82" s="3127"/>
      <c r="P82" s="3127"/>
      <c r="Q82" s="3128"/>
    </row>
    <row r="83" spans="1:31" ht="11.1" customHeight="1">
      <c r="A83" s="148"/>
      <c r="B83" s="68" t="s">
        <v>1752</v>
      </c>
      <c r="C83" s="956" t="s">
        <v>3604</v>
      </c>
      <c r="E83" s="1601"/>
      <c r="F83" s="1601"/>
      <c r="G83" s="1601"/>
      <c r="H83" s="34"/>
      <c r="I83" s="37" t="s">
        <v>2723</v>
      </c>
      <c r="J83" s="3126"/>
      <c r="K83" s="3127"/>
      <c r="L83" s="3127"/>
      <c r="M83" s="3127"/>
      <c r="N83" s="3127"/>
      <c r="O83" s="3127"/>
      <c r="P83" s="3127"/>
      <c r="Q83" s="3128"/>
    </row>
    <row r="84" spans="1:31" ht="11.1" customHeight="1">
      <c r="A84" s="148"/>
      <c r="B84" s="484" t="s">
        <v>2381</v>
      </c>
      <c r="C84" s="956" t="s">
        <v>3931</v>
      </c>
      <c r="E84" s="1601"/>
      <c r="I84" s="37" t="s">
        <v>2723</v>
      </c>
      <c r="J84" s="3129"/>
      <c r="K84" s="3130"/>
      <c r="L84" s="3130"/>
      <c r="M84" s="3130"/>
      <c r="N84" s="3130"/>
      <c r="O84" s="3130"/>
      <c r="P84" s="3130"/>
      <c r="Q84" s="3131"/>
    </row>
    <row r="85" spans="1:31" ht="11.1" customHeight="1">
      <c r="A85" s="48" t="s">
        <v>757</v>
      </c>
      <c r="B85" s="41" t="s">
        <v>3589</v>
      </c>
      <c r="D85" s="956"/>
      <c r="E85" s="1601"/>
      <c r="J85" s="37"/>
      <c r="K85" s="37"/>
      <c r="L85" s="37"/>
      <c r="M85" s="37"/>
      <c r="N85" s="37"/>
      <c r="O85" s="37"/>
      <c r="P85" s="37"/>
      <c r="Q85" s="37"/>
    </row>
    <row r="86" spans="1:31" ht="11.1" customHeight="1">
      <c r="A86" s="148"/>
      <c r="B86" s="56" t="s">
        <v>3922</v>
      </c>
      <c r="D86" s="138"/>
      <c r="E86" s="138"/>
      <c r="F86" s="138"/>
      <c r="G86" s="138"/>
      <c r="H86" s="138"/>
      <c r="I86" s="43"/>
      <c r="J86" s="43"/>
      <c r="K86" s="484" t="s">
        <v>757</v>
      </c>
      <c r="L86" s="3132"/>
      <c r="M86" s="3133"/>
      <c r="N86" s="3133"/>
      <c r="O86" s="3133"/>
      <c r="P86" s="3134"/>
      <c r="Q86" s="560"/>
    </row>
    <row r="87" spans="1:31" ht="10.5" customHeight="1">
      <c r="B87" s="98" t="s">
        <v>3778</v>
      </c>
      <c r="D87" s="98"/>
      <c r="E87" s="98"/>
      <c r="F87" s="98"/>
      <c r="G87" s="98"/>
      <c r="H87" s="41"/>
      <c r="I87" s="1596"/>
      <c r="J87" s="1596"/>
      <c r="K87" s="141" t="s">
        <v>1880</v>
      </c>
      <c r="L87" s="1592"/>
      <c r="M87" s="1592"/>
      <c r="N87" s="1592"/>
      <c r="O87" s="1592"/>
      <c r="P87" s="1592"/>
      <c r="Q87" s="955"/>
    </row>
    <row r="88" spans="1:31" ht="10.5" customHeight="1">
      <c r="A88" s="3114" t="s">
        <v>4695</v>
      </c>
      <c r="B88" s="3115"/>
      <c r="C88" s="3115"/>
      <c r="D88" s="3115"/>
      <c r="E88" s="3115"/>
      <c r="F88" s="3115"/>
      <c r="G88" s="3115"/>
      <c r="H88" s="3115"/>
      <c r="I88" s="3115"/>
      <c r="J88" s="3116"/>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92"/>
      <c r="B89" s="1596"/>
      <c r="C89" s="1599"/>
      <c r="D89" s="1599"/>
      <c r="E89" s="1599"/>
      <c r="F89" s="1599"/>
      <c r="G89" s="1599"/>
      <c r="H89" s="1599"/>
      <c r="I89" s="1599"/>
      <c r="J89" s="1599"/>
      <c r="K89" s="1599"/>
      <c r="L89" s="1599"/>
      <c r="M89" s="1599"/>
      <c r="N89" s="1599"/>
      <c r="O89" s="1599"/>
      <c r="P89" s="1599"/>
      <c r="Q89" s="1592"/>
    </row>
    <row r="90" spans="1:31" ht="14.1" customHeight="1">
      <c r="A90" s="1593" t="s">
        <v>1807</v>
      </c>
      <c r="B90" s="1593" t="s">
        <v>2670</v>
      </c>
      <c r="C90" s="1593"/>
      <c r="D90" s="1599"/>
      <c r="E90" s="1599"/>
      <c r="F90" s="1599"/>
      <c r="G90" s="1599"/>
      <c r="H90" s="1599"/>
      <c r="I90" s="1599"/>
      <c r="J90" s="1599"/>
      <c r="K90" s="1599"/>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5" t="s">
        <v>4630</v>
      </c>
      <c r="N92" s="3136"/>
      <c r="O92" s="3136"/>
      <c r="P92" s="3137"/>
      <c r="Q92" s="561"/>
    </row>
    <row r="93" spans="1:31" ht="10.5" customHeight="1">
      <c r="A93" s="48" t="s">
        <v>2001</v>
      </c>
      <c r="B93" s="53" t="s">
        <v>2052</v>
      </c>
      <c r="D93" s="138"/>
      <c r="E93" s="138"/>
      <c r="F93" s="138"/>
      <c r="L93" s="484" t="s">
        <v>2001</v>
      </c>
      <c r="M93" s="3138" t="s">
        <v>4631</v>
      </c>
      <c r="N93" s="3139"/>
      <c r="O93" s="3139"/>
      <c r="P93" s="3140"/>
      <c r="Q93" s="562"/>
    </row>
    <row r="94" spans="1:31" ht="10.5" customHeight="1">
      <c r="A94" s="48" t="s">
        <v>757</v>
      </c>
      <c r="B94" s="53" t="s">
        <v>2896</v>
      </c>
      <c r="D94" s="138"/>
      <c r="E94" s="138"/>
      <c r="F94" s="138"/>
      <c r="L94" s="484" t="s">
        <v>757</v>
      </c>
      <c r="M94" s="3141">
        <v>0.98899999999999999</v>
      </c>
      <c r="N94" s="3142"/>
      <c r="O94" s="3142"/>
      <c r="P94" s="3143"/>
      <c r="Q94" s="562"/>
    </row>
    <row r="95" spans="1:31" ht="10.5" customHeight="1">
      <c r="A95" s="48" t="s">
        <v>2131</v>
      </c>
      <c r="B95" s="53" t="s">
        <v>3924</v>
      </c>
      <c r="D95" s="138"/>
      <c r="E95" s="138"/>
      <c r="F95" s="138"/>
      <c r="L95" s="484" t="s">
        <v>3925</v>
      </c>
      <c r="M95" s="3144">
        <v>3.9E-2</v>
      </c>
      <c r="N95" s="1205"/>
      <c r="O95" s="1206" t="s">
        <v>4175</v>
      </c>
      <c r="P95" s="3145" t="s">
        <v>3186</v>
      </c>
      <c r="Q95" s="563"/>
    </row>
    <row r="96" spans="1:31" ht="10.5" customHeight="1">
      <c r="A96" s="146" t="s">
        <v>1748</v>
      </c>
      <c r="B96" s="144" t="s">
        <v>3923</v>
      </c>
      <c r="D96" s="144"/>
      <c r="E96" s="144"/>
      <c r="F96" s="144"/>
      <c r="G96" s="144"/>
      <c r="H96" s="144"/>
      <c r="I96" s="144"/>
      <c r="J96" s="144"/>
      <c r="K96" s="144"/>
      <c r="L96" s="144"/>
      <c r="M96" s="144"/>
      <c r="N96" s="144"/>
      <c r="O96" s="144"/>
      <c r="P96" s="144"/>
      <c r="Q96" s="144"/>
    </row>
    <row r="97" spans="1:31" ht="10.5" customHeight="1">
      <c r="B97" s="48"/>
      <c r="C97" s="53"/>
      <c r="D97" s="1600" t="s">
        <v>2394</v>
      </c>
      <c r="E97" s="956" t="s">
        <v>623</v>
      </c>
      <c r="F97" s="956"/>
      <c r="H97" s="53"/>
      <c r="I97" s="1600" t="s">
        <v>2394</v>
      </c>
      <c r="J97" s="956" t="s">
        <v>623</v>
      </c>
      <c r="K97" s="956"/>
      <c r="M97" s="53"/>
      <c r="N97" s="1600" t="s">
        <v>2394</v>
      </c>
      <c r="O97" s="956" t="s">
        <v>623</v>
      </c>
      <c r="P97" s="956"/>
      <c r="Q97" s="484"/>
    </row>
    <row r="98" spans="1:31" ht="10.5" customHeight="1">
      <c r="C98" s="68" t="s">
        <v>1750</v>
      </c>
      <c r="D98" s="3146" t="s">
        <v>4657</v>
      </c>
      <c r="E98" s="3147" t="s">
        <v>4634</v>
      </c>
      <c r="F98" s="3147"/>
      <c r="G98" s="3147"/>
      <c r="H98" s="68" t="s">
        <v>1752</v>
      </c>
      <c r="I98" s="3146" t="s">
        <v>4657</v>
      </c>
      <c r="J98" s="3147" t="s">
        <v>4633</v>
      </c>
      <c r="K98" s="3147"/>
      <c r="L98" s="3147"/>
      <c r="M98" s="67" t="s">
        <v>1561</v>
      </c>
      <c r="N98" s="3146"/>
      <c r="O98" s="3147"/>
      <c r="P98" s="3147"/>
      <c r="Q98" s="3147"/>
    </row>
    <row r="99" spans="1:31" ht="10.5" customHeight="1">
      <c r="C99" s="68" t="s">
        <v>1751</v>
      </c>
      <c r="D99" s="3148" t="s">
        <v>4657</v>
      </c>
      <c r="E99" s="3149" t="s">
        <v>4632</v>
      </c>
      <c r="F99" s="3149"/>
      <c r="G99" s="3149"/>
      <c r="H99" s="484" t="s">
        <v>2381</v>
      </c>
      <c r="I99" s="3148"/>
      <c r="J99" s="3149"/>
      <c r="K99" s="3149"/>
      <c r="L99" s="3149"/>
      <c r="M99" s="67" t="s">
        <v>1562</v>
      </c>
      <c r="N99" s="3148"/>
      <c r="O99" s="3149"/>
      <c r="P99" s="3149"/>
      <c r="Q99" s="3149"/>
    </row>
    <row r="100" spans="1:31" ht="10.5" customHeight="1">
      <c r="A100" s="48" t="s">
        <v>1749</v>
      </c>
      <c r="B100" s="53" t="s">
        <v>0</v>
      </c>
      <c r="D100" s="138"/>
      <c r="E100" s="138"/>
      <c r="F100" s="138"/>
      <c r="G100" s="138"/>
      <c r="H100" s="138"/>
      <c r="I100" s="43"/>
      <c r="J100" s="43"/>
      <c r="K100" s="138"/>
      <c r="L100" s="1601"/>
      <c r="M100" s="1601"/>
      <c r="O100" s="484" t="s">
        <v>1749</v>
      </c>
      <c r="P100" s="2978" t="s">
        <v>3009</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3636</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3390</v>
      </c>
      <c r="B103" s="1942" t="s">
        <v>2747</v>
      </c>
      <c r="C103" s="1942"/>
      <c r="D103" s="1942"/>
      <c r="E103" s="1942"/>
      <c r="F103" s="1942"/>
      <c r="G103" s="1942"/>
      <c r="H103" s="1942"/>
      <c r="I103" s="1942"/>
      <c r="J103" s="1942"/>
      <c r="K103" s="1942"/>
      <c r="L103" s="1942"/>
      <c r="M103" s="1942"/>
      <c r="N103" s="1942"/>
      <c r="O103" s="1942"/>
      <c r="P103" s="166" t="s">
        <v>3390</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3391</v>
      </c>
      <c r="B105" s="144" t="s">
        <v>3637</v>
      </c>
      <c r="L105" s="452"/>
      <c r="N105" s="391"/>
      <c r="P105" s="67" t="s">
        <v>3391</v>
      </c>
      <c r="Q105" s="1282"/>
      <c r="R105" s="1355"/>
    </row>
    <row r="106" spans="1:31" ht="9.75" customHeight="1">
      <c r="B106" s="145" t="s">
        <v>3778</v>
      </c>
      <c r="D106" s="145"/>
      <c r="E106" s="145"/>
      <c r="F106" s="145"/>
      <c r="G106" s="145"/>
      <c r="H106" s="41"/>
      <c r="I106" s="1596"/>
      <c r="J106" s="1596"/>
      <c r="K106" s="1596"/>
      <c r="L106" s="1592"/>
      <c r="M106" s="1592"/>
      <c r="N106" s="1592"/>
      <c r="O106" s="1592"/>
      <c r="P106" s="1592"/>
      <c r="Q106" s="955"/>
    </row>
    <row r="107" spans="1:31" ht="44.25" customHeight="1">
      <c r="A107" s="3114" t="s">
        <v>4740</v>
      </c>
      <c r="B107" s="3115"/>
      <c r="C107" s="3115"/>
      <c r="D107" s="3115"/>
      <c r="E107" s="3115"/>
      <c r="F107" s="3115"/>
      <c r="G107" s="3115"/>
      <c r="H107" s="3115"/>
      <c r="I107" s="3115"/>
      <c r="J107" s="3115"/>
      <c r="K107" s="3115"/>
      <c r="L107" s="3115"/>
      <c r="M107" s="3115"/>
      <c r="N107" s="3115"/>
      <c r="O107" s="3115"/>
      <c r="P107" s="3115"/>
      <c r="Q107" s="3116"/>
      <c r="U107" s="140"/>
      <c r="V107" s="140"/>
      <c r="W107" s="140"/>
      <c r="X107" s="140"/>
      <c r="Y107" s="140"/>
      <c r="Z107" s="140"/>
      <c r="AA107" s="140"/>
      <c r="AB107" s="140"/>
      <c r="AC107" s="140"/>
      <c r="AD107" s="140"/>
      <c r="AE107" s="486"/>
    </row>
    <row r="108" spans="1:31" ht="9.75" customHeight="1">
      <c r="B108" s="141" t="s">
        <v>1880</v>
      </c>
      <c r="C108" s="142"/>
      <c r="D108" s="1599"/>
      <c r="E108" s="1599"/>
      <c r="F108" s="1599"/>
      <c r="G108" s="1599"/>
      <c r="H108" s="1599"/>
      <c r="I108" s="1599"/>
      <c r="J108" s="1599"/>
      <c r="K108" s="1599"/>
      <c r="L108" s="1599"/>
      <c r="M108" s="1599"/>
      <c r="N108" s="1599"/>
      <c r="O108" s="1599"/>
      <c r="P108" s="1599"/>
      <c r="Q108" s="1599"/>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4.1" customHeight="1">
      <c r="A110" s="1593" t="s">
        <v>535</v>
      </c>
      <c r="B110" s="1593" t="s">
        <v>2671</v>
      </c>
      <c r="C110" s="1593"/>
      <c r="D110" s="1599"/>
      <c r="E110" s="1599"/>
      <c r="F110" s="1599"/>
      <c r="G110" s="1599"/>
      <c r="H110" s="1599"/>
      <c r="I110" s="1599"/>
      <c r="J110" s="1599"/>
      <c r="K110" s="1599"/>
      <c r="L110" s="1599"/>
      <c r="M110" s="1599"/>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3012</v>
      </c>
      <c r="Q112" s="561"/>
    </row>
    <row r="113" spans="1:32" ht="10.5" customHeight="1">
      <c r="A113" s="48" t="s">
        <v>2001</v>
      </c>
      <c r="B113" s="53" t="s">
        <v>1316</v>
      </c>
      <c r="C113" s="53"/>
      <c r="E113" s="53"/>
      <c r="F113" s="53"/>
      <c r="G113" s="53"/>
      <c r="H113" s="53"/>
      <c r="I113" s="53"/>
      <c r="J113" s="53"/>
      <c r="K113" s="53"/>
      <c r="L113" s="956"/>
      <c r="M113" s="956"/>
      <c r="O113" s="484" t="s">
        <v>2001</v>
      </c>
      <c r="P113" s="2928"/>
      <c r="Q113" s="562"/>
    </row>
    <row r="114" spans="1:32" ht="10.5" customHeight="1">
      <c r="A114" s="37"/>
      <c r="C114" s="40" t="s">
        <v>559</v>
      </c>
      <c r="E114" s="43"/>
      <c r="F114" s="43"/>
      <c r="G114" s="43"/>
      <c r="H114" s="43"/>
      <c r="I114" s="43"/>
      <c r="L114" s="68" t="s">
        <v>560</v>
      </c>
      <c r="M114" s="3132"/>
      <c r="N114" s="3133"/>
      <c r="O114" s="3133"/>
      <c r="P114" s="3150"/>
      <c r="Q114" s="562"/>
    </row>
    <row r="115" spans="1:32" ht="10.5" customHeight="1">
      <c r="A115" s="1596"/>
      <c r="B115" s="154" t="s">
        <v>1750</v>
      </c>
      <c r="C115" s="956" t="s">
        <v>3492</v>
      </c>
      <c r="D115" s="1100"/>
      <c r="E115" s="1100"/>
      <c r="F115" s="1100"/>
      <c r="G115" s="1100"/>
      <c r="H115" s="1100"/>
      <c r="I115" s="1100"/>
      <c r="J115" s="1100"/>
      <c r="K115" s="1100"/>
      <c r="L115" s="1100"/>
      <c r="M115" s="1100"/>
      <c r="O115" s="154" t="s">
        <v>1750</v>
      </c>
      <c r="P115" s="2929"/>
      <c r="Q115" s="562"/>
    </row>
    <row r="116" spans="1:32" ht="10.5" customHeight="1">
      <c r="A116" s="1596"/>
      <c r="B116" s="68" t="s">
        <v>1751</v>
      </c>
      <c r="C116" s="956" t="s">
        <v>3493</v>
      </c>
      <c r="D116" s="1100"/>
      <c r="E116" s="1100"/>
      <c r="F116" s="1100"/>
      <c r="G116" s="1100"/>
      <c r="H116" s="1100"/>
      <c r="I116" s="1100"/>
      <c r="J116" s="1100"/>
      <c r="K116" s="1100"/>
      <c r="L116" s="1100"/>
      <c r="M116" s="1100"/>
      <c r="O116" s="68" t="s">
        <v>1751</v>
      </c>
      <c r="P116" s="2935"/>
      <c r="Q116" s="562"/>
    </row>
    <row r="117" spans="1:32" ht="10.5" customHeight="1">
      <c r="A117" s="1596"/>
      <c r="B117" s="154" t="s">
        <v>1752</v>
      </c>
      <c r="C117" s="956" t="s">
        <v>2897</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51"/>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c r="Q121" s="561"/>
    </row>
    <row r="122" spans="1:32" ht="10.5" customHeight="1">
      <c r="B122" s="68" t="s">
        <v>1751</v>
      </c>
      <c r="C122" s="53" t="s">
        <v>1442</v>
      </c>
      <c r="E122" s="53"/>
      <c r="F122" s="53"/>
      <c r="G122" s="53"/>
      <c r="H122" s="53"/>
      <c r="I122" s="53"/>
      <c r="J122" s="53"/>
      <c r="K122" s="53"/>
      <c r="L122" s="956"/>
      <c r="M122" s="956"/>
      <c r="O122" s="68" t="s">
        <v>1751</v>
      </c>
      <c r="P122" s="2935"/>
      <c r="Q122" s="562"/>
    </row>
    <row r="123" spans="1:32" ht="10.5" customHeight="1">
      <c r="B123" s="68" t="s">
        <v>1752</v>
      </c>
      <c r="C123" s="53" t="s">
        <v>1443</v>
      </c>
      <c r="E123" s="53"/>
      <c r="F123" s="53"/>
      <c r="G123" s="53"/>
      <c r="H123" s="53"/>
      <c r="I123" s="53"/>
      <c r="J123" s="53"/>
      <c r="K123" s="53"/>
      <c r="L123" s="956"/>
      <c r="M123" s="956"/>
      <c r="O123" s="68" t="s">
        <v>1752</v>
      </c>
      <c r="P123" s="2928"/>
      <c r="Q123" s="563"/>
    </row>
    <row r="124" spans="1:32" ht="10.5" customHeight="1">
      <c r="B124" s="145" t="s">
        <v>3778</v>
      </c>
      <c r="D124" s="145"/>
      <c r="E124" s="145"/>
      <c r="F124" s="145"/>
      <c r="G124" s="145"/>
      <c r="H124" s="41"/>
      <c r="I124" s="1596"/>
      <c r="J124" s="1596"/>
      <c r="K124" s="1596"/>
      <c r="L124" s="1592"/>
      <c r="M124" s="1592"/>
      <c r="N124" s="1592"/>
      <c r="O124" s="1592"/>
      <c r="P124" s="1592"/>
      <c r="Q124" s="955"/>
    </row>
    <row r="125" spans="1:32" ht="22.5" customHeight="1">
      <c r="A125" s="3114" t="s">
        <v>4696</v>
      </c>
      <c r="B125" s="3115"/>
      <c r="C125" s="3115"/>
      <c r="D125" s="3115"/>
      <c r="E125" s="3115"/>
      <c r="F125" s="3115"/>
      <c r="G125" s="3115"/>
      <c r="H125" s="3115"/>
      <c r="I125" s="3115"/>
      <c r="J125" s="3115"/>
      <c r="K125" s="3115"/>
      <c r="L125" s="3115"/>
      <c r="M125" s="3115"/>
      <c r="N125" s="3115"/>
      <c r="O125" s="3115"/>
      <c r="P125" s="3115"/>
      <c r="Q125" s="3116"/>
      <c r="U125" s="140"/>
      <c r="V125" s="140"/>
      <c r="W125" s="140"/>
      <c r="X125" s="140"/>
      <c r="Y125" s="140"/>
      <c r="Z125" s="140"/>
      <c r="AA125" s="140"/>
      <c r="AB125" s="140"/>
      <c r="AC125" s="140"/>
      <c r="AD125" s="140"/>
      <c r="AE125" s="486"/>
    </row>
    <row r="126" spans="1:32" ht="11.25" customHeight="1">
      <c r="B126" s="141" t="s">
        <v>1880</v>
      </c>
      <c r="C126" s="142"/>
      <c r="D126" s="1599"/>
      <c r="E126" s="1599"/>
      <c r="F126" s="1599"/>
      <c r="G126" s="1599"/>
      <c r="H126" s="1599"/>
      <c r="I126" s="1599"/>
      <c r="J126" s="1599"/>
      <c r="K126" s="1599"/>
      <c r="L126" s="1599"/>
      <c r="M126" s="1599"/>
      <c r="N126" s="1599"/>
      <c r="O126" s="1599"/>
      <c r="P126" s="1599"/>
      <c r="Q126" s="1599"/>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4.1" customHeight="1">
      <c r="A128" s="1593" t="s">
        <v>780</v>
      </c>
      <c r="B128" s="1593" t="s">
        <v>2672</v>
      </c>
      <c r="C128" s="41"/>
      <c r="D128" s="1599"/>
      <c r="E128" s="1599"/>
      <c r="F128" s="1599"/>
      <c r="G128" s="1599"/>
      <c r="H128" s="1599"/>
      <c r="I128" s="1599"/>
      <c r="J128" s="1599"/>
      <c r="K128" s="1599"/>
      <c r="L128" s="1599"/>
      <c r="M128" s="1599"/>
      <c r="O128" s="136" t="s">
        <v>1881</v>
      </c>
      <c r="P128" s="1897"/>
      <c r="Q128" s="1904"/>
    </row>
    <row r="129" spans="1:17" ht="6.6" customHeight="1"/>
    <row r="130" spans="1:17" ht="12" customHeight="1">
      <c r="A130" s="48" t="s">
        <v>1999</v>
      </c>
      <c r="B130" s="53" t="s">
        <v>3660</v>
      </c>
      <c r="D130" s="138"/>
      <c r="E130" s="138"/>
      <c r="F130" s="138"/>
      <c r="G130" s="138"/>
      <c r="H130" s="138"/>
      <c r="I130" s="43"/>
      <c r="J130" s="43"/>
      <c r="K130" s="484" t="s">
        <v>1999</v>
      </c>
      <c r="L130" s="3152" t="s">
        <v>4756</v>
      </c>
      <c r="M130" s="3152"/>
      <c r="N130" s="3152"/>
      <c r="O130" s="3152"/>
      <c r="P130" s="3152"/>
      <c r="Q130" s="560"/>
    </row>
    <row r="131" spans="1:17" ht="12" customHeight="1">
      <c r="A131" s="48" t="s">
        <v>2001</v>
      </c>
      <c r="B131" s="53" t="s">
        <v>1550</v>
      </c>
      <c r="D131" s="138"/>
      <c r="E131" s="138"/>
      <c r="F131" s="138"/>
      <c r="G131" s="138"/>
      <c r="H131" s="138"/>
      <c r="I131" s="43"/>
      <c r="J131" s="43"/>
      <c r="K131" s="138"/>
      <c r="L131" s="1601"/>
      <c r="O131" s="484" t="s">
        <v>2001</v>
      </c>
      <c r="P131" s="2980" t="s">
        <v>3009</v>
      </c>
      <c r="Q131" s="1005"/>
    </row>
    <row r="132" spans="1:17" ht="12" customHeight="1">
      <c r="A132" s="48" t="s">
        <v>757</v>
      </c>
      <c r="B132" s="53" t="s">
        <v>152</v>
      </c>
      <c r="D132" s="138"/>
      <c r="E132" s="138"/>
      <c r="F132" s="138"/>
      <c r="G132" s="138"/>
      <c r="H132" s="138"/>
      <c r="I132" s="43"/>
      <c r="J132" s="43"/>
      <c r="K132" s="1601"/>
      <c r="L132" s="1601"/>
      <c r="O132" s="484" t="s">
        <v>757</v>
      </c>
      <c r="P132" s="2928" t="s">
        <v>3009</v>
      </c>
      <c r="Q132" s="962"/>
    </row>
    <row r="133" spans="1:17" ht="12" customHeight="1">
      <c r="A133" s="48"/>
      <c r="B133" s="67" t="s">
        <v>1750</v>
      </c>
      <c r="C133" s="53" t="s">
        <v>2705</v>
      </c>
      <c r="E133" s="138"/>
      <c r="F133" s="138"/>
      <c r="G133" s="138"/>
      <c r="H133" s="138"/>
      <c r="I133" s="43"/>
      <c r="J133" s="43"/>
      <c r="K133" s="68" t="s">
        <v>1750</v>
      </c>
      <c r="L133" s="3152" t="s">
        <v>4756</v>
      </c>
      <c r="M133" s="3152"/>
      <c r="N133" s="3152"/>
      <c r="O133" s="3152"/>
      <c r="P133" s="3152"/>
      <c r="Q133" s="560"/>
    </row>
    <row r="134" spans="1:17" ht="12" customHeight="1">
      <c r="A134" s="143"/>
      <c r="B134" s="68" t="s">
        <v>1751</v>
      </c>
      <c r="C134" s="37" t="s">
        <v>3494</v>
      </c>
      <c r="E134" s="43"/>
      <c r="F134" s="43"/>
      <c r="G134" s="43"/>
      <c r="H134" s="53"/>
      <c r="I134" s="43"/>
      <c r="J134" s="43"/>
      <c r="K134" s="138"/>
      <c r="L134" s="1601"/>
      <c r="M134" s="1601"/>
      <c r="O134" s="484" t="s">
        <v>1751</v>
      </c>
      <c r="P134" s="2978">
        <v>58.4</v>
      </c>
      <c r="Q134" s="566"/>
    </row>
    <row r="135" spans="1:17" ht="12" customHeight="1">
      <c r="A135" s="143"/>
      <c r="B135" s="484" t="s">
        <v>1752</v>
      </c>
      <c r="C135" s="53" t="s">
        <v>4162</v>
      </c>
      <c r="E135" s="43"/>
      <c r="F135" s="43"/>
      <c r="G135" s="43"/>
      <c r="H135" s="53"/>
      <c r="I135" s="43"/>
      <c r="J135" s="43"/>
      <c r="K135" s="138"/>
      <c r="L135" s="1601"/>
      <c r="M135" s="1601"/>
      <c r="N135" s="1601"/>
      <c r="O135" s="1601"/>
    </row>
    <row r="136" spans="1:17" ht="11.45" customHeight="1">
      <c r="A136" s="1592"/>
      <c r="B136" s="68"/>
      <c r="C136" s="3153" t="s">
        <v>4757</v>
      </c>
      <c r="D136" s="3153"/>
      <c r="E136" s="3153"/>
      <c r="F136" s="3153"/>
      <c r="G136" s="3153"/>
      <c r="H136" s="3153"/>
      <c r="I136" s="3153"/>
      <c r="J136" s="3153"/>
      <c r="K136" s="3153"/>
      <c r="L136" s="3153"/>
      <c r="M136" s="3153"/>
      <c r="N136" s="3153"/>
      <c r="O136" s="3153"/>
      <c r="P136" s="3153"/>
      <c r="Q136" s="3153"/>
    </row>
    <row r="137" spans="1:17" ht="12" customHeight="1">
      <c r="A137" s="48" t="s">
        <v>2131</v>
      </c>
      <c r="B137" s="53" t="s">
        <v>1272</v>
      </c>
      <c r="D137" s="138"/>
      <c r="E137" s="138"/>
      <c r="F137" s="138"/>
      <c r="G137" s="138"/>
      <c r="H137" s="138"/>
      <c r="I137" s="43"/>
      <c r="J137" s="43"/>
      <c r="K137" s="138"/>
      <c r="L137" s="1601"/>
      <c r="M137" s="1601"/>
      <c r="N137" s="1601"/>
      <c r="O137" s="484" t="s">
        <v>2131</v>
      </c>
    </row>
    <row r="138" spans="1:17" ht="12" customHeight="1">
      <c r="A138" s="48"/>
      <c r="B138" s="68" t="s">
        <v>1750</v>
      </c>
      <c r="C138" s="53" t="s">
        <v>150</v>
      </c>
      <c r="E138" s="138"/>
      <c r="F138" s="138"/>
      <c r="G138" s="138"/>
      <c r="H138" s="138"/>
      <c r="I138" s="43"/>
      <c r="J138" s="43"/>
      <c r="K138" s="138"/>
      <c r="L138" s="1601"/>
      <c r="M138" s="1601"/>
      <c r="O138" s="68" t="s">
        <v>1750</v>
      </c>
      <c r="P138" s="2929" t="s">
        <v>3012</v>
      </c>
      <c r="Q138" s="561"/>
    </row>
    <row r="139" spans="1:17" ht="12" customHeight="1">
      <c r="A139" s="48"/>
      <c r="B139" s="68" t="s">
        <v>1751</v>
      </c>
      <c r="C139" s="53" t="s">
        <v>1273</v>
      </c>
      <c r="E139" s="138"/>
      <c r="F139" s="138"/>
      <c r="G139" s="138"/>
      <c r="H139" s="43"/>
      <c r="I139" s="43"/>
      <c r="J139" s="43"/>
      <c r="K139" s="138"/>
      <c r="L139" s="1601"/>
      <c r="M139" s="1601"/>
      <c r="O139" s="68" t="s">
        <v>1751</v>
      </c>
      <c r="P139" s="2935" t="s">
        <v>3012</v>
      </c>
      <c r="Q139" s="562"/>
    </row>
    <row r="140" spans="1:17" ht="12" customHeight="1">
      <c r="A140" s="48"/>
      <c r="B140" s="68"/>
      <c r="C140" s="53" t="s">
        <v>2649</v>
      </c>
      <c r="E140" s="484" t="s">
        <v>2451</v>
      </c>
      <c r="F140" s="53" t="s">
        <v>2650</v>
      </c>
      <c r="G140" s="43"/>
      <c r="H140" s="53"/>
      <c r="I140" s="43"/>
      <c r="J140" s="43"/>
      <c r="K140" s="138"/>
      <c r="L140" s="1601"/>
      <c r="M140" s="1601"/>
      <c r="O140" s="484" t="s">
        <v>2451</v>
      </c>
      <c r="P140" s="3154"/>
      <c r="Q140" s="909"/>
    </row>
    <row r="141" spans="1:17" ht="12" customHeight="1">
      <c r="A141" s="48"/>
      <c r="B141" s="68"/>
      <c r="E141" s="484" t="s">
        <v>2452</v>
      </c>
      <c r="F141" s="53" t="s">
        <v>2651</v>
      </c>
      <c r="G141" s="43"/>
      <c r="H141" s="53"/>
      <c r="I141" s="43"/>
      <c r="J141" s="43"/>
      <c r="K141" s="138"/>
      <c r="L141" s="1601"/>
      <c r="M141" s="1601"/>
      <c r="O141" s="484" t="s">
        <v>2452</v>
      </c>
      <c r="P141" s="2935"/>
      <c r="Q141" s="562"/>
    </row>
    <row r="142" spans="1:17" ht="12" customHeight="1">
      <c r="A142" s="48"/>
      <c r="B142" s="68"/>
      <c r="E142" s="484" t="s">
        <v>2453</v>
      </c>
      <c r="F142" s="53" t="s">
        <v>2652</v>
      </c>
      <c r="G142" s="43"/>
      <c r="H142" s="53"/>
      <c r="I142" s="43"/>
      <c r="J142" s="43"/>
      <c r="K142" s="138"/>
      <c r="L142" s="1601"/>
      <c r="M142" s="1601"/>
      <c r="O142" s="484" t="s">
        <v>2453</v>
      </c>
      <c r="P142" s="2935"/>
      <c r="Q142" s="562"/>
    </row>
    <row r="143" spans="1:17" ht="12" customHeight="1">
      <c r="A143" s="48"/>
      <c r="B143" s="68" t="s">
        <v>1752</v>
      </c>
      <c r="C143" s="53" t="s">
        <v>1274</v>
      </c>
      <c r="E143" s="138"/>
      <c r="F143" s="138"/>
      <c r="G143" s="138"/>
      <c r="H143" s="53"/>
      <c r="I143" s="43"/>
      <c r="J143" s="43"/>
      <c r="K143" s="138"/>
      <c r="L143" s="1601"/>
      <c r="M143" s="1601"/>
      <c r="O143" s="68" t="s">
        <v>1752</v>
      </c>
      <c r="P143" s="2935" t="s">
        <v>3012</v>
      </c>
      <c r="Q143" s="562"/>
    </row>
    <row r="144" spans="1:17" ht="12" customHeight="1">
      <c r="A144" s="48"/>
      <c r="B144" s="68"/>
      <c r="C144" s="53" t="s">
        <v>2649</v>
      </c>
      <c r="E144" s="484" t="s">
        <v>2451</v>
      </c>
      <c r="F144" s="53" t="s">
        <v>2653</v>
      </c>
      <c r="G144" s="43"/>
      <c r="H144" s="53"/>
      <c r="I144" s="43"/>
      <c r="J144" s="43"/>
      <c r="K144" s="138"/>
      <c r="L144" s="1601"/>
      <c r="O144" s="484" t="s">
        <v>2451</v>
      </c>
      <c r="P144" s="3154"/>
      <c r="Q144" s="909"/>
    </row>
    <row r="145" spans="1:18" ht="12" customHeight="1">
      <c r="A145" s="48"/>
      <c r="B145" s="68"/>
      <c r="E145" s="484" t="s">
        <v>2452</v>
      </c>
      <c r="F145" s="53" t="s">
        <v>2654</v>
      </c>
      <c r="G145" s="43"/>
      <c r="H145" s="53"/>
      <c r="I145" s="43"/>
      <c r="J145" s="43"/>
      <c r="O145" s="484" t="s">
        <v>2452</v>
      </c>
      <c r="P145" s="2935"/>
      <c r="Q145" s="562"/>
    </row>
    <row r="146" spans="1:18" ht="12" customHeight="1">
      <c r="A146" s="48"/>
      <c r="B146" s="68"/>
      <c r="E146" s="484" t="s">
        <v>2453</v>
      </c>
      <c r="F146" s="53" t="s">
        <v>2652</v>
      </c>
      <c r="G146" s="43"/>
      <c r="H146" s="53"/>
      <c r="I146" s="43"/>
      <c r="J146" s="43"/>
      <c r="O146" s="484" t="s">
        <v>2453</v>
      </c>
      <c r="P146" s="2935"/>
      <c r="Q146" s="562"/>
    </row>
    <row r="147" spans="1:18" ht="12" customHeight="1">
      <c r="A147" s="37"/>
      <c r="B147" s="68" t="s">
        <v>2381</v>
      </c>
      <c r="C147" s="53" t="s">
        <v>2655</v>
      </c>
      <c r="E147" s="138"/>
      <c r="F147" s="138"/>
      <c r="G147" s="138"/>
      <c r="H147" s="138"/>
      <c r="I147" s="43"/>
      <c r="J147" s="43"/>
      <c r="O147" s="68" t="s">
        <v>2381</v>
      </c>
      <c r="P147" s="2928" t="s">
        <v>3012</v>
      </c>
      <c r="Q147" s="563"/>
    </row>
    <row r="148" spans="1:18" ht="12" customHeight="1">
      <c r="A148" s="48" t="s">
        <v>1748</v>
      </c>
      <c r="B148" s="150" t="s">
        <v>2430</v>
      </c>
      <c r="D148" s="138"/>
      <c r="E148" s="138"/>
      <c r="F148" s="138"/>
      <c r="G148" s="138"/>
      <c r="H148" s="138"/>
      <c r="I148" s="43"/>
      <c r="J148" s="43"/>
      <c r="K148" s="138"/>
      <c r="L148" s="1601"/>
      <c r="M148" s="1601"/>
      <c r="N148" s="1601"/>
      <c r="O148" s="1601"/>
      <c r="P148" s="1601"/>
      <c r="Q148" s="1601"/>
    </row>
    <row r="149" spans="1:18" ht="12" customHeight="1">
      <c r="B149" s="68" t="s">
        <v>1750</v>
      </c>
      <c r="C149" s="53" t="s">
        <v>2511</v>
      </c>
      <c r="E149" s="138"/>
      <c r="F149" s="2929" t="s">
        <v>3009</v>
      </c>
      <c r="G149" s="561"/>
      <c r="H149" s="68" t="s">
        <v>1561</v>
      </c>
      <c r="I149" s="56" t="s">
        <v>2657</v>
      </c>
      <c r="L149" s="2929" t="s">
        <v>3012</v>
      </c>
      <c r="M149" s="561"/>
      <c r="N149" s="484" t="s">
        <v>517</v>
      </c>
      <c r="O149" s="53" t="s">
        <v>1564</v>
      </c>
      <c r="P149" s="2929" t="s">
        <v>3012</v>
      </c>
      <c r="Q149" s="561"/>
    </row>
    <row r="150" spans="1:18" ht="12" customHeight="1">
      <c r="A150" s="37"/>
      <c r="B150" s="68" t="s">
        <v>1751</v>
      </c>
      <c r="C150" s="53" t="s">
        <v>2820</v>
      </c>
      <c r="E150" s="138"/>
      <c r="F150" s="2935" t="s">
        <v>3009</v>
      </c>
      <c r="G150" s="562"/>
      <c r="H150" s="68" t="s">
        <v>1562</v>
      </c>
      <c r="I150" s="56" t="s">
        <v>2658</v>
      </c>
      <c r="L150" s="2935" t="s">
        <v>3012</v>
      </c>
      <c r="M150" s="562"/>
      <c r="N150" s="484" t="s">
        <v>518</v>
      </c>
      <c r="O150" s="53" t="s">
        <v>1563</v>
      </c>
      <c r="P150" s="2935" t="s">
        <v>3012</v>
      </c>
      <c r="Q150" s="562"/>
    </row>
    <row r="151" spans="1:18" ht="12" customHeight="1">
      <c r="A151" s="37"/>
      <c r="B151" s="68" t="s">
        <v>1752</v>
      </c>
      <c r="C151" s="53" t="s">
        <v>2656</v>
      </c>
      <c r="E151" s="138"/>
      <c r="F151" s="2935" t="s">
        <v>3012</v>
      </c>
      <c r="G151" s="562"/>
      <c r="H151" s="484" t="s">
        <v>99</v>
      </c>
      <c r="I151" s="56" t="s">
        <v>3874</v>
      </c>
      <c r="L151" s="2935" t="s">
        <v>3009</v>
      </c>
      <c r="M151" s="562"/>
      <c r="N151" s="484" t="s">
        <v>2822</v>
      </c>
      <c r="O151" s="53" t="s">
        <v>1565</v>
      </c>
      <c r="P151" s="2928" t="s">
        <v>3012</v>
      </c>
      <c r="Q151" s="563"/>
    </row>
    <row r="152" spans="1:18" ht="12" customHeight="1">
      <c r="A152" s="37"/>
      <c r="B152" s="68" t="s">
        <v>2381</v>
      </c>
      <c r="C152" s="53" t="s">
        <v>2823</v>
      </c>
      <c r="E152" s="138"/>
      <c r="F152" s="2928" t="s">
        <v>3012</v>
      </c>
      <c r="G152" s="563"/>
      <c r="H152" s="484" t="s">
        <v>516</v>
      </c>
      <c r="I152" s="53" t="s">
        <v>2819</v>
      </c>
      <c r="L152" s="2928" t="s">
        <v>3009</v>
      </c>
      <c r="M152" s="563"/>
      <c r="O152" s="68"/>
    </row>
    <row r="153" spans="1:18" ht="12" customHeight="1">
      <c r="A153" s="37"/>
      <c r="B153" s="484" t="s">
        <v>2911</v>
      </c>
      <c r="C153" s="53" t="s">
        <v>2821</v>
      </c>
      <c r="E153" s="138"/>
      <c r="F153" s="138"/>
      <c r="G153" s="138"/>
      <c r="H153" s="138"/>
      <c r="I153" s="138"/>
      <c r="J153" s="138"/>
      <c r="K153" s="138"/>
      <c r="L153" s="138"/>
      <c r="M153" s="53"/>
      <c r="O153" s="68"/>
      <c r="P153" s="68"/>
    </row>
    <row r="154" spans="1:18" ht="12" customHeight="1">
      <c r="A154" s="37"/>
      <c r="C154" s="3153" t="s">
        <v>4758</v>
      </c>
      <c r="D154" s="3153"/>
      <c r="E154" s="3153"/>
      <c r="F154" s="3153"/>
      <c r="G154" s="3153"/>
      <c r="H154" s="3153"/>
      <c r="I154" s="3153"/>
      <c r="J154" s="3153"/>
      <c r="K154" s="3153"/>
      <c r="L154" s="3153"/>
      <c r="M154" s="3153"/>
      <c r="N154" s="3153"/>
      <c r="O154" s="3153"/>
      <c r="P154" s="3153"/>
      <c r="Q154" s="3153"/>
    </row>
    <row r="155" spans="1:18" ht="12" customHeight="1">
      <c r="A155" s="48" t="s">
        <v>1749</v>
      </c>
      <c r="B155" s="53" t="s">
        <v>3592</v>
      </c>
      <c r="D155" s="138"/>
      <c r="E155" s="138"/>
      <c r="F155" s="138"/>
      <c r="G155" s="138"/>
      <c r="H155" s="138"/>
      <c r="I155" s="43"/>
      <c r="J155" s="43"/>
      <c r="K155" s="138"/>
      <c r="L155" s="138"/>
      <c r="M155" s="1601"/>
    </row>
    <row r="156" spans="1:18" ht="12" customHeight="1">
      <c r="A156" s="43"/>
      <c r="B156" s="68" t="s">
        <v>1750</v>
      </c>
      <c r="C156" s="53" t="s">
        <v>2824</v>
      </c>
      <c r="E156" s="138"/>
      <c r="F156" s="138"/>
      <c r="G156" s="138"/>
      <c r="H156" s="138"/>
      <c r="O156" s="68" t="s">
        <v>1750</v>
      </c>
      <c r="P156" s="2929" t="s">
        <v>3012</v>
      </c>
      <c r="Q156" s="561"/>
    </row>
    <row r="157" spans="1:18" ht="12" customHeight="1">
      <c r="A157" s="1596"/>
      <c r="B157" s="68" t="s">
        <v>1751</v>
      </c>
      <c r="C157" s="53" t="s">
        <v>495</v>
      </c>
      <c r="E157" s="53"/>
      <c r="F157" s="53"/>
      <c r="G157" s="53"/>
      <c r="H157" s="53"/>
      <c r="I157" s="43"/>
      <c r="J157" s="43"/>
      <c r="K157" s="53"/>
      <c r="L157" s="53"/>
      <c r="M157" s="53"/>
      <c r="O157" s="68" t="s">
        <v>1751</v>
      </c>
      <c r="P157" s="2935" t="s">
        <v>3012</v>
      </c>
      <c r="Q157" s="562"/>
    </row>
    <row r="158" spans="1:18" ht="12" customHeight="1">
      <c r="A158" s="1596"/>
      <c r="B158" s="68" t="s">
        <v>1752</v>
      </c>
      <c r="C158" s="53" t="s">
        <v>687</v>
      </c>
      <c r="E158" s="53"/>
      <c r="F158" s="53"/>
      <c r="G158" s="53"/>
      <c r="H158" s="53"/>
      <c r="I158" s="43"/>
      <c r="J158" s="43"/>
      <c r="K158" s="53"/>
      <c r="L158" s="53"/>
      <c r="M158" s="53"/>
      <c r="O158" s="68" t="s">
        <v>1752</v>
      </c>
      <c r="P158" s="2935" t="s">
        <v>3012</v>
      </c>
      <c r="Q158" s="562"/>
    </row>
    <row r="159" spans="1:18" ht="12" customHeight="1">
      <c r="A159" s="48" t="s">
        <v>1962</v>
      </c>
      <c r="B159" s="53" t="s">
        <v>1766</v>
      </c>
      <c r="D159" s="138"/>
      <c r="E159" s="138"/>
      <c r="F159" s="138"/>
      <c r="G159" s="138"/>
      <c r="H159" s="138"/>
      <c r="I159" s="43"/>
      <c r="J159" s="43"/>
      <c r="K159" s="138"/>
      <c r="L159" s="138"/>
      <c r="M159" s="1601"/>
      <c r="O159" s="484" t="s">
        <v>1962</v>
      </c>
      <c r="P159" s="2928" t="s">
        <v>979</v>
      </c>
      <c r="Q159" s="563"/>
    </row>
    <row r="160" spans="1:18" ht="12" customHeight="1">
      <c r="A160" s="425" t="s">
        <v>3484</v>
      </c>
      <c r="C160" s="53"/>
      <c r="D160" s="138"/>
      <c r="E160" s="138"/>
      <c r="F160" s="138"/>
      <c r="G160" s="138"/>
      <c r="H160" s="138"/>
      <c r="I160" s="43"/>
      <c r="J160" s="43"/>
      <c r="K160" s="138"/>
      <c r="L160" s="138"/>
      <c r="M160" s="1601"/>
      <c r="N160" s="1601"/>
      <c r="O160" s="1601"/>
      <c r="P160" s="1601"/>
      <c r="Q160" s="1601"/>
      <c r="R160" s="1601"/>
    </row>
    <row r="161" spans="1:32" s="1" customFormat="1" ht="23.45" customHeight="1">
      <c r="A161" s="146" t="s">
        <v>3390</v>
      </c>
      <c r="B161" s="1892" t="s">
        <v>149</v>
      </c>
      <c r="C161" s="1892"/>
      <c r="D161" s="1892"/>
      <c r="E161" s="1892"/>
      <c r="F161" s="1892"/>
      <c r="G161" s="1892"/>
      <c r="H161" s="1892"/>
      <c r="I161" s="1892"/>
      <c r="J161" s="1892"/>
      <c r="K161" s="1892"/>
      <c r="L161" s="1892"/>
      <c r="M161" s="166" t="s">
        <v>3390</v>
      </c>
      <c r="N161" s="3155" t="s">
        <v>1784</v>
      </c>
      <c r="O161" s="3156"/>
      <c r="P161" s="1943" t="s">
        <v>1784</v>
      </c>
      <c r="Q161" s="1944"/>
      <c r="AE161" s="5"/>
      <c r="AF161" s="5"/>
    </row>
    <row r="162" spans="1:32" s="1" customFormat="1" ht="12" customHeight="1">
      <c r="A162" s="48" t="s">
        <v>622</v>
      </c>
      <c r="B162" s="118" t="s">
        <v>1</v>
      </c>
      <c r="D162" s="1240"/>
      <c r="E162" s="1240"/>
      <c r="G162" s="484" t="s">
        <v>622</v>
      </c>
      <c r="H162" s="3157"/>
      <c r="I162" s="3158"/>
      <c r="J162" s="3158"/>
      <c r="K162" s="3158"/>
      <c r="L162" s="3158"/>
      <c r="M162" s="3158"/>
      <c r="N162" s="3158"/>
      <c r="O162" s="3158"/>
      <c r="P162" s="3159"/>
      <c r="Q162" s="559"/>
      <c r="AE162" s="5"/>
      <c r="AF162" s="5"/>
    </row>
    <row r="163" spans="1:32" s="1" customFormat="1" ht="12" customHeight="1">
      <c r="A163" s="48" t="s">
        <v>3391</v>
      </c>
      <c r="B163" s="956" t="s">
        <v>1427</v>
      </c>
      <c r="D163" s="11"/>
      <c r="E163" s="11"/>
      <c r="F163" s="11"/>
      <c r="G163" s="7"/>
      <c r="H163" s="7"/>
      <c r="I163" s="956"/>
      <c r="K163" s="7"/>
      <c r="L163" s="7"/>
      <c r="M163" s="7"/>
      <c r="O163" s="484" t="s">
        <v>3391</v>
      </c>
      <c r="P163" s="3001"/>
      <c r="Q163" s="559"/>
      <c r="AE163" s="5"/>
      <c r="AF163" s="5"/>
    </row>
    <row r="164" spans="1:32" ht="11.25" customHeight="1">
      <c r="B164" s="145" t="s">
        <v>3778</v>
      </c>
      <c r="D164" s="145"/>
      <c r="E164" s="145"/>
      <c r="F164" s="145"/>
      <c r="G164" s="145"/>
      <c r="H164" s="41"/>
      <c r="I164" s="1596"/>
      <c r="J164" s="1596"/>
      <c r="K164" s="1596"/>
      <c r="L164" s="1592"/>
      <c r="M164" s="1592"/>
      <c r="N164" s="1592"/>
      <c r="O164" s="1592"/>
      <c r="P164" s="1592"/>
      <c r="Q164" s="955"/>
    </row>
    <row r="165" spans="1:32" ht="30.95" customHeight="1">
      <c r="A165" s="3114" t="s">
        <v>4748</v>
      </c>
      <c r="B165" s="3115"/>
      <c r="C165" s="3115"/>
      <c r="D165" s="3115"/>
      <c r="E165" s="3115"/>
      <c r="F165" s="3115"/>
      <c r="G165" s="3115"/>
      <c r="H165" s="3115"/>
      <c r="I165" s="3115"/>
      <c r="J165" s="3115"/>
      <c r="K165" s="3115"/>
      <c r="L165" s="3115"/>
      <c r="M165" s="3115"/>
      <c r="N165" s="3115"/>
      <c r="O165" s="3115"/>
      <c r="P165" s="3115"/>
      <c r="Q165" s="3116"/>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9"/>
      <c r="E167" s="1599"/>
      <c r="F167" s="1599"/>
      <c r="G167" s="1599"/>
      <c r="H167" s="1599"/>
      <c r="I167" s="1599"/>
      <c r="J167" s="1599"/>
      <c r="K167" s="1599"/>
      <c r="L167" s="1599"/>
      <c r="M167" s="1599"/>
      <c r="N167" s="1599"/>
      <c r="O167" s="1599"/>
      <c r="P167" s="1599"/>
      <c r="Q167" s="1599"/>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92"/>
      <c r="B169" s="1596"/>
      <c r="C169" s="1599"/>
      <c r="D169" s="1599"/>
      <c r="E169" s="1599"/>
      <c r="F169" s="1599"/>
      <c r="G169" s="1599"/>
      <c r="H169" s="1599"/>
      <c r="I169" s="1599"/>
      <c r="J169" s="1599"/>
      <c r="K169" s="1599"/>
      <c r="L169" s="1599"/>
      <c r="M169" s="1599"/>
      <c r="N169" s="1599"/>
      <c r="O169" s="1599"/>
      <c r="P169" s="1599"/>
      <c r="Q169" s="1592"/>
    </row>
    <row r="170" spans="1:32" ht="14.1" customHeight="1">
      <c r="A170" s="1593" t="s">
        <v>294</v>
      </c>
      <c r="B170" s="1593" t="s">
        <v>2673</v>
      </c>
      <c r="C170" s="1593"/>
      <c r="D170" s="1599"/>
      <c r="E170" s="1599"/>
      <c r="F170" s="1599"/>
      <c r="G170" s="1599"/>
      <c r="H170" s="1599"/>
      <c r="I170" s="1599"/>
      <c r="J170" s="1599"/>
      <c r="K170" s="1599"/>
      <c r="O170" s="136" t="s">
        <v>1881</v>
      </c>
      <c r="P170" s="1897"/>
      <c r="Q170" s="1904"/>
    </row>
    <row r="171" spans="1:32" ht="12" customHeight="1">
      <c r="A171" s="48" t="s">
        <v>1999</v>
      </c>
      <c r="B171" s="53" t="s">
        <v>3932</v>
      </c>
      <c r="D171" s="53"/>
      <c r="E171" s="53"/>
      <c r="F171" s="53"/>
      <c r="G171" s="53"/>
      <c r="I171" s="53" t="s">
        <v>2725</v>
      </c>
      <c r="K171" s="3160">
        <v>43617</v>
      </c>
      <c r="L171" s="3161"/>
      <c r="N171" s="53"/>
      <c r="O171" s="484" t="s">
        <v>1999</v>
      </c>
      <c r="P171" s="3001" t="s">
        <v>3009</v>
      </c>
      <c r="Q171" s="559"/>
    </row>
    <row r="172" spans="1:32" ht="12" customHeight="1">
      <c r="A172" s="48" t="s">
        <v>2001</v>
      </c>
      <c r="B172" s="144" t="s">
        <v>151</v>
      </c>
      <c r="D172" s="144"/>
      <c r="E172" s="144"/>
      <c r="F172" s="144"/>
      <c r="G172" s="144"/>
      <c r="H172" s="144"/>
      <c r="M172" s="484" t="s">
        <v>2001</v>
      </c>
      <c r="N172" s="3162" t="s">
        <v>4635</v>
      </c>
      <c r="O172" s="3163"/>
      <c r="P172" s="1905" t="s">
        <v>1784</v>
      </c>
      <c r="Q172" s="1906"/>
    </row>
    <row r="173" spans="1:32" ht="12" customHeight="1">
      <c r="A173" s="48" t="s">
        <v>757</v>
      </c>
      <c r="B173" s="144" t="s">
        <v>688</v>
      </c>
      <c r="D173" s="144"/>
      <c r="E173" s="144"/>
      <c r="F173" s="144"/>
      <c r="G173" s="144"/>
      <c r="H173" s="144"/>
      <c r="J173" s="484" t="s">
        <v>757</v>
      </c>
      <c r="K173" s="3132" t="s">
        <v>4572</v>
      </c>
      <c r="L173" s="3133"/>
      <c r="M173" s="3133"/>
      <c r="N173" s="3133"/>
      <c r="O173" s="3133"/>
      <c r="P173" s="3134"/>
      <c r="Q173" s="559"/>
    </row>
    <row r="174" spans="1:32" ht="12" customHeight="1">
      <c r="A174" s="48" t="s">
        <v>2131</v>
      </c>
      <c r="B174" s="144" t="s">
        <v>2899</v>
      </c>
      <c r="D174" s="144"/>
      <c r="E174" s="144"/>
      <c r="F174" s="144"/>
      <c r="G174" s="144"/>
      <c r="H174" s="144"/>
      <c r="J174" s="484"/>
      <c r="K174" s="484"/>
      <c r="L174" s="484"/>
      <c r="M174" s="484"/>
      <c r="N174" s="484"/>
      <c r="O174" s="484" t="s">
        <v>2131</v>
      </c>
      <c r="P174" s="3001" t="s">
        <v>3009</v>
      </c>
      <c r="Q174" s="559"/>
    </row>
    <row r="175" spans="1:32" ht="12" customHeight="1">
      <c r="B175" s="145" t="s">
        <v>3778</v>
      </c>
      <c r="D175" s="145"/>
      <c r="E175" s="145"/>
      <c r="F175" s="145"/>
      <c r="G175" s="145"/>
      <c r="H175" s="41"/>
      <c r="I175" s="1596"/>
      <c r="J175" s="1596"/>
      <c r="K175" s="1596"/>
      <c r="L175" s="1592"/>
      <c r="M175" s="1592"/>
      <c r="N175" s="1592"/>
      <c r="O175" s="1592"/>
      <c r="P175" s="1592"/>
      <c r="Q175" s="955"/>
    </row>
    <row r="176" spans="1:32" ht="11.45" customHeight="1">
      <c r="A176" s="3114" t="s">
        <v>4697</v>
      </c>
      <c r="B176" s="3115"/>
      <c r="C176" s="3115"/>
      <c r="D176" s="3115"/>
      <c r="E176" s="3115"/>
      <c r="F176" s="3115"/>
      <c r="G176" s="3115"/>
      <c r="H176" s="3115"/>
      <c r="I176" s="3115"/>
      <c r="J176" s="3115"/>
      <c r="K176" s="3115"/>
      <c r="L176" s="3115"/>
      <c r="M176" s="3115"/>
      <c r="N176" s="3115"/>
      <c r="O176" s="3115"/>
      <c r="P176" s="3115"/>
      <c r="Q176" s="3116"/>
      <c r="U176" s="140"/>
      <c r="V176" s="140"/>
      <c r="W176" s="140"/>
      <c r="X176" s="140"/>
      <c r="Y176" s="140"/>
      <c r="Z176" s="140"/>
      <c r="AA176" s="140"/>
      <c r="AB176" s="140"/>
      <c r="AC176" s="140"/>
      <c r="AD176" s="140"/>
      <c r="AE176" s="486"/>
    </row>
    <row r="177" spans="1:31" ht="12" customHeight="1">
      <c r="B177" s="141" t="s">
        <v>1880</v>
      </c>
      <c r="C177" s="142"/>
      <c r="D177" s="1599"/>
      <c r="E177" s="1599"/>
      <c r="F177" s="1599"/>
      <c r="G177" s="1599"/>
      <c r="H177" s="1599"/>
      <c r="I177" s="1599"/>
      <c r="J177" s="1599"/>
      <c r="K177" s="1599"/>
      <c r="L177" s="1599"/>
      <c r="M177" s="1599"/>
      <c r="N177" s="1599"/>
      <c r="O177" s="1599"/>
      <c r="P177" s="1599"/>
      <c r="Q177" s="1599"/>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92"/>
      <c r="B179" s="1596"/>
      <c r="C179" s="1599"/>
      <c r="D179" s="1599"/>
      <c r="E179" s="1599"/>
      <c r="F179" s="1599"/>
      <c r="G179" s="1599"/>
      <c r="H179" s="1599"/>
      <c r="I179" s="1599"/>
      <c r="J179" s="1599"/>
      <c r="K179" s="1599"/>
      <c r="L179" s="1599"/>
      <c r="M179" s="1599"/>
      <c r="Q179" s="1592"/>
    </row>
    <row r="180" spans="1:31" ht="14.1" customHeight="1">
      <c r="A180" s="1593" t="s">
        <v>428</v>
      </c>
      <c r="B180" s="1593" t="s">
        <v>2674</v>
      </c>
      <c r="C180" s="1593"/>
      <c r="D180" s="1599"/>
      <c r="E180" s="1599"/>
      <c r="F180" s="1599"/>
      <c r="G180" s="1599"/>
      <c r="H180" s="1599"/>
      <c r="I180" s="1599"/>
      <c r="J180" s="1599"/>
      <c r="K180" s="1599"/>
      <c r="L180" s="1599"/>
      <c r="M180" s="1599"/>
      <c r="O180" s="136" t="s">
        <v>1881</v>
      </c>
      <c r="P180" s="1897"/>
      <c r="Q180" s="1904"/>
    </row>
    <row r="181" spans="1:31" ht="21.75" customHeight="1">
      <c r="A181" s="146" t="s">
        <v>1999</v>
      </c>
      <c r="B181" s="1892" t="s">
        <v>3769</v>
      </c>
      <c r="C181" s="1892"/>
      <c r="D181" s="1892"/>
      <c r="E181" s="1892"/>
      <c r="F181" s="1892"/>
      <c r="G181" s="1892"/>
      <c r="H181" s="1892"/>
      <c r="I181" s="1892"/>
      <c r="J181" s="1892"/>
      <c r="K181" s="1892"/>
      <c r="L181" s="1892"/>
      <c r="M181" s="1892"/>
      <c r="N181" s="1892"/>
      <c r="O181" s="166" t="s">
        <v>1999</v>
      </c>
      <c r="P181" s="3072" t="s">
        <v>3009</v>
      </c>
      <c r="Q181" s="1261"/>
    </row>
    <row r="182" spans="1:31" ht="22.35" customHeight="1">
      <c r="A182" s="146" t="s">
        <v>2001</v>
      </c>
      <c r="B182" s="1892" t="s">
        <v>3661</v>
      </c>
      <c r="C182" s="1892"/>
      <c r="D182" s="1892"/>
      <c r="E182" s="1892"/>
      <c r="F182" s="1892"/>
      <c r="G182" s="1892"/>
      <c r="H182" s="1892"/>
      <c r="I182" s="1892"/>
      <c r="J182" s="1892"/>
      <c r="K182" s="1892"/>
      <c r="L182" s="1892"/>
      <c r="M182" s="1892"/>
      <c r="N182" s="1892"/>
      <c r="O182" s="166" t="s">
        <v>2001</v>
      </c>
      <c r="P182" s="3151" t="s">
        <v>3012</v>
      </c>
      <c r="Q182" s="564"/>
    </row>
    <row r="183" spans="1:31" ht="22.35" customHeight="1">
      <c r="A183" s="146" t="s">
        <v>757</v>
      </c>
      <c r="B183" s="1892" t="s">
        <v>3770</v>
      </c>
      <c r="C183" s="1892"/>
      <c r="D183" s="1892"/>
      <c r="E183" s="1892"/>
      <c r="F183" s="1892"/>
      <c r="G183" s="1892"/>
      <c r="H183" s="1892"/>
      <c r="I183" s="1892"/>
      <c r="J183" s="1892"/>
      <c r="K183" s="1892"/>
      <c r="L183" s="1892"/>
      <c r="M183" s="1892"/>
      <c r="N183" s="1892"/>
      <c r="O183" s="166" t="s">
        <v>757</v>
      </c>
      <c r="P183" s="3151" t="s">
        <v>3012</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5" t="s">
        <v>3012</v>
      </c>
      <c r="Q184" s="1282"/>
    </row>
    <row r="185" spans="1:31" ht="12" customHeight="1">
      <c r="B185" s="145" t="s">
        <v>3778</v>
      </c>
      <c r="D185" s="145"/>
      <c r="E185" s="145"/>
      <c r="F185" s="145"/>
      <c r="G185" s="145"/>
      <c r="H185" s="41"/>
      <c r="I185" s="1596"/>
      <c r="J185" s="1596"/>
      <c r="K185" s="1596"/>
      <c r="L185" s="1592"/>
      <c r="M185" s="1592"/>
      <c r="N185" s="1592"/>
      <c r="O185" s="1592"/>
      <c r="P185" s="1592"/>
      <c r="Q185" s="955"/>
    </row>
    <row r="186" spans="1:31" ht="11.45" customHeight="1">
      <c r="A186" s="3114" t="s">
        <v>4636</v>
      </c>
      <c r="B186" s="3115"/>
      <c r="C186" s="3115"/>
      <c r="D186" s="3115"/>
      <c r="E186" s="3115"/>
      <c r="F186" s="3115"/>
      <c r="G186" s="3115"/>
      <c r="H186" s="3115"/>
      <c r="I186" s="3115"/>
      <c r="J186" s="3115"/>
      <c r="K186" s="3115"/>
      <c r="L186" s="3115"/>
      <c r="M186" s="3115"/>
      <c r="N186" s="3115"/>
      <c r="O186" s="3115"/>
      <c r="P186" s="3115"/>
      <c r="Q186" s="3116"/>
      <c r="U186" s="140"/>
      <c r="V186" s="140"/>
      <c r="W186" s="140"/>
      <c r="X186" s="140"/>
      <c r="Y186" s="140"/>
      <c r="Z186" s="140"/>
      <c r="AA186" s="140"/>
      <c r="AB186" s="140"/>
      <c r="AC186" s="140"/>
      <c r="AD186" s="140"/>
      <c r="AE186" s="486"/>
    </row>
    <row r="187" spans="1:31" ht="12" customHeight="1">
      <c r="B187" s="141" t="s">
        <v>1880</v>
      </c>
      <c r="C187" s="142"/>
      <c r="D187" s="1599"/>
      <c r="E187" s="1599"/>
      <c r="F187" s="1599"/>
      <c r="G187" s="1599"/>
      <c r="H187" s="1599"/>
      <c r="I187" s="1599"/>
      <c r="J187" s="1599"/>
      <c r="K187" s="1599"/>
      <c r="L187" s="1599"/>
      <c r="M187" s="1599"/>
      <c r="N187" s="1599"/>
      <c r="O187" s="1599"/>
      <c r="P187" s="1599"/>
      <c r="Q187" s="1599"/>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96"/>
      <c r="C189" s="1599"/>
      <c r="D189" s="1599"/>
      <c r="E189" s="1599"/>
      <c r="F189" s="1599"/>
      <c r="G189" s="1599"/>
      <c r="H189" s="1599"/>
      <c r="I189" s="1599"/>
      <c r="J189" s="1599"/>
      <c r="K189" s="1599"/>
      <c r="L189" s="1599"/>
      <c r="M189" s="1599"/>
      <c r="N189" s="1599"/>
      <c r="O189" s="1599"/>
      <c r="P189" s="1599"/>
      <c r="Q189" s="1592"/>
    </row>
    <row r="190" spans="1:31" ht="14.1" customHeight="1">
      <c r="A190" s="1572"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3009</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3009</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3009</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5" t="s">
        <v>3009</v>
      </c>
      <c r="Q194" s="562"/>
    </row>
    <row r="195" spans="1:32" ht="12" customHeight="1">
      <c r="A195" s="146"/>
      <c r="B195" s="1892"/>
      <c r="C195" s="1892"/>
      <c r="D195" s="484" t="s">
        <v>1751</v>
      </c>
      <c r="E195" s="956" t="s">
        <v>2663</v>
      </c>
      <c r="G195" s="932"/>
      <c r="H195" s="932"/>
      <c r="I195" s="932"/>
      <c r="J195" s="932"/>
      <c r="K195" s="932"/>
      <c r="L195" s="932"/>
      <c r="M195" s="932"/>
      <c r="O195" s="459" t="s">
        <v>1751</v>
      </c>
      <c r="P195" s="2935" t="s">
        <v>3009</v>
      </c>
      <c r="Q195" s="562"/>
    </row>
    <row r="196" spans="1:32" s="137" customFormat="1" ht="21.75" customHeight="1">
      <c r="A196" s="146"/>
      <c r="C196" s="932"/>
      <c r="D196" s="166" t="s">
        <v>1752</v>
      </c>
      <c r="E196" s="1892" t="s">
        <v>3771</v>
      </c>
      <c r="F196" s="1892"/>
      <c r="G196" s="1892"/>
      <c r="H196" s="1892"/>
      <c r="I196" s="1892"/>
      <c r="J196" s="1892"/>
      <c r="K196" s="1892"/>
      <c r="L196" s="1892"/>
      <c r="M196" s="1892"/>
      <c r="N196" s="1892"/>
      <c r="O196" s="166" t="s">
        <v>1752</v>
      </c>
      <c r="P196" s="3151" t="s">
        <v>3009</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3009</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51" t="s">
        <v>4637</v>
      </c>
      <c r="Q198" s="564"/>
      <c r="AE198" s="487"/>
      <c r="AF198" s="487"/>
    </row>
    <row r="199" spans="1:32" s="137" customFormat="1" ht="21.75" customHeight="1">
      <c r="A199" s="146"/>
      <c r="C199" s="932"/>
      <c r="D199" s="166" t="s">
        <v>1562</v>
      </c>
      <c r="E199" s="1892" t="s">
        <v>3926</v>
      </c>
      <c r="F199" s="1892"/>
      <c r="G199" s="1892"/>
      <c r="H199" s="1892"/>
      <c r="I199" s="1892"/>
      <c r="J199" s="1892"/>
      <c r="K199" s="1892"/>
      <c r="L199" s="1892"/>
      <c r="M199" s="1892"/>
      <c r="N199" s="1892"/>
      <c r="O199" s="166" t="s">
        <v>1562</v>
      </c>
      <c r="P199" s="3151" t="s">
        <v>4637</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51" t="s">
        <v>3009</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3009</v>
      </c>
      <c r="Q201" s="563"/>
    </row>
    <row r="202" spans="1:32" ht="12" customHeight="1">
      <c r="B202" s="145" t="s">
        <v>3778</v>
      </c>
      <c r="D202" s="145"/>
      <c r="E202" s="145"/>
      <c r="F202" s="145"/>
      <c r="G202" s="145"/>
      <c r="H202" s="41"/>
      <c r="I202" s="1596"/>
      <c r="J202" s="1596"/>
      <c r="K202" s="1596"/>
      <c r="L202" s="1592"/>
      <c r="M202" s="1592"/>
      <c r="N202" s="1592"/>
      <c r="O202" s="1592"/>
      <c r="P202" s="1592"/>
      <c r="Q202" s="955"/>
    </row>
    <row r="203" spans="1:32" ht="11.45" customHeight="1">
      <c r="A203" s="3114" t="s">
        <v>4677</v>
      </c>
      <c r="B203" s="3115"/>
      <c r="C203" s="3115"/>
      <c r="D203" s="3115"/>
      <c r="E203" s="3115"/>
      <c r="F203" s="3115"/>
      <c r="G203" s="3115"/>
      <c r="H203" s="3115"/>
      <c r="I203" s="3115"/>
      <c r="J203" s="3115"/>
      <c r="K203" s="3115"/>
      <c r="L203" s="3115"/>
      <c r="M203" s="3115"/>
      <c r="N203" s="3115"/>
      <c r="O203" s="3115"/>
      <c r="P203" s="3115"/>
      <c r="Q203" s="3116"/>
      <c r="U203" s="140"/>
      <c r="V203" s="140"/>
      <c r="W203" s="140"/>
      <c r="X203" s="140"/>
      <c r="Y203" s="140"/>
      <c r="Z203" s="140"/>
      <c r="AA203" s="140"/>
      <c r="AB203" s="140"/>
      <c r="AC203" s="140"/>
      <c r="AD203" s="140"/>
      <c r="AE203" s="486"/>
    </row>
    <row r="204" spans="1:32" ht="12" customHeight="1">
      <c r="B204" s="141" t="s">
        <v>1880</v>
      </c>
      <c r="C204" s="142"/>
      <c r="D204" s="1599"/>
      <c r="E204" s="1599"/>
      <c r="F204" s="1599"/>
      <c r="G204" s="1599"/>
      <c r="H204" s="1599"/>
      <c r="I204" s="1599"/>
      <c r="J204" s="1599"/>
      <c r="K204" s="1599"/>
      <c r="L204" s="1599"/>
      <c r="M204" s="1599"/>
      <c r="N204" s="1599"/>
      <c r="O204" s="1599"/>
      <c r="P204" s="1599"/>
      <c r="Q204" s="1599"/>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92"/>
      <c r="B206" s="1596"/>
      <c r="C206" s="1599"/>
      <c r="D206" s="1599"/>
      <c r="E206" s="1599"/>
      <c r="F206" s="1599"/>
      <c r="G206" s="1599"/>
      <c r="H206" s="1599"/>
      <c r="I206" s="1599"/>
      <c r="J206" s="1599"/>
      <c r="K206" s="1599"/>
      <c r="L206" s="1599"/>
      <c r="M206" s="1599"/>
      <c r="N206" s="1599"/>
      <c r="O206" s="1599"/>
      <c r="P206" s="1599"/>
      <c r="Q206" s="1592"/>
    </row>
    <row r="207" spans="1:32" ht="14.1" customHeight="1">
      <c r="A207" s="1593" t="s">
        <v>365</v>
      </c>
      <c r="B207" s="1593" t="s">
        <v>2676</v>
      </c>
      <c r="C207" s="1593"/>
      <c r="D207" s="1599"/>
      <c r="E207" s="151"/>
      <c r="F207" s="151"/>
      <c r="G207" s="1599"/>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5" t="s">
        <v>979</v>
      </c>
      <c r="K208" s="3136"/>
      <c r="L208" s="3136"/>
      <c r="M208" s="3136"/>
      <c r="N208" s="3164"/>
      <c r="O208" s="68" t="s">
        <v>1750</v>
      </c>
      <c r="P208" s="2929"/>
      <c r="Q208" s="561"/>
    </row>
    <row r="209" spans="1:31" ht="11.25" customHeight="1">
      <c r="A209" s="143"/>
      <c r="B209" s="145" t="s">
        <v>3778</v>
      </c>
      <c r="C209" s="107"/>
      <c r="D209" s="107"/>
      <c r="E209" s="107"/>
      <c r="F209" s="107"/>
      <c r="H209" s="68" t="s">
        <v>1751</v>
      </c>
      <c r="I209" s="53" t="s">
        <v>1608</v>
      </c>
      <c r="J209" s="3165" t="s">
        <v>4638</v>
      </c>
      <c r="K209" s="3166"/>
      <c r="L209" s="3166"/>
      <c r="M209" s="3166"/>
      <c r="N209" s="3167"/>
      <c r="O209" s="68" t="s">
        <v>1751</v>
      </c>
      <c r="P209" s="2928" t="s">
        <v>3009</v>
      </c>
      <c r="Q209" s="563"/>
    </row>
    <row r="210" spans="1:31" ht="11.45" customHeight="1">
      <c r="A210" s="3114" t="s">
        <v>4639</v>
      </c>
      <c r="B210" s="3115"/>
      <c r="C210" s="3115"/>
      <c r="D210" s="3115"/>
      <c r="E210" s="3115"/>
      <c r="F210" s="3115"/>
      <c r="G210" s="3115"/>
      <c r="H210" s="3115"/>
      <c r="I210" s="3115"/>
      <c r="J210" s="3115"/>
      <c r="K210" s="3115"/>
      <c r="L210" s="3115"/>
      <c r="M210" s="3115"/>
      <c r="N210" s="3115"/>
      <c r="O210" s="3115"/>
      <c r="P210" s="3115"/>
      <c r="Q210" s="3116"/>
      <c r="U210" s="140"/>
      <c r="V210" s="140"/>
      <c r="W210" s="140"/>
      <c r="X210" s="140"/>
      <c r="Y210" s="140"/>
      <c r="Z210" s="140"/>
      <c r="AA210" s="140"/>
      <c r="AB210" s="140"/>
      <c r="AC210" s="140"/>
      <c r="AD210" s="140"/>
      <c r="AE210" s="486"/>
    </row>
    <row r="211" spans="1:31" ht="11.25" customHeight="1">
      <c r="B211" s="141" t="s">
        <v>1880</v>
      </c>
      <c r="C211" s="142"/>
      <c r="D211" s="1599"/>
      <c r="E211" s="1599"/>
      <c r="F211" s="1599"/>
      <c r="G211" s="1599"/>
      <c r="H211" s="1599"/>
      <c r="I211" s="1599"/>
      <c r="J211" s="1599"/>
      <c r="K211" s="1599"/>
      <c r="L211" s="1599"/>
      <c r="M211" s="1599"/>
      <c r="N211" s="1599"/>
      <c r="O211" s="1599"/>
      <c r="P211" s="1599"/>
      <c r="Q211" s="1599"/>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3499999999999996" customHeight="1">
      <c r="B213" s="1596"/>
      <c r="C213" s="1599"/>
      <c r="D213" s="1599"/>
      <c r="E213" s="1599"/>
      <c r="F213" s="1599"/>
      <c r="G213" s="1599"/>
      <c r="H213" s="1599"/>
      <c r="I213" s="1599"/>
      <c r="J213" s="1599"/>
      <c r="K213" s="1599"/>
      <c r="L213" s="1599"/>
      <c r="M213" s="1599"/>
      <c r="Q213" s="955"/>
    </row>
    <row r="214" spans="1:31" ht="14.1" customHeight="1">
      <c r="A214" s="1593" t="s">
        <v>366</v>
      </c>
      <c r="B214" s="4" t="s">
        <v>2677</v>
      </c>
      <c r="C214" s="4"/>
      <c r="D214" s="89"/>
      <c r="E214" s="89"/>
      <c r="F214" s="89"/>
      <c r="G214" s="1599"/>
      <c r="H214" s="1599"/>
      <c r="I214" s="1599"/>
      <c r="J214" s="1599"/>
      <c r="K214" s="1599"/>
      <c r="L214" s="1599"/>
      <c r="M214" s="1599"/>
      <c r="O214" s="136" t="s">
        <v>1881</v>
      </c>
      <c r="P214" s="1897"/>
      <c r="Q214" s="1904"/>
    </row>
    <row r="215" spans="1:31" ht="4.3499999999999996"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3012</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35" t="s">
        <v>4640</v>
      </c>
      <c r="K218" s="3136"/>
      <c r="L218" s="3136"/>
      <c r="M218" s="3136"/>
      <c r="N218" s="3164"/>
      <c r="O218" s="68" t="s">
        <v>1458</v>
      </c>
      <c r="P218" s="2935" t="s">
        <v>3009</v>
      </c>
      <c r="Q218" s="562"/>
    </row>
    <row r="219" spans="1:31" ht="11.45" customHeight="1">
      <c r="A219" s="155"/>
      <c r="B219" s="1892"/>
      <c r="C219" s="1892"/>
      <c r="D219" s="1892"/>
      <c r="E219" s="1892"/>
      <c r="F219" s="1892"/>
      <c r="G219" s="1892"/>
      <c r="H219" s="68" t="s">
        <v>1751</v>
      </c>
      <c r="I219" s="53" t="s">
        <v>117</v>
      </c>
      <c r="J219" s="3165" t="s">
        <v>4640</v>
      </c>
      <c r="K219" s="3166"/>
      <c r="L219" s="3166"/>
      <c r="M219" s="3166"/>
      <c r="N219" s="3167"/>
      <c r="O219" s="68" t="s">
        <v>1751</v>
      </c>
      <c r="P219" s="2935" t="s">
        <v>3009</v>
      </c>
      <c r="Q219" s="562"/>
    </row>
    <row r="220" spans="1:31" ht="12" customHeight="1">
      <c r="A220" s="48" t="s">
        <v>757</v>
      </c>
      <c r="B220" s="53" t="s">
        <v>3933</v>
      </c>
      <c r="D220" s="53"/>
      <c r="E220" s="53"/>
      <c r="F220" s="53"/>
      <c r="G220" s="53"/>
      <c r="H220" s="53"/>
      <c r="I220" s="53"/>
      <c r="J220" s="53"/>
      <c r="K220" s="43"/>
      <c r="L220" s="53"/>
      <c r="M220" s="53"/>
      <c r="O220" s="484" t="s">
        <v>757</v>
      </c>
      <c r="P220" s="2935" t="s">
        <v>3012</v>
      </c>
      <c r="Q220" s="562"/>
    </row>
    <row r="221" spans="1:31" ht="12" customHeight="1">
      <c r="A221" s="48" t="s">
        <v>2131</v>
      </c>
      <c r="B221" s="53" t="s">
        <v>3934</v>
      </c>
      <c r="D221" s="53"/>
      <c r="E221" s="53"/>
      <c r="F221" s="53"/>
      <c r="G221" s="53"/>
      <c r="H221" s="53"/>
      <c r="I221" s="53"/>
      <c r="J221" s="53"/>
      <c r="K221" s="43"/>
      <c r="L221" s="53"/>
      <c r="M221" s="53"/>
      <c r="O221" s="484" t="s">
        <v>2131</v>
      </c>
      <c r="P221" s="2928" t="s">
        <v>3012</v>
      </c>
      <c r="Q221" s="563"/>
    </row>
    <row r="222" spans="1:31" ht="11.25" customHeight="1">
      <c r="B222" s="145" t="s">
        <v>3778</v>
      </c>
      <c r="D222" s="145"/>
      <c r="E222" s="145"/>
      <c r="F222" s="145"/>
      <c r="G222" s="145"/>
      <c r="H222" s="41"/>
      <c r="I222" s="1596"/>
      <c r="J222" s="1596"/>
      <c r="K222" s="1596"/>
      <c r="L222" s="1592"/>
      <c r="M222" s="1592"/>
      <c r="N222" s="1592"/>
      <c r="O222" s="1592"/>
      <c r="P222" s="1592"/>
      <c r="Q222" s="955"/>
    </row>
    <row r="223" spans="1:31" ht="11.45" customHeight="1">
      <c r="A223" s="3114" t="s">
        <v>4641</v>
      </c>
      <c r="B223" s="3115"/>
      <c r="C223" s="3115"/>
      <c r="D223" s="3115"/>
      <c r="E223" s="3115"/>
      <c r="F223" s="3115"/>
      <c r="G223" s="3115"/>
      <c r="H223" s="3115"/>
      <c r="I223" s="3115"/>
      <c r="J223" s="3115"/>
      <c r="K223" s="3115"/>
      <c r="L223" s="3115"/>
      <c r="M223" s="3115"/>
      <c r="N223" s="3115"/>
      <c r="O223" s="3115"/>
      <c r="P223" s="3115"/>
      <c r="Q223" s="3116"/>
      <c r="U223" s="140"/>
      <c r="V223" s="140"/>
      <c r="W223" s="140"/>
      <c r="X223" s="140"/>
      <c r="Y223" s="140"/>
      <c r="Z223" s="140"/>
      <c r="AA223" s="140"/>
      <c r="AB223" s="140"/>
      <c r="AC223" s="140"/>
      <c r="AD223" s="140"/>
      <c r="AE223" s="486"/>
    </row>
    <row r="224" spans="1:31" ht="11.25" customHeight="1">
      <c r="B224" s="141" t="s">
        <v>1880</v>
      </c>
      <c r="C224" s="142"/>
      <c r="D224" s="1599"/>
      <c r="E224" s="1599"/>
      <c r="F224" s="1599"/>
      <c r="G224" s="1599"/>
      <c r="H224" s="1599"/>
      <c r="I224" s="1599"/>
      <c r="J224" s="1599"/>
      <c r="K224" s="1599"/>
      <c r="L224" s="1599"/>
      <c r="M224" s="1599"/>
      <c r="N224" s="1599"/>
      <c r="O224" s="1599"/>
      <c r="P224" s="1599"/>
      <c r="Q224" s="1599"/>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92"/>
      <c r="B226" s="1596"/>
      <c r="C226" s="1599"/>
      <c r="D226" s="1599"/>
      <c r="E226" s="1599"/>
      <c r="F226" s="1599"/>
      <c r="G226" s="1599"/>
      <c r="H226" s="1599"/>
      <c r="I226" s="1599"/>
      <c r="J226" s="1599"/>
      <c r="K226" s="1599"/>
      <c r="L226" s="1599"/>
      <c r="M226" s="1599"/>
      <c r="Q226" s="1592"/>
    </row>
    <row r="227" spans="1:32" ht="14.1" customHeight="1">
      <c r="A227" s="1593" t="s">
        <v>1739</v>
      </c>
      <c r="B227" s="1593" t="s">
        <v>2678</v>
      </c>
      <c r="C227" s="116"/>
      <c r="D227" s="1599"/>
      <c r="E227" s="1599"/>
      <c r="F227" s="1599"/>
      <c r="G227" s="1599"/>
      <c r="H227" s="1599"/>
      <c r="I227" s="1599"/>
      <c r="J227" s="1599"/>
      <c r="K227" s="1599"/>
      <c r="L227" s="1599"/>
      <c r="M227" s="1599"/>
      <c r="O227" s="136" t="s">
        <v>1881</v>
      </c>
      <c r="P227" s="1897"/>
      <c r="Q227" s="1904"/>
    </row>
    <row r="228" spans="1:32" s="28" customFormat="1" ht="11.45" customHeight="1">
      <c r="B228" s="149" t="s">
        <v>1203</v>
      </c>
      <c r="N228" s="124"/>
      <c r="P228" s="3001" t="s">
        <v>3012</v>
      </c>
      <c r="Q228" s="559"/>
      <c r="AE228" s="120"/>
      <c r="AF228" s="120"/>
    </row>
    <row r="229" spans="1:32" ht="12" customHeight="1">
      <c r="A229" s="48" t="s">
        <v>1999</v>
      </c>
      <c r="B229" s="37" t="s">
        <v>3729</v>
      </c>
      <c r="D229" s="43"/>
      <c r="E229" s="43"/>
      <c r="F229" s="43"/>
      <c r="G229" s="43"/>
      <c r="H229" s="43"/>
      <c r="I229" s="43"/>
      <c r="J229" s="43"/>
      <c r="K229" s="43"/>
      <c r="L229" s="43"/>
      <c r="M229" s="43"/>
      <c r="O229" s="484" t="s">
        <v>1999</v>
      </c>
      <c r="P229" s="3001" t="s">
        <v>4627</v>
      </c>
      <c r="Q229" s="561"/>
    </row>
    <row r="230" spans="1:32" ht="11.45" customHeight="1">
      <c r="A230" s="48"/>
      <c r="B230" s="68" t="s">
        <v>1750</v>
      </c>
      <c r="C230" s="53" t="s">
        <v>1946</v>
      </c>
      <c r="E230" s="53"/>
      <c r="F230" s="53"/>
      <c r="G230" s="53"/>
      <c r="H230" s="53"/>
      <c r="I230" s="43"/>
      <c r="J230" s="68" t="s">
        <v>1498</v>
      </c>
      <c r="K230" s="3135" t="s">
        <v>537</v>
      </c>
      <c r="L230" s="3164"/>
      <c r="Q230" s="562"/>
    </row>
    <row r="231" spans="1:32" ht="11.45" customHeight="1">
      <c r="A231" s="48"/>
      <c r="B231" s="68" t="s">
        <v>1751</v>
      </c>
      <c r="C231" s="956" t="s">
        <v>2741</v>
      </c>
      <c r="E231" s="956"/>
      <c r="F231" s="956"/>
      <c r="G231" s="956"/>
      <c r="H231" s="956"/>
      <c r="I231" s="43"/>
      <c r="J231" s="68" t="s">
        <v>1499</v>
      </c>
      <c r="K231" s="3168" t="s">
        <v>4642</v>
      </c>
      <c r="L231" s="3169"/>
      <c r="M231" s="3170"/>
      <c r="N231" s="3171"/>
      <c r="O231" s="3171"/>
      <c r="P231" s="3172"/>
      <c r="Q231" s="562"/>
    </row>
    <row r="232" spans="1:32" ht="11.45" customHeight="1">
      <c r="A232" s="48"/>
      <c r="B232" s="68" t="s">
        <v>1752</v>
      </c>
      <c r="C232" s="956" t="s">
        <v>563</v>
      </c>
      <c r="E232" s="956"/>
      <c r="F232" s="956"/>
      <c r="G232" s="956"/>
      <c r="H232" s="956"/>
      <c r="I232" s="43"/>
      <c r="J232" s="68" t="s">
        <v>1500</v>
      </c>
      <c r="K232" s="3165" t="s">
        <v>4643</v>
      </c>
      <c r="L232" s="3166"/>
      <c r="M232" s="3167"/>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1" t="s">
        <v>4627</v>
      </c>
      <c r="Q233" s="559"/>
    </row>
    <row r="234" spans="1:32" ht="11.1" customHeight="1">
      <c r="A234" s="48"/>
      <c r="B234" s="53" t="s">
        <v>3605</v>
      </c>
      <c r="D234" s="53"/>
      <c r="E234" s="53"/>
      <c r="F234" s="53"/>
      <c r="G234" s="53"/>
      <c r="H234" s="53"/>
      <c r="I234" s="53"/>
      <c r="J234" s="53"/>
      <c r="K234" s="43"/>
      <c r="L234" s="43"/>
      <c r="M234" s="43"/>
      <c r="N234" s="43"/>
      <c r="O234" s="43"/>
      <c r="P234" s="1941" t="s">
        <v>2</v>
      </c>
      <c r="Q234" s="1941"/>
    </row>
    <row r="235" spans="1:32" ht="11.1" customHeight="1">
      <c r="A235" s="48"/>
      <c r="C235" s="53" t="s">
        <v>2742</v>
      </c>
      <c r="D235" s="53"/>
      <c r="E235" s="53"/>
      <c r="F235" s="53"/>
      <c r="H235" s="302" t="s">
        <v>781</v>
      </c>
      <c r="I235" s="303" t="s">
        <v>782</v>
      </c>
      <c r="K235" s="53" t="s">
        <v>2742</v>
      </c>
      <c r="M235" s="43"/>
      <c r="N235" s="43"/>
      <c r="O235" s="302"/>
      <c r="P235" s="304" t="s">
        <v>781</v>
      </c>
      <c r="Q235" s="303" t="s">
        <v>782</v>
      </c>
    </row>
    <row r="236" spans="1:32" s="44" customFormat="1" ht="11.45" customHeight="1">
      <c r="A236" s="52"/>
      <c r="B236" s="68" t="s">
        <v>1750</v>
      </c>
      <c r="C236" s="3173" t="s">
        <v>4644</v>
      </c>
      <c r="D236" s="3174"/>
      <c r="E236" s="3174"/>
      <c r="F236" s="3174"/>
      <c r="G236" s="3175"/>
      <c r="H236" s="568"/>
      <c r="I236" s="569"/>
      <c r="J236" s="68" t="s">
        <v>1752</v>
      </c>
      <c r="K236" s="3173" t="s">
        <v>4229</v>
      </c>
      <c r="L236" s="3174"/>
      <c r="M236" s="3174"/>
      <c r="N236" s="3174"/>
      <c r="O236" s="3175"/>
      <c r="P236" s="561"/>
      <c r="Q236" s="569"/>
      <c r="AE236" s="55"/>
      <c r="AF236" s="55"/>
    </row>
    <row r="237" spans="1:32" s="44" customFormat="1" ht="11.45" customHeight="1">
      <c r="A237" s="52"/>
      <c r="B237" s="68" t="s">
        <v>1751</v>
      </c>
      <c r="C237" s="3176" t="s">
        <v>4645</v>
      </c>
      <c r="D237" s="3177"/>
      <c r="E237" s="3177"/>
      <c r="F237" s="3177"/>
      <c r="G237" s="3178"/>
      <c r="H237" s="570"/>
      <c r="I237" s="571"/>
      <c r="J237" s="68" t="s">
        <v>2381</v>
      </c>
      <c r="K237" s="3176"/>
      <c r="L237" s="3177"/>
      <c r="M237" s="3177"/>
      <c r="N237" s="3177"/>
      <c r="O237" s="3178"/>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4627</v>
      </c>
      <c r="Q238" s="561"/>
    </row>
    <row r="239" spans="1:32" ht="11.45" customHeight="1">
      <c r="A239" s="48"/>
      <c r="B239" s="68" t="s">
        <v>1750</v>
      </c>
      <c r="C239" s="53" t="s">
        <v>3486</v>
      </c>
      <c r="E239" s="53"/>
      <c r="F239" s="53"/>
      <c r="L239" s="34"/>
      <c r="M239" s="34"/>
      <c r="O239" s="68" t="s">
        <v>1750</v>
      </c>
      <c r="P239" s="2935" t="s">
        <v>3009</v>
      </c>
      <c r="Q239" s="562"/>
    </row>
    <row r="240" spans="1:32" ht="11.45" customHeight="1">
      <c r="B240" s="68" t="s">
        <v>1751</v>
      </c>
      <c r="C240" s="956" t="s">
        <v>2825</v>
      </c>
      <c r="E240" s="956"/>
      <c r="F240" s="956"/>
      <c r="L240" s="34"/>
      <c r="M240" s="34"/>
      <c r="O240" s="68" t="s">
        <v>1751</v>
      </c>
      <c r="P240" s="2935" t="s">
        <v>3009</v>
      </c>
      <c r="Q240" s="562"/>
    </row>
    <row r="241" spans="1:31" ht="11.45" customHeight="1">
      <c r="B241" s="68" t="s">
        <v>1752</v>
      </c>
      <c r="C241" s="956" t="s">
        <v>2826</v>
      </c>
      <c r="E241" s="956"/>
      <c r="F241" s="956"/>
      <c r="G241" s="956"/>
      <c r="H241" s="956"/>
      <c r="I241" s="43"/>
      <c r="J241" s="34"/>
      <c r="K241" s="43"/>
      <c r="L241" s="34"/>
      <c r="M241" s="34"/>
      <c r="O241" s="68" t="s">
        <v>1752</v>
      </c>
      <c r="P241" s="2935" t="s">
        <v>3009</v>
      </c>
      <c r="Q241" s="562"/>
    </row>
    <row r="242" spans="1:31" ht="11.45" customHeight="1">
      <c r="A242" s="48"/>
      <c r="B242" s="68" t="s">
        <v>2381</v>
      </c>
      <c r="C242" s="956" t="s">
        <v>2827</v>
      </c>
      <c r="E242" s="956"/>
      <c r="F242" s="956"/>
      <c r="G242" s="956"/>
      <c r="H242" s="956"/>
      <c r="I242" s="43"/>
      <c r="J242" s="34"/>
      <c r="K242" s="43"/>
      <c r="L242" s="34"/>
      <c r="M242" s="34"/>
      <c r="O242" s="68" t="s">
        <v>2381</v>
      </c>
      <c r="P242" s="2935" t="s">
        <v>3009</v>
      </c>
      <c r="Q242" s="562"/>
    </row>
    <row r="243" spans="1:31" ht="11.45" customHeight="1">
      <c r="A243" s="48"/>
      <c r="B243" s="68" t="s">
        <v>1561</v>
      </c>
      <c r="C243" s="956" t="s">
        <v>2828</v>
      </c>
      <c r="E243" s="956"/>
      <c r="F243" s="956"/>
      <c r="G243" s="956"/>
      <c r="H243" s="956"/>
      <c r="I243" s="43"/>
      <c r="J243" s="34"/>
      <c r="K243" s="43"/>
      <c r="L243" s="34"/>
      <c r="M243" s="34"/>
      <c r="O243" s="68" t="s">
        <v>1561</v>
      </c>
      <c r="P243" s="2935" t="s">
        <v>3009</v>
      </c>
      <c r="Q243" s="562"/>
    </row>
    <row r="244" spans="1:31" ht="11.45" customHeight="1">
      <c r="A244" s="48"/>
      <c r="B244" s="484" t="s">
        <v>1562</v>
      </c>
      <c r="C244" s="53" t="s">
        <v>783</v>
      </c>
      <c r="E244" s="53"/>
      <c r="F244" s="53"/>
      <c r="G244" s="53"/>
      <c r="H244" s="53"/>
      <c r="I244" s="43"/>
      <c r="J244" s="34"/>
      <c r="K244" s="43"/>
      <c r="L244" s="34"/>
      <c r="M244" s="34"/>
      <c r="O244" s="484" t="s">
        <v>2816</v>
      </c>
      <c r="P244" s="2935" t="s">
        <v>3009</v>
      </c>
      <c r="Q244" s="562"/>
    </row>
    <row r="245" spans="1:31" ht="11.45" customHeight="1">
      <c r="A245" s="48"/>
      <c r="B245" s="68"/>
      <c r="C245" s="53" t="s">
        <v>1501</v>
      </c>
      <c r="E245" s="53"/>
      <c r="F245" s="53"/>
      <c r="G245" s="53"/>
      <c r="H245" s="53"/>
      <c r="I245" s="43"/>
      <c r="J245" s="34"/>
      <c r="K245" s="43"/>
      <c r="L245" s="34"/>
      <c r="M245" s="34"/>
      <c r="O245" s="484" t="s">
        <v>2817</v>
      </c>
      <c r="P245" s="2928" t="s">
        <v>3012</v>
      </c>
      <c r="Q245" s="563"/>
    </row>
    <row r="246" spans="1:31" ht="12" customHeight="1">
      <c r="A246" s="48" t="s">
        <v>2131</v>
      </c>
      <c r="B246" s="53" t="s">
        <v>3686</v>
      </c>
      <c r="C246" s="53"/>
      <c r="E246" s="53"/>
      <c r="F246" s="53"/>
      <c r="G246" s="53"/>
      <c r="H246" s="53"/>
      <c r="I246" s="53"/>
      <c r="J246" s="53"/>
      <c r="K246" s="43"/>
      <c r="L246" s="53"/>
      <c r="M246" s="53"/>
      <c r="O246" s="484" t="s">
        <v>2131</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c r="Q247" s="562"/>
    </row>
    <row r="248" spans="1:31" ht="11.45" customHeight="1">
      <c r="B248" s="68" t="s">
        <v>1751</v>
      </c>
      <c r="C248" s="37" t="s">
        <v>3935</v>
      </c>
      <c r="E248" s="43"/>
      <c r="F248" s="43"/>
      <c r="G248" s="956"/>
      <c r="H248" s="956"/>
      <c r="I248" s="43"/>
      <c r="J248" s="956"/>
      <c r="K248" s="43"/>
      <c r="L248" s="956"/>
      <c r="M248" s="956"/>
      <c r="O248" s="68" t="s">
        <v>1751</v>
      </c>
      <c r="P248" s="2928"/>
      <c r="Q248" s="563"/>
    </row>
    <row r="249" spans="1:31" ht="11.25" customHeight="1">
      <c r="B249" s="145" t="s">
        <v>3778</v>
      </c>
      <c r="D249" s="145"/>
      <c r="E249" s="145"/>
      <c r="F249" s="145"/>
      <c r="G249" s="145"/>
      <c r="H249" s="41"/>
      <c r="I249" s="1596"/>
      <c r="J249" s="1596"/>
      <c r="K249" s="1596"/>
      <c r="L249" s="1592"/>
      <c r="M249" s="1592"/>
      <c r="N249" s="1592"/>
      <c r="O249" s="1592"/>
      <c r="P249" s="1592"/>
      <c r="Q249" s="955"/>
    </row>
    <row r="250" spans="1:31" ht="11.45" customHeight="1">
      <c r="A250" s="3114" t="s">
        <v>4646</v>
      </c>
      <c r="B250" s="3115"/>
      <c r="C250" s="3115"/>
      <c r="D250" s="3115"/>
      <c r="E250" s="3115"/>
      <c r="F250" s="3115"/>
      <c r="G250" s="3115"/>
      <c r="H250" s="3115"/>
      <c r="I250" s="3115"/>
      <c r="J250" s="3115"/>
      <c r="K250" s="3115"/>
      <c r="L250" s="3115"/>
      <c r="M250" s="3115"/>
      <c r="N250" s="3115"/>
      <c r="O250" s="3115"/>
      <c r="P250" s="3115"/>
      <c r="Q250" s="3116"/>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9"/>
      <c r="E251" s="1599"/>
      <c r="F251" s="1599"/>
      <c r="G251" s="1599"/>
      <c r="H251" s="1599"/>
      <c r="I251" s="1599"/>
      <c r="J251" s="1599"/>
      <c r="K251" s="1599"/>
      <c r="L251" s="1599"/>
      <c r="M251" s="1599"/>
      <c r="N251" s="1599"/>
      <c r="O251" s="1599"/>
      <c r="P251" s="1599"/>
      <c r="Q251" s="1599"/>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92"/>
      <c r="B253" s="1596"/>
      <c r="C253" s="1599"/>
      <c r="D253" s="1599"/>
      <c r="E253" s="1599"/>
      <c r="F253" s="1599"/>
      <c r="G253" s="1599"/>
      <c r="H253" s="1599"/>
      <c r="I253" s="1599"/>
      <c r="J253" s="1599"/>
      <c r="K253" s="1599"/>
      <c r="L253" s="1599"/>
      <c r="M253" s="1599"/>
      <c r="Q253" s="1592"/>
    </row>
    <row r="254" spans="1:31" ht="14.1" customHeight="1">
      <c r="A254" s="1593" t="s">
        <v>2799</v>
      </c>
      <c r="B254" s="4" t="s">
        <v>2679</v>
      </c>
      <c r="C254" s="4"/>
      <c r="D254" s="89"/>
      <c r="E254" s="89"/>
      <c r="F254" s="89"/>
      <c r="G254" s="89"/>
      <c r="H254" s="1599"/>
      <c r="I254" s="1599"/>
      <c r="J254" s="1599"/>
      <c r="K254" s="1599"/>
      <c r="L254" s="1939"/>
      <c r="M254" s="1940"/>
      <c r="O254" s="136" t="s">
        <v>1881</v>
      </c>
      <c r="P254" s="1897"/>
      <c r="Q254" s="1904"/>
    </row>
    <row r="255" spans="1:31" ht="5.0999999999999996" customHeight="1">
      <c r="L255" s="1939"/>
      <c r="M255" s="1940"/>
      <c r="N255" s="56"/>
    </row>
    <row r="256" spans="1:31" ht="11.45" customHeight="1">
      <c r="A256" s="48" t="s">
        <v>1999</v>
      </c>
      <c r="B256" s="53" t="s">
        <v>1280</v>
      </c>
      <c r="D256" s="43"/>
      <c r="E256" s="53"/>
      <c r="F256" s="53"/>
      <c r="J256" s="484" t="s">
        <v>1999</v>
      </c>
      <c r="K256" s="3132" t="s">
        <v>1784</v>
      </c>
      <c r="L256" s="3133"/>
      <c r="M256" s="3133"/>
      <c r="N256" s="3133"/>
      <c r="O256" s="3134"/>
      <c r="P256" s="1933" t="s">
        <v>1784</v>
      </c>
      <c r="Q256" s="1934"/>
    </row>
    <row r="257" spans="1:32" ht="11.45" customHeight="1">
      <c r="A257" s="48" t="s">
        <v>2001</v>
      </c>
      <c r="B257" s="53" t="s">
        <v>2829</v>
      </c>
      <c r="D257" s="53"/>
      <c r="E257" s="53"/>
      <c r="F257" s="53"/>
      <c r="J257" s="484" t="s">
        <v>2001</v>
      </c>
      <c r="K257" s="3179"/>
      <c r="L257" s="3180"/>
      <c r="M257" s="3180"/>
      <c r="N257" s="3180"/>
      <c r="O257" s="3181"/>
      <c r="P257" s="1935"/>
      <c r="Q257" s="1936"/>
    </row>
    <row r="258" spans="1:32" s="152" customFormat="1" ht="11.45" customHeight="1">
      <c r="A258" s="48"/>
      <c r="B258" s="53" t="s">
        <v>1960</v>
      </c>
      <c r="D258" s="53"/>
      <c r="E258" s="53"/>
      <c r="F258" s="53"/>
      <c r="K258" s="3165"/>
      <c r="L258" s="3166"/>
      <c r="M258" s="3166"/>
      <c r="N258" s="3166"/>
      <c r="O258" s="3167"/>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3785</v>
      </c>
      <c r="D260" s="53"/>
      <c r="E260" s="53"/>
      <c r="F260" s="53"/>
      <c r="M260" s="37"/>
      <c r="N260" s="1091"/>
      <c r="O260" s="484" t="s">
        <v>757</v>
      </c>
      <c r="P260" s="2929"/>
      <c r="Q260" s="561"/>
      <c r="AE260" s="488"/>
      <c r="AF260" s="488"/>
    </row>
    <row r="261" spans="1:32" s="152" customFormat="1" ht="11.45" customHeight="1">
      <c r="A261" s="48"/>
      <c r="B261" s="53" t="s">
        <v>3784</v>
      </c>
      <c r="D261" s="53"/>
      <c r="E261" s="53"/>
      <c r="F261" s="53"/>
      <c r="K261" s="3132"/>
      <c r="L261" s="3133"/>
      <c r="M261" s="3133"/>
      <c r="N261" s="3133"/>
      <c r="O261" s="3134"/>
      <c r="P261" s="1931"/>
      <c r="Q261" s="1932"/>
      <c r="AE261" s="488"/>
      <c r="AF261" s="488"/>
    </row>
    <row r="262" spans="1:32" s="152" customFormat="1" ht="11.45" customHeight="1">
      <c r="A262" s="48" t="s">
        <v>2131</v>
      </c>
      <c r="B262" s="53" t="s">
        <v>3936</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892" t="s">
        <v>3786</v>
      </c>
      <c r="C263" s="1892"/>
      <c r="D263" s="1892"/>
      <c r="E263" s="1892"/>
      <c r="F263" s="1892"/>
      <c r="G263" s="1892"/>
      <c r="H263" s="446" t="s">
        <v>4163</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4164</v>
      </c>
      <c r="K264" s="97"/>
      <c r="M264" s="37"/>
      <c r="N264" s="1091"/>
      <c r="O264" s="68" t="s">
        <v>1751</v>
      </c>
      <c r="P264" s="2935"/>
      <c r="Q264" s="562"/>
      <c r="AE264" s="488"/>
      <c r="AF264" s="488"/>
    </row>
    <row r="265" spans="1:32" s="152" customFormat="1" ht="11.45" customHeight="1">
      <c r="A265" s="48"/>
      <c r="B265" s="53"/>
      <c r="D265" s="53"/>
      <c r="E265" s="53"/>
      <c r="F265" s="53"/>
      <c r="G265" s="53"/>
      <c r="H265" s="56" t="s">
        <v>4165</v>
      </c>
      <c r="K265" s="97"/>
      <c r="M265" s="37"/>
      <c r="N265" s="1091"/>
      <c r="O265" s="68" t="s">
        <v>1752</v>
      </c>
      <c r="P265" s="2935"/>
      <c r="Q265" s="562"/>
      <c r="AE265" s="488"/>
      <c r="AF265" s="488"/>
    </row>
    <row r="266" spans="1:32" s="152" customFormat="1" ht="11.45" customHeight="1">
      <c r="A266" s="48"/>
      <c r="B266" s="53"/>
      <c r="D266" s="53"/>
      <c r="E266" s="53"/>
      <c r="F266" s="53"/>
      <c r="G266" s="53"/>
      <c r="H266" s="56" t="s">
        <v>4166</v>
      </c>
      <c r="K266" s="97"/>
      <c r="M266" s="37"/>
      <c r="N266" s="1091"/>
      <c r="O266" s="484" t="s">
        <v>2381</v>
      </c>
      <c r="P266" s="2928"/>
      <c r="Q266" s="563"/>
      <c r="AE266" s="488"/>
      <c r="AF266" s="488"/>
    </row>
    <row r="267" spans="1:32" s="152" customFormat="1" ht="22.35" customHeight="1">
      <c r="A267" s="146" t="s">
        <v>1748</v>
      </c>
      <c r="B267" s="1892" t="s">
        <v>3937</v>
      </c>
      <c r="C267" s="1892"/>
      <c r="D267" s="1892"/>
      <c r="E267" s="1892"/>
      <c r="F267" s="1892"/>
      <c r="G267" s="1892"/>
      <c r="H267" s="1892"/>
      <c r="I267" s="1892"/>
      <c r="J267" s="1892"/>
      <c r="K267" s="1892"/>
      <c r="L267" s="1892"/>
      <c r="M267" s="1892"/>
      <c r="N267" s="1892"/>
      <c r="O267" s="166" t="s">
        <v>1748</v>
      </c>
      <c r="P267" s="3182"/>
      <c r="Q267" s="1346"/>
      <c r="T267" s="488"/>
      <c r="AE267" s="488"/>
      <c r="AF267" s="488"/>
    </row>
    <row r="268" spans="1:32" ht="11.25" customHeight="1">
      <c r="B268" s="145" t="s">
        <v>3778</v>
      </c>
      <c r="D268" s="145"/>
      <c r="E268" s="145"/>
      <c r="F268" s="145"/>
      <c r="G268" s="145"/>
      <c r="H268" s="41"/>
      <c r="I268" s="1596"/>
      <c r="J268" s="1596"/>
      <c r="K268" s="1596"/>
      <c r="L268" s="1592"/>
      <c r="M268" s="1592"/>
      <c r="N268" s="1592"/>
      <c r="O268" s="1592"/>
      <c r="P268" s="1592"/>
      <c r="Q268" s="955"/>
    </row>
    <row r="269" spans="1:32" ht="13.35" customHeight="1">
      <c r="A269" s="3114" t="s">
        <v>4759</v>
      </c>
      <c r="B269" s="3115"/>
      <c r="C269" s="3115"/>
      <c r="D269" s="3115"/>
      <c r="E269" s="3115"/>
      <c r="F269" s="3115"/>
      <c r="G269" s="3115"/>
      <c r="H269" s="3115"/>
      <c r="I269" s="3115"/>
      <c r="J269" s="3115"/>
      <c r="K269" s="3115"/>
      <c r="L269" s="3115"/>
      <c r="M269" s="3115"/>
      <c r="N269" s="3115"/>
      <c r="O269" s="3115"/>
      <c r="P269" s="3115"/>
      <c r="Q269" s="3116"/>
      <c r="R269" s="461" t="s">
        <v>1266</v>
      </c>
      <c r="S269" s="462"/>
      <c r="U269" s="140"/>
      <c r="V269" s="140"/>
      <c r="W269" s="140"/>
      <c r="X269" s="140"/>
      <c r="Y269" s="140"/>
      <c r="Z269" s="140"/>
      <c r="AA269" s="140"/>
      <c r="AB269" s="140"/>
      <c r="AC269" s="140"/>
      <c r="AD269" s="140"/>
      <c r="AE269" s="486"/>
    </row>
    <row r="270" spans="1:32" ht="11.1" customHeight="1">
      <c r="B270" s="141" t="s">
        <v>1880</v>
      </c>
      <c r="C270" s="142"/>
      <c r="D270" s="1599"/>
      <c r="E270" s="1599"/>
      <c r="F270" s="1599"/>
      <c r="G270" s="1599"/>
      <c r="H270" s="1599"/>
      <c r="I270" s="1599"/>
      <c r="J270" s="1599"/>
      <c r="K270" s="1599"/>
      <c r="L270" s="1599"/>
      <c r="M270" s="1599"/>
      <c r="N270" s="1599"/>
      <c r="O270" s="1599"/>
      <c r="P270" s="1599"/>
      <c r="Q270" s="1599"/>
    </row>
    <row r="271" spans="1:32" ht="13.3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92"/>
      <c r="B272" s="1596"/>
      <c r="C272" s="1599"/>
      <c r="D272" s="1599"/>
      <c r="E272" s="1599"/>
      <c r="F272" s="1599"/>
      <c r="G272" s="1599"/>
      <c r="H272" s="1599"/>
      <c r="I272" s="1599"/>
      <c r="J272" s="1599"/>
      <c r="K272" s="1599"/>
      <c r="L272" s="1599"/>
      <c r="M272" s="1599"/>
      <c r="Q272" s="1592"/>
    </row>
    <row r="273" spans="1:32" ht="14.1" customHeight="1">
      <c r="A273" s="1593" t="s">
        <v>2267</v>
      </c>
      <c r="B273" s="4" t="s">
        <v>2680</v>
      </c>
      <c r="C273" s="4"/>
      <c r="D273" s="89"/>
      <c r="E273" s="89"/>
      <c r="F273" s="89"/>
      <c r="G273" s="89"/>
      <c r="H273" s="1599"/>
      <c r="I273" s="1599"/>
      <c r="J273" s="1599"/>
      <c r="K273" s="1599"/>
      <c r="L273" s="1599"/>
      <c r="M273" s="1599"/>
      <c r="O273" s="136" t="s">
        <v>1881</v>
      </c>
      <c r="P273" s="1897"/>
      <c r="Q273" s="1904"/>
    </row>
    <row r="274" spans="1:32" ht="3" customHeight="1"/>
    <row r="275" spans="1:32" s="429" customFormat="1" ht="21.75" customHeight="1">
      <c r="A275" s="146" t="s">
        <v>1999</v>
      </c>
      <c r="B275" s="1892" t="s">
        <v>3938</v>
      </c>
      <c r="C275" s="1892"/>
      <c r="D275" s="1892"/>
      <c r="E275" s="1892"/>
      <c r="F275" s="1892"/>
      <c r="G275" s="1892"/>
      <c r="H275" s="1892"/>
      <c r="I275" s="1892"/>
      <c r="J275" s="1892"/>
      <c r="K275" s="1892"/>
      <c r="L275" s="1892"/>
      <c r="M275" s="1892"/>
      <c r="N275" s="1892"/>
      <c r="O275" s="166" t="s">
        <v>1999</v>
      </c>
      <c r="P275" s="3072" t="s">
        <v>3009</v>
      </c>
      <c r="Q275" s="1261"/>
      <c r="AE275" s="489"/>
      <c r="AF275" s="489"/>
    </row>
    <row r="276" spans="1:32" s="152" customFormat="1" ht="11.45" customHeight="1">
      <c r="A276" s="48"/>
      <c r="B276" s="53" t="s">
        <v>3781</v>
      </c>
      <c r="D276" s="53"/>
      <c r="E276" s="53"/>
      <c r="F276" s="53"/>
      <c r="G276" s="53"/>
      <c r="H276" s="53"/>
      <c r="I276" s="53"/>
      <c r="J276" s="53"/>
      <c r="K276" s="53"/>
      <c r="L276" s="53"/>
      <c r="M276" s="53"/>
      <c r="O276" s="484"/>
      <c r="P276" s="2928" t="s">
        <v>3009</v>
      </c>
      <c r="Q276" s="563"/>
      <c r="AE276" s="488"/>
      <c r="AF276" s="488"/>
    </row>
    <row r="277" spans="1:32" s="152" customFormat="1" ht="11.45" customHeight="1">
      <c r="A277" s="48" t="s">
        <v>2001</v>
      </c>
      <c r="B277" s="53" t="s">
        <v>3782</v>
      </c>
      <c r="D277" s="53"/>
      <c r="E277" s="53"/>
      <c r="F277" s="53"/>
      <c r="G277" s="53"/>
      <c r="H277" s="53"/>
      <c r="I277" s="53"/>
      <c r="J277" s="53"/>
      <c r="K277" s="53"/>
      <c r="L277" s="53"/>
      <c r="M277" s="53"/>
      <c r="O277" s="484" t="s">
        <v>2001</v>
      </c>
      <c r="P277" s="2928" t="s">
        <v>3009</v>
      </c>
      <c r="Q277" s="563"/>
      <c r="AE277" s="488"/>
      <c r="AF277" s="488"/>
    </row>
    <row r="278" spans="1:32" s="152" customFormat="1" ht="11.45" customHeight="1">
      <c r="A278" s="48" t="s">
        <v>757</v>
      </c>
      <c r="B278" s="53" t="s">
        <v>4167</v>
      </c>
      <c r="D278" s="53"/>
      <c r="E278" s="53"/>
      <c r="F278" s="53"/>
      <c r="G278" s="53"/>
      <c r="H278" s="53"/>
      <c r="I278" s="53"/>
      <c r="J278" s="53"/>
      <c r="K278" s="53"/>
      <c r="L278" s="53"/>
      <c r="M278" s="53"/>
      <c r="O278" s="484" t="s">
        <v>757</v>
      </c>
      <c r="P278" s="2929" t="s">
        <v>3009</v>
      </c>
      <c r="Q278" s="561"/>
      <c r="AE278" s="488"/>
      <c r="AF278" s="488"/>
    </row>
    <row r="279" spans="1:32" s="152" customFormat="1" ht="11.45" customHeight="1">
      <c r="A279" s="48"/>
      <c r="B279" s="53" t="s">
        <v>3783</v>
      </c>
      <c r="D279" s="53"/>
      <c r="E279" s="53"/>
      <c r="F279" s="53"/>
      <c r="G279" s="53"/>
      <c r="H279" s="53"/>
      <c r="I279" s="53"/>
      <c r="J279" s="53"/>
      <c r="K279" s="53"/>
      <c r="L279" s="53"/>
      <c r="M279" s="53"/>
      <c r="O279" s="484"/>
      <c r="P279" s="2928" t="s">
        <v>3009</v>
      </c>
      <c r="Q279" s="563"/>
      <c r="AE279" s="488"/>
      <c r="AF279" s="488"/>
    </row>
    <row r="280" spans="1:32" s="152" customFormat="1" ht="11.45" customHeight="1">
      <c r="A280" s="48" t="s">
        <v>2131</v>
      </c>
      <c r="B280" s="53" t="s">
        <v>4168</v>
      </c>
      <c r="D280" s="53"/>
      <c r="E280" s="53"/>
      <c r="F280" s="53"/>
      <c r="G280" s="53"/>
      <c r="H280" s="53"/>
      <c r="I280" s="53"/>
      <c r="J280" s="53"/>
      <c r="K280" s="53"/>
      <c r="L280" s="53"/>
      <c r="M280" s="53"/>
      <c r="O280" s="484" t="s">
        <v>2131</v>
      </c>
      <c r="P280" s="2928" t="s">
        <v>3009</v>
      </c>
      <c r="Q280" s="563"/>
      <c r="AE280" s="488"/>
      <c r="AF280" s="488"/>
    </row>
    <row r="281" spans="1:32" ht="11.25" customHeight="1">
      <c r="B281" s="145" t="s">
        <v>3778</v>
      </c>
      <c r="D281" s="145"/>
      <c r="E281" s="145"/>
      <c r="F281" s="145"/>
      <c r="G281" s="145"/>
      <c r="H281" s="41"/>
      <c r="I281" s="1596"/>
      <c r="J281" s="1596"/>
      <c r="K281" s="1596"/>
      <c r="L281" s="1592"/>
      <c r="M281" s="1592"/>
      <c r="N281" s="1592"/>
      <c r="O281" s="1592"/>
      <c r="P281" s="1592"/>
      <c r="Q281" s="955"/>
    </row>
    <row r="282" spans="1:32" ht="13.35" customHeight="1">
      <c r="A282" s="3114" t="s">
        <v>4647</v>
      </c>
      <c r="B282" s="3115"/>
      <c r="C282" s="3115"/>
      <c r="D282" s="3115"/>
      <c r="E282" s="3115"/>
      <c r="F282" s="3115"/>
      <c r="G282" s="3115"/>
      <c r="H282" s="3115"/>
      <c r="I282" s="3115"/>
      <c r="J282" s="3115"/>
      <c r="K282" s="3115"/>
      <c r="L282" s="3115"/>
      <c r="M282" s="3115"/>
      <c r="N282" s="3115"/>
      <c r="O282" s="3115"/>
      <c r="P282" s="3115"/>
      <c r="Q282" s="3116"/>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9"/>
      <c r="E283" s="1599"/>
      <c r="F283" s="1599"/>
      <c r="G283" s="1599"/>
      <c r="H283" s="1599"/>
      <c r="I283" s="1599"/>
      <c r="J283" s="1599"/>
      <c r="K283" s="1599"/>
      <c r="L283" s="1599"/>
      <c r="M283" s="1599"/>
      <c r="N283" s="1599"/>
      <c r="O283" s="1599"/>
      <c r="P283" s="1599"/>
      <c r="Q283" s="1599"/>
    </row>
    <row r="284" spans="1:32" ht="13.35" customHeight="1">
      <c r="A284" s="1894"/>
      <c r="B284" s="1895"/>
      <c r="C284" s="1895"/>
      <c r="D284" s="1895"/>
      <c r="E284" s="1895"/>
      <c r="F284" s="1895"/>
      <c r="G284" s="1895"/>
      <c r="H284" s="1895"/>
      <c r="I284" s="1895"/>
      <c r="J284" s="1895"/>
      <c r="K284" s="1895"/>
      <c r="L284" s="1895"/>
      <c r="M284" s="1895"/>
      <c r="N284" s="1895"/>
      <c r="O284" s="1895"/>
      <c r="P284" s="1895"/>
      <c r="Q284" s="1896"/>
    </row>
    <row r="285" spans="1:32" ht="14.1" customHeight="1">
      <c r="A285" s="1593" t="s">
        <v>4149</v>
      </c>
      <c r="B285" s="1593" t="s">
        <v>2681</v>
      </c>
      <c r="C285" s="1593"/>
      <c r="D285" s="1599"/>
      <c r="E285" s="1599"/>
      <c r="F285" s="1599"/>
      <c r="G285" s="1599"/>
      <c r="H285" s="1599"/>
      <c r="I285" s="1599"/>
      <c r="J285" s="1599"/>
      <c r="K285" s="1599"/>
      <c r="L285" s="1599"/>
      <c r="M285" s="1599"/>
      <c r="O285" s="136" t="s">
        <v>1881</v>
      </c>
      <c r="P285" s="1897"/>
      <c r="Q285" s="1904"/>
    </row>
    <row r="286" spans="1:32" ht="3" customHeight="1"/>
    <row r="287" spans="1:32" s="429" customFormat="1" ht="21.75" customHeight="1">
      <c r="A287" s="146" t="s">
        <v>1999</v>
      </c>
      <c r="B287" s="1892" t="s">
        <v>2830</v>
      </c>
      <c r="C287" s="1892"/>
      <c r="D287" s="1892"/>
      <c r="E287" s="1892"/>
      <c r="F287" s="1892"/>
      <c r="G287" s="1892"/>
      <c r="H287" s="1892"/>
      <c r="I287" s="1892"/>
      <c r="J287" s="1892"/>
      <c r="K287" s="1892"/>
      <c r="L287" s="1892"/>
      <c r="M287" s="1892"/>
      <c r="N287" s="1892"/>
      <c r="O287" s="166" t="s">
        <v>1999</v>
      </c>
      <c r="P287" s="3072" t="s">
        <v>4627</v>
      </c>
      <c r="Q287" s="1261"/>
      <c r="AE287" s="489"/>
      <c r="AF287" s="489"/>
    </row>
    <row r="288" spans="1:32" s="429" customFormat="1" ht="21.75" customHeight="1">
      <c r="A288" s="146" t="s">
        <v>2001</v>
      </c>
      <c r="B288" s="1892" t="s">
        <v>2831</v>
      </c>
      <c r="C288" s="1892"/>
      <c r="D288" s="1892"/>
      <c r="E288" s="1892"/>
      <c r="F288" s="1892"/>
      <c r="G288" s="1892"/>
      <c r="H288" s="1892"/>
      <c r="I288" s="1892"/>
      <c r="J288" s="1892"/>
      <c r="K288" s="1892"/>
      <c r="L288" s="1892"/>
      <c r="M288" s="1892"/>
      <c r="N288" s="1892"/>
      <c r="O288" s="166" t="s">
        <v>2001</v>
      </c>
      <c r="P288" s="3095" t="s">
        <v>4627</v>
      </c>
      <c r="Q288" s="1282"/>
      <c r="AE288" s="489"/>
      <c r="AF288" s="489"/>
    </row>
    <row r="289" spans="1:33" ht="11.25" customHeight="1">
      <c r="B289" s="145" t="s">
        <v>3778</v>
      </c>
      <c r="D289" s="145"/>
      <c r="E289" s="145"/>
      <c r="F289" s="145"/>
      <c r="G289" s="145"/>
      <c r="H289" s="41"/>
      <c r="I289" s="1596"/>
      <c r="J289" s="1596"/>
      <c r="K289" s="1596"/>
      <c r="L289" s="1592"/>
      <c r="M289" s="1592"/>
      <c r="N289" s="1592"/>
      <c r="O289" s="1592"/>
      <c r="P289" s="1592"/>
      <c r="Q289" s="955"/>
    </row>
    <row r="290" spans="1:33" ht="13.35" customHeight="1">
      <c r="A290" s="3114" t="s">
        <v>4648</v>
      </c>
      <c r="B290" s="3115"/>
      <c r="C290" s="3115"/>
      <c r="D290" s="3115"/>
      <c r="E290" s="3115"/>
      <c r="F290" s="3115"/>
      <c r="G290" s="3115"/>
      <c r="H290" s="3115"/>
      <c r="I290" s="3115"/>
      <c r="J290" s="3115"/>
      <c r="K290" s="3115"/>
      <c r="L290" s="3115"/>
      <c r="M290" s="3115"/>
      <c r="N290" s="3115"/>
      <c r="O290" s="3115"/>
      <c r="P290" s="3115"/>
      <c r="Q290" s="3116"/>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9"/>
      <c r="E291" s="1599"/>
      <c r="F291" s="1599"/>
      <c r="G291" s="1599"/>
      <c r="H291" s="1599"/>
      <c r="I291" s="1599"/>
      <c r="J291" s="1599"/>
      <c r="K291" s="1599"/>
      <c r="L291" s="1599"/>
      <c r="M291" s="1599"/>
      <c r="N291" s="1599"/>
      <c r="O291" s="1599"/>
      <c r="P291" s="1599"/>
      <c r="Q291" s="1599"/>
    </row>
    <row r="292" spans="1:33" ht="13.35" customHeight="1">
      <c r="A292" s="1894"/>
      <c r="B292" s="1895"/>
      <c r="C292" s="1895"/>
      <c r="D292" s="1895"/>
      <c r="E292" s="1895"/>
      <c r="F292" s="1895"/>
      <c r="G292" s="1895"/>
      <c r="H292" s="1895"/>
      <c r="I292" s="1895"/>
      <c r="J292" s="1895"/>
      <c r="K292" s="1895"/>
      <c r="L292" s="1895"/>
      <c r="M292" s="1895"/>
      <c r="N292" s="1895"/>
      <c r="O292" s="1895"/>
      <c r="P292" s="1895"/>
      <c r="Q292" s="1896"/>
    </row>
    <row r="293" spans="1:33" ht="14.1" customHeight="1">
      <c r="A293" s="1593" t="s">
        <v>4150</v>
      </c>
      <c r="B293" s="1593" t="s">
        <v>2682</v>
      </c>
      <c r="C293" s="153"/>
      <c r="D293" s="1605"/>
      <c r="E293" s="1599"/>
      <c r="F293" s="1599"/>
      <c r="G293" s="1599"/>
      <c r="H293" s="1599"/>
      <c r="I293" s="1599"/>
      <c r="J293" s="1599"/>
      <c r="K293" s="1599"/>
      <c r="L293" s="1599"/>
      <c r="M293" s="1599"/>
      <c r="O293" s="136" t="s">
        <v>1881</v>
      </c>
      <c r="P293" s="1897"/>
      <c r="Q293" s="1904"/>
    </row>
    <row r="294" spans="1:33" ht="12.75" customHeight="1">
      <c r="A294" s="15" t="s">
        <v>1999</v>
      </c>
      <c r="B294" s="1593" t="s">
        <v>4169</v>
      </c>
    </row>
    <row r="295" spans="1:33" s="152" customFormat="1" ht="44.25" customHeight="1">
      <c r="A295" s="146"/>
      <c r="B295" s="154" t="s">
        <v>1750</v>
      </c>
      <c r="C295" s="1892" t="s">
        <v>3940</v>
      </c>
      <c r="D295" s="1892"/>
      <c r="E295" s="1892"/>
      <c r="F295" s="1892"/>
      <c r="G295" s="1892"/>
      <c r="H295" s="1892"/>
      <c r="I295" s="1892"/>
      <c r="J295" s="1892"/>
      <c r="K295" s="1892"/>
      <c r="L295" s="1892"/>
      <c r="M295" s="1892"/>
      <c r="N295" s="1892"/>
      <c r="O295" s="166" t="s">
        <v>2743</v>
      </c>
      <c r="P295" s="3072" t="s">
        <v>3009</v>
      </c>
      <c r="Q295" s="1261"/>
      <c r="AE295" s="488"/>
      <c r="AF295" s="488"/>
    </row>
    <row r="296" spans="1:33" s="429" customFormat="1" ht="12" customHeight="1">
      <c r="A296" s="146"/>
      <c r="B296" s="154" t="s">
        <v>1751</v>
      </c>
      <c r="C296" s="1892" t="s">
        <v>3941</v>
      </c>
      <c r="D296" s="1892"/>
      <c r="E296" s="1892"/>
      <c r="F296" s="1892"/>
      <c r="G296" s="1892"/>
      <c r="H296" s="1892"/>
      <c r="I296" s="1892"/>
      <c r="J296" s="1892"/>
      <c r="K296" s="1892"/>
      <c r="L296" s="1892"/>
      <c r="M296" s="1892"/>
      <c r="N296" s="1892"/>
      <c r="O296" s="154" t="s">
        <v>1751</v>
      </c>
      <c r="P296" s="3151" t="s">
        <v>3009</v>
      </c>
      <c r="Q296" s="564"/>
      <c r="AE296" s="489"/>
      <c r="AF296" s="489"/>
    </row>
    <row r="297" spans="1:33" s="429" customFormat="1" ht="21.75" customHeight="1">
      <c r="A297" s="146"/>
      <c r="B297" s="166" t="s">
        <v>1752</v>
      </c>
      <c r="C297" s="1892" t="s">
        <v>3939</v>
      </c>
      <c r="D297" s="1892"/>
      <c r="E297" s="1892"/>
      <c r="F297" s="1892"/>
      <c r="G297" s="1892"/>
      <c r="H297" s="1892"/>
      <c r="I297" s="1892"/>
      <c r="J297" s="1892"/>
      <c r="K297" s="1892"/>
      <c r="L297" s="1892"/>
      <c r="M297" s="1892"/>
      <c r="N297" s="1892"/>
      <c r="O297" s="166" t="s">
        <v>1752</v>
      </c>
      <c r="P297" s="3095"/>
      <c r="Q297" s="1282"/>
      <c r="AE297" s="489"/>
      <c r="AF297" s="489"/>
    </row>
    <row r="298" spans="1:33" s="97" customFormat="1" ht="12.75" customHeight="1">
      <c r="A298" s="15" t="s">
        <v>2001</v>
      </c>
      <c r="B298" s="1593" t="s">
        <v>3905</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3775</v>
      </c>
      <c r="D299" s="1892"/>
      <c r="E299" s="1892"/>
      <c r="F299" s="1892"/>
      <c r="G299" s="1892"/>
      <c r="H299" s="1892"/>
      <c r="I299" s="144"/>
      <c r="J299" s="1901" t="s">
        <v>3821</v>
      </c>
      <c r="K299" s="1902"/>
      <c r="L299" s="1902"/>
      <c r="M299" s="1903" t="s">
        <v>3788</v>
      </c>
      <c r="N299" s="1903"/>
      <c r="AE299" s="490"/>
      <c r="AF299" s="490"/>
    </row>
    <row r="300" spans="1:33" s="305" customFormat="1" ht="10.5" customHeight="1">
      <c r="A300" s="317"/>
      <c r="C300" s="1892"/>
      <c r="D300" s="1892"/>
      <c r="E300" s="1892"/>
      <c r="F300" s="1892"/>
      <c r="G300" s="1892"/>
      <c r="H300" s="1892"/>
      <c r="I300" s="1578"/>
      <c r="J300" s="1902"/>
      <c r="K300" s="1902"/>
      <c r="L300" s="1902"/>
      <c r="M300" s="37" t="s">
        <v>3789</v>
      </c>
      <c r="N300" s="1596" t="s">
        <v>3820</v>
      </c>
      <c r="P300" s="315"/>
    </row>
    <row r="301" spans="1:33" s="305" customFormat="1" ht="13.35" customHeight="1">
      <c r="A301" s="317"/>
      <c r="C301" s="1892"/>
      <c r="D301" s="1892"/>
      <c r="E301" s="1892"/>
      <c r="F301" s="1892"/>
      <c r="G301" s="1892"/>
      <c r="H301" s="1892"/>
      <c r="I301" s="53" t="s">
        <v>4170</v>
      </c>
      <c r="K301" s="3183">
        <v>4</v>
      </c>
      <c r="L301" s="1086" t="str">
        <f>IF(K301&lt;M301,"Check!!!","")</f>
        <v/>
      </c>
      <c r="M301" s="1087">
        <f>ROUNDUP('Part VI-Revenues &amp; Expenses'!$O$62*'Part VIII-Threshold Criteria'!N301,0)</f>
        <v>4</v>
      </c>
      <c r="N301" s="1092">
        <f>'DCA Underwriting Assumptions'!$Q$136</f>
        <v>0.05</v>
      </c>
      <c r="O301" s="484" t="s">
        <v>3662</v>
      </c>
      <c r="P301" s="2999" t="s">
        <v>3009</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7"/>
      <c r="E302" s="1567"/>
      <c r="F302" s="1567"/>
      <c r="G302" s="1567"/>
      <c r="K302" s="1578"/>
      <c r="L302" s="1566"/>
      <c r="M302" s="1577"/>
      <c r="P302" s="315"/>
      <c r="T302" s="1567"/>
      <c r="U302" s="1567"/>
      <c r="V302" s="1567"/>
      <c r="W302" s="1567"/>
      <c r="Y302" s="1578"/>
    </row>
    <row r="303" spans="1:33" s="97" customFormat="1" ht="12.75" customHeight="1">
      <c r="A303" s="146"/>
      <c r="B303" s="154"/>
      <c r="C303" s="1892" t="s">
        <v>3776</v>
      </c>
      <c r="D303" s="1892"/>
      <c r="E303" s="1892"/>
      <c r="F303" s="1892"/>
      <c r="G303" s="1892"/>
      <c r="H303" s="1892"/>
      <c r="I303" s="938" t="s">
        <v>4171</v>
      </c>
      <c r="J303" s="305"/>
      <c r="K303" s="3183">
        <v>2</v>
      </c>
      <c r="L303" s="1086" t="str">
        <f>IF(K303&lt;M303,"Check!!!","")</f>
        <v/>
      </c>
      <c r="M303" s="1087">
        <f>ROUNDUP(K301*'Part VIII-Threshold Criteria'!N303,0)</f>
        <v>2</v>
      </c>
      <c r="N303" s="1092">
        <f>'DCA Underwriting Assumptions'!$Q$137</f>
        <v>0.4</v>
      </c>
      <c r="O303" s="484" t="s">
        <v>2133</v>
      </c>
      <c r="P303" s="2999" t="s">
        <v>3009</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3777</v>
      </c>
      <c r="D305" s="1892"/>
      <c r="E305" s="1892"/>
      <c r="F305" s="1892"/>
      <c r="G305" s="1892"/>
      <c r="H305" s="1892"/>
      <c r="I305" s="53" t="s">
        <v>4172</v>
      </c>
      <c r="J305" s="305"/>
      <c r="K305" s="3183">
        <v>2</v>
      </c>
      <c r="L305" s="1086" t="str">
        <f>IF(K305&lt;M305,"Check!!!","")</f>
        <v/>
      </c>
      <c r="M305" s="1087">
        <f>ROUNDUP('Part VI-Revenues &amp; Expenses'!$O$62*'Part VIII-Threshold Criteria'!N305,0)</f>
        <v>2</v>
      </c>
      <c r="N305" s="1092">
        <f>'DCA Underwriting Assumptions'!$Q$138</f>
        <v>0.02</v>
      </c>
      <c r="O305" s="484" t="s">
        <v>1751</v>
      </c>
      <c r="P305" s="2999" t="s">
        <v>3009</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600"/>
      <c r="O306" s="37"/>
      <c r="P306" s="1596"/>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93" t="s">
        <v>3906</v>
      </c>
      <c r="D308" s="1599"/>
      <c r="E308" s="1599"/>
      <c r="F308" s="1599"/>
      <c r="G308" s="1599"/>
      <c r="H308" s="1599"/>
      <c r="O308" s="41"/>
      <c r="P308" s="484"/>
      <c r="V308" s="37"/>
      <c r="W308" s="938"/>
      <c r="X308" s="37"/>
      <c r="Z308" s="1086"/>
      <c r="AA308" s="1086"/>
      <c r="AB308" s="1086"/>
      <c r="AC308" s="1086"/>
      <c r="AD308" s="1086"/>
      <c r="AE308" s="1086"/>
      <c r="AF308" s="1086"/>
      <c r="AG308" s="1086"/>
    </row>
    <row r="309" spans="1:33" s="97" customFormat="1" ht="21.75" customHeight="1">
      <c r="B309" s="1893" t="s">
        <v>3664</v>
      </c>
      <c r="C309" s="1893"/>
      <c r="D309" s="1893"/>
      <c r="E309" s="1893"/>
      <c r="F309" s="1893"/>
      <c r="G309" s="1893"/>
      <c r="H309" s="1893"/>
      <c r="I309" s="1893"/>
      <c r="J309" s="1893"/>
      <c r="K309" s="1893"/>
      <c r="L309" s="1893"/>
      <c r="M309" s="1893"/>
      <c r="N309" s="1893"/>
      <c r="O309" s="166" t="s">
        <v>757</v>
      </c>
      <c r="P309" s="3068" t="s">
        <v>3009</v>
      </c>
      <c r="Q309" s="1262"/>
      <c r="AE309" s="490"/>
      <c r="AF309" s="490"/>
    </row>
    <row r="310" spans="1:33" s="97" customFormat="1" ht="11.25" customHeight="1">
      <c r="B310" s="405" t="s">
        <v>3665</v>
      </c>
      <c r="D310" s="405"/>
      <c r="E310" s="405"/>
      <c r="F310" s="405"/>
      <c r="G310" s="405"/>
      <c r="H310" s="405"/>
      <c r="I310" s="405" t="s">
        <v>3787</v>
      </c>
      <c r="J310" s="405"/>
      <c r="K310" s="405"/>
      <c r="L310" s="3184" t="s">
        <v>4649</v>
      </c>
      <c r="M310" s="3185"/>
      <c r="N310" s="3186"/>
      <c r="O310" s="405"/>
      <c r="P310" s="405"/>
      <c r="Q310" s="405"/>
      <c r="R310" s="405"/>
      <c r="AE310" s="490"/>
      <c r="AF310" s="490"/>
    </row>
    <row r="311" spans="1:33" s="429" customFormat="1" ht="44.25" customHeight="1">
      <c r="B311" s="154" t="s">
        <v>1750</v>
      </c>
      <c r="C311" s="1892" t="s">
        <v>3663</v>
      </c>
      <c r="D311" s="1892"/>
      <c r="E311" s="1892"/>
      <c r="F311" s="1892"/>
      <c r="G311" s="1892"/>
      <c r="H311" s="1892"/>
      <c r="I311" s="1892"/>
      <c r="J311" s="1892"/>
      <c r="K311" s="1892"/>
      <c r="L311" s="1892"/>
      <c r="M311" s="1892"/>
      <c r="N311" s="1892"/>
      <c r="O311" s="166" t="s">
        <v>3668</v>
      </c>
      <c r="P311" s="3072" t="s">
        <v>3009</v>
      </c>
      <c r="Q311" s="1261"/>
      <c r="AE311" s="489"/>
      <c r="AF311" s="489"/>
    </row>
    <row r="312" spans="1:33" s="429" customFormat="1" ht="11.25" customHeight="1">
      <c r="B312" s="154" t="s">
        <v>1751</v>
      </c>
      <c r="C312" s="1892" t="s">
        <v>3708</v>
      </c>
      <c r="D312" s="1892"/>
      <c r="E312" s="1892"/>
      <c r="F312" s="1892"/>
      <c r="G312" s="1892"/>
      <c r="H312" s="1892"/>
      <c r="I312" s="1892"/>
      <c r="J312" s="1892"/>
      <c r="K312" s="1892"/>
      <c r="L312" s="1892"/>
      <c r="M312" s="1892"/>
      <c r="N312" s="1892"/>
      <c r="O312" s="166" t="s">
        <v>3669</v>
      </c>
      <c r="P312" s="3151" t="s">
        <v>3009</v>
      </c>
      <c r="Q312" s="564"/>
      <c r="AE312" s="489"/>
      <c r="AF312" s="489"/>
    </row>
    <row r="313" spans="1:33" s="429" customFormat="1" ht="34.5" customHeight="1">
      <c r="B313" s="166" t="s">
        <v>1752</v>
      </c>
      <c r="C313" s="1892" t="s">
        <v>3666</v>
      </c>
      <c r="D313" s="1892"/>
      <c r="E313" s="1892"/>
      <c r="F313" s="1892"/>
      <c r="G313" s="1892"/>
      <c r="H313" s="1892"/>
      <c r="I313" s="1892"/>
      <c r="J313" s="1892"/>
      <c r="K313" s="1892"/>
      <c r="L313" s="1892"/>
      <c r="M313" s="1892"/>
      <c r="N313" s="1892"/>
      <c r="O313" s="166" t="s">
        <v>3670</v>
      </c>
      <c r="P313" s="3151" t="s">
        <v>3009</v>
      </c>
      <c r="Q313" s="564"/>
      <c r="AE313" s="489"/>
      <c r="AF313" s="489"/>
    </row>
    <row r="314" spans="1:33" s="429" customFormat="1" ht="32.25" customHeight="1">
      <c r="B314" s="166" t="s">
        <v>2381</v>
      </c>
      <c r="C314" s="1892" t="s">
        <v>3667</v>
      </c>
      <c r="D314" s="1892"/>
      <c r="E314" s="1892"/>
      <c r="F314" s="1892"/>
      <c r="G314" s="1892"/>
      <c r="H314" s="1892"/>
      <c r="I314" s="1892"/>
      <c r="J314" s="1892"/>
      <c r="K314" s="1892"/>
      <c r="L314" s="1892"/>
      <c r="M314" s="1892"/>
      <c r="N314" s="1892"/>
      <c r="O314" s="166" t="s">
        <v>3671</v>
      </c>
      <c r="P314" s="3095" t="s">
        <v>3009</v>
      </c>
      <c r="Q314" s="1282"/>
      <c r="AE314" s="489"/>
      <c r="AF314" s="489"/>
    </row>
    <row r="315" spans="1:33" ht="11.25" customHeight="1">
      <c r="B315" s="145" t="s">
        <v>3778</v>
      </c>
      <c r="D315" s="145"/>
      <c r="E315" s="145"/>
      <c r="F315" s="145"/>
      <c r="G315" s="145"/>
      <c r="H315" s="41"/>
      <c r="I315" s="1596"/>
      <c r="J315" s="1596"/>
      <c r="K315" s="1596"/>
      <c r="L315" s="1592"/>
      <c r="M315" s="1592"/>
      <c r="N315" s="1592"/>
      <c r="O315" s="1592"/>
      <c r="P315" s="1592"/>
      <c r="Q315" s="955"/>
    </row>
    <row r="316" spans="1:33" ht="32.25" customHeight="1">
      <c r="A316" s="3114" t="s">
        <v>4678</v>
      </c>
      <c r="B316" s="3115"/>
      <c r="C316" s="3115"/>
      <c r="D316" s="3115"/>
      <c r="E316" s="3115"/>
      <c r="F316" s="3115"/>
      <c r="G316" s="3115"/>
      <c r="H316" s="3115"/>
      <c r="I316" s="3115"/>
      <c r="J316" s="3115"/>
      <c r="K316" s="3115"/>
      <c r="L316" s="3115"/>
      <c r="M316" s="3115"/>
      <c r="N316" s="3115"/>
      <c r="O316" s="3115"/>
      <c r="P316" s="3115"/>
      <c r="Q316" s="3116"/>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9"/>
      <c r="E317" s="1599"/>
      <c r="F317" s="1599"/>
      <c r="G317" s="1599"/>
      <c r="H317" s="1599"/>
      <c r="I317" s="1599"/>
      <c r="J317" s="1599"/>
      <c r="K317" s="1599"/>
      <c r="L317" s="1599"/>
      <c r="M317" s="1599"/>
      <c r="N317" s="1599"/>
      <c r="O317" s="1599"/>
      <c r="P317" s="1599"/>
      <c r="Q317" s="1599"/>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4.1" customHeight="1">
      <c r="A319" s="1593" t="s">
        <v>4148</v>
      </c>
      <c r="B319" s="10" t="s">
        <v>2683</v>
      </c>
      <c r="C319" s="10"/>
      <c r="D319" s="10"/>
      <c r="E319" s="10"/>
      <c r="F319" s="10"/>
      <c r="G319" s="10"/>
      <c r="H319" s="1599"/>
      <c r="I319" s="1599"/>
      <c r="J319" s="1599"/>
      <c r="K319" s="1599"/>
      <c r="L319" s="1599"/>
      <c r="M319" s="1599"/>
      <c r="O319" s="136" t="s">
        <v>1881</v>
      </c>
      <c r="P319" s="1929"/>
      <c r="Q319" s="1930"/>
    </row>
    <row r="320" spans="1:33" ht="11.45" customHeight="1">
      <c r="B320" s="149" t="s">
        <v>2268</v>
      </c>
      <c r="P320" s="2929" t="s">
        <v>3012</v>
      </c>
      <c r="Q320" s="561"/>
    </row>
    <row r="321" spans="1:256 1523:1523" ht="12" customHeight="1">
      <c r="B321" s="932" t="s">
        <v>2227</v>
      </c>
      <c r="C321" s="932"/>
      <c r="D321" s="932"/>
      <c r="E321" s="932"/>
      <c r="F321" s="932"/>
      <c r="G321" s="932"/>
      <c r="H321" s="932"/>
      <c r="I321" s="932"/>
      <c r="J321" s="932"/>
      <c r="K321" s="932"/>
      <c r="L321" s="932"/>
      <c r="P321" s="2928" t="s">
        <v>3009</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2898</v>
      </c>
      <c r="C323" s="1892"/>
      <c r="D323" s="1892"/>
      <c r="E323" s="1892"/>
      <c r="F323" s="1892"/>
      <c r="G323" s="1892"/>
      <c r="H323" s="1892"/>
      <c r="I323" s="1892"/>
      <c r="J323" s="1892"/>
      <c r="K323" s="1892"/>
      <c r="L323" s="1892"/>
      <c r="M323" s="1892"/>
      <c r="N323" s="1892"/>
      <c r="O323" s="166" t="s">
        <v>1999</v>
      </c>
      <c r="P323" s="3187"/>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92"/>
      <c r="Q324" s="955"/>
    </row>
    <row r="325" spans="1:256 1523:1523" ht="34.5" customHeight="1">
      <c r="B325" s="220" t="s">
        <v>1750</v>
      </c>
      <c r="C325" s="221" t="s">
        <v>1141</v>
      </c>
      <c r="E325" s="137"/>
      <c r="F325" s="137"/>
      <c r="G325" s="3188" t="s">
        <v>3943</v>
      </c>
      <c r="H325" s="3189"/>
      <c r="I325" s="3189"/>
      <c r="J325" s="3189"/>
      <c r="K325" s="3189"/>
      <c r="L325" s="3189"/>
      <c r="M325" s="3189"/>
      <c r="N325" s="3190"/>
      <c r="O325" s="224" t="s">
        <v>1750</v>
      </c>
      <c r="P325" s="3072" t="s">
        <v>3009</v>
      </c>
      <c r="Q325" s="1261"/>
      <c r="BFO325" s="152" t="s">
        <v>2744</v>
      </c>
    </row>
    <row r="326" spans="1:256 1523:1523" ht="23.25" customHeight="1">
      <c r="B326" s="220" t="s">
        <v>1751</v>
      </c>
      <c r="C326" s="1892" t="s">
        <v>1142</v>
      </c>
      <c r="D326" s="1892"/>
      <c r="E326" s="1892"/>
      <c r="F326" s="1899"/>
      <c r="G326" s="3176" t="s">
        <v>3790</v>
      </c>
      <c r="H326" s="3191"/>
      <c r="I326" s="3191"/>
      <c r="J326" s="3191"/>
      <c r="K326" s="3191"/>
      <c r="L326" s="3191"/>
      <c r="M326" s="3191"/>
      <c r="N326" s="3192"/>
      <c r="O326" s="224" t="s">
        <v>1751</v>
      </c>
      <c r="P326" s="3095" t="s">
        <v>3009</v>
      </c>
      <c r="Q326" s="1282"/>
    </row>
    <row r="327" spans="1:256 1523:1523" ht="3" customHeight="1">
      <c r="A327" s="1592"/>
      <c r="C327" s="1592"/>
      <c r="D327" s="1592"/>
      <c r="E327" s="1592"/>
      <c r="F327" s="1592"/>
      <c r="G327" s="1592"/>
      <c r="H327" s="1592"/>
      <c r="I327" s="1592"/>
      <c r="J327" s="1592"/>
      <c r="K327" s="1592"/>
      <c r="L327" s="1592"/>
      <c r="M327" s="1592"/>
      <c r="N327" s="1592"/>
      <c r="O327" s="1592"/>
      <c r="P327" s="1592"/>
      <c r="Q327" s="1592"/>
      <c r="R327" s="1592"/>
      <c r="S327" s="1592"/>
      <c r="T327" s="1592"/>
      <c r="U327" s="1592"/>
      <c r="V327" s="1592"/>
      <c r="W327" s="1592"/>
      <c r="X327" s="1592"/>
      <c r="Y327" s="1592"/>
      <c r="Z327" s="1592"/>
      <c r="AA327" s="1592"/>
      <c r="AB327" s="1592"/>
      <c r="AC327" s="1592"/>
      <c r="AD327" s="1592"/>
      <c r="AE327" s="955"/>
      <c r="AF327" s="955"/>
      <c r="AG327" s="1592"/>
      <c r="AH327" s="1592"/>
      <c r="AI327" s="1592"/>
      <c r="AJ327" s="1592"/>
      <c r="AK327" s="1592"/>
      <c r="AL327" s="1592"/>
      <c r="AM327" s="1592"/>
      <c r="AN327" s="1592"/>
      <c r="AO327" s="1592"/>
      <c r="AP327" s="1592"/>
      <c r="AQ327" s="1592"/>
      <c r="AR327" s="1592"/>
      <c r="AS327" s="1592"/>
      <c r="AT327" s="1592"/>
      <c r="AU327" s="1592"/>
      <c r="AV327" s="1592"/>
      <c r="AW327" s="1592"/>
      <c r="AX327" s="1592"/>
      <c r="AY327" s="1592"/>
      <c r="AZ327" s="1592"/>
      <c r="BA327" s="1592"/>
      <c r="BB327" s="1592"/>
      <c r="BC327" s="1592"/>
      <c r="BD327" s="1592"/>
      <c r="BE327" s="1592"/>
      <c r="BF327" s="1592"/>
      <c r="BG327" s="1592"/>
      <c r="BH327" s="1592"/>
      <c r="BI327" s="1592"/>
      <c r="BJ327" s="1592"/>
      <c r="BK327" s="1592"/>
      <c r="BL327" s="1592"/>
      <c r="BM327" s="1592"/>
      <c r="BN327" s="1592"/>
      <c r="BO327" s="1592"/>
      <c r="BP327" s="1592"/>
      <c r="BQ327" s="1592"/>
      <c r="BR327" s="1592"/>
      <c r="BS327" s="1592"/>
      <c r="BT327" s="1592"/>
      <c r="BU327" s="1592"/>
      <c r="BV327" s="1592"/>
      <c r="BW327" s="1592"/>
      <c r="BX327" s="1592"/>
      <c r="BY327" s="1592"/>
      <c r="BZ327" s="1592"/>
      <c r="CA327" s="1592"/>
      <c r="CB327" s="1592"/>
      <c r="CC327" s="1592"/>
      <c r="CD327" s="1592"/>
      <c r="CE327" s="1592"/>
      <c r="CF327" s="1592"/>
      <c r="CG327" s="1592"/>
      <c r="CH327" s="1592"/>
      <c r="CI327" s="1592"/>
      <c r="CJ327" s="1592"/>
      <c r="CK327" s="1592"/>
      <c r="CL327" s="1592"/>
      <c r="CM327" s="1592"/>
      <c r="CN327" s="1592"/>
      <c r="CO327" s="1592"/>
      <c r="CP327" s="1592"/>
      <c r="CQ327" s="1592"/>
      <c r="CR327" s="1592"/>
      <c r="CS327" s="1592"/>
      <c r="CT327" s="1592"/>
      <c r="CU327" s="1592"/>
      <c r="CV327" s="1592"/>
      <c r="CW327" s="1592"/>
      <c r="CX327" s="1592"/>
      <c r="CY327" s="1592"/>
      <c r="CZ327" s="1592"/>
      <c r="DA327" s="1592"/>
      <c r="DB327" s="1592"/>
      <c r="DC327" s="1592"/>
      <c r="DD327" s="1592"/>
      <c r="DE327" s="1592"/>
      <c r="DF327" s="1592"/>
      <c r="DG327" s="1592"/>
      <c r="DH327" s="1592"/>
      <c r="DI327" s="1592"/>
      <c r="DJ327" s="1592"/>
      <c r="DK327" s="1592"/>
      <c r="DL327" s="1592"/>
      <c r="DM327" s="1592"/>
      <c r="DN327" s="1592"/>
      <c r="DO327" s="1592"/>
      <c r="DP327" s="1592"/>
      <c r="DQ327" s="1592"/>
      <c r="DR327" s="1592"/>
      <c r="DS327" s="1592"/>
      <c r="DT327" s="1592"/>
      <c r="DU327" s="1592"/>
      <c r="DV327" s="1592"/>
      <c r="DW327" s="1592"/>
      <c r="DX327" s="1592"/>
      <c r="DY327" s="1592"/>
      <c r="DZ327" s="1592"/>
      <c r="EA327" s="1592"/>
      <c r="EB327" s="1592"/>
      <c r="EC327" s="1592"/>
      <c r="ED327" s="1592"/>
      <c r="EE327" s="1592"/>
      <c r="EF327" s="1592"/>
      <c r="EG327" s="1592"/>
      <c r="EH327" s="1592"/>
      <c r="EI327" s="1592"/>
      <c r="EJ327" s="1592"/>
      <c r="EK327" s="1592"/>
      <c r="EL327" s="1592"/>
      <c r="EM327" s="1592"/>
      <c r="EN327" s="1592"/>
      <c r="EO327" s="1592"/>
      <c r="EP327" s="1592"/>
      <c r="EQ327" s="1592"/>
      <c r="ER327" s="1592"/>
      <c r="ES327" s="1592"/>
      <c r="ET327" s="1592"/>
      <c r="EU327" s="1592"/>
      <c r="EV327" s="1592"/>
      <c r="EW327" s="1592"/>
      <c r="EX327" s="1592"/>
      <c r="EY327" s="1592"/>
      <c r="EZ327" s="1592"/>
      <c r="FA327" s="1592"/>
      <c r="FB327" s="1592"/>
      <c r="FC327" s="1592"/>
      <c r="FD327" s="1592"/>
      <c r="FE327" s="1592"/>
      <c r="FF327" s="1592"/>
      <c r="FG327" s="1592"/>
      <c r="FH327" s="1592"/>
      <c r="FI327" s="1592"/>
      <c r="FJ327" s="1592"/>
      <c r="FK327" s="1592"/>
      <c r="FL327" s="1592"/>
      <c r="FM327" s="1592"/>
      <c r="FN327" s="1592"/>
      <c r="FO327" s="1592"/>
      <c r="FP327" s="1592"/>
      <c r="FQ327" s="1592"/>
      <c r="FR327" s="1592"/>
      <c r="FS327" s="1592"/>
      <c r="FT327" s="1592"/>
      <c r="FU327" s="1592"/>
      <c r="FV327" s="1592"/>
      <c r="FW327" s="1592"/>
      <c r="FX327" s="1592"/>
      <c r="FY327" s="1592"/>
      <c r="FZ327" s="1592"/>
      <c r="GA327" s="1592"/>
      <c r="GB327" s="1592"/>
      <c r="GC327" s="1592"/>
      <c r="GD327" s="1592"/>
      <c r="GE327" s="1592"/>
      <c r="GF327" s="1592"/>
      <c r="GG327" s="1592"/>
      <c r="GH327" s="1592"/>
      <c r="GI327" s="1592"/>
      <c r="GJ327" s="1592"/>
      <c r="GK327" s="1592"/>
      <c r="GL327" s="1592"/>
      <c r="GM327" s="1592"/>
      <c r="GN327" s="1592"/>
      <c r="GO327" s="1592"/>
      <c r="GP327" s="1592"/>
      <c r="GQ327" s="1592"/>
      <c r="GR327" s="1592"/>
      <c r="GS327" s="1592"/>
      <c r="GT327" s="1592"/>
      <c r="GU327" s="1592"/>
      <c r="GV327" s="1592"/>
      <c r="GW327" s="1592"/>
      <c r="GX327" s="1592"/>
      <c r="GY327" s="1592"/>
      <c r="GZ327" s="1592"/>
      <c r="HA327" s="1592"/>
      <c r="HB327" s="1592"/>
      <c r="HC327" s="1592"/>
      <c r="HD327" s="1592"/>
      <c r="HE327" s="1592"/>
      <c r="HF327" s="1592"/>
      <c r="HG327" s="1592"/>
      <c r="HH327" s="1592"/>
      <c r="HI327" s="1592"/>
      <c r="HJ327" s="1592"/>
      <c r="HK327" s="1592"/>
      <c r="HL327" s="1592"/>
      <c r="HM327" s="1592"/>
      <c r="HN327" s="1592"/>
      <c r="HO327" s="1592"/>
      <c r="HP327" s="1592"/>
      <c r="HQ327" s="1592"/>
      <c r="HR327" s="1592"/>
      <c r="HS327" s="1592"/>
      <c r="HT327" s="1592"/>
      <c r="HU327" s="1592"/>
      <c r="HV327" s="1592"/>
      <c r="HW327" s="1592"/>
      <c r="HX327" s="1592"/>
      <c r="HY327" s="1592"/>
      <c r="HZ327" s="1592"/>
      <c r="IA327" s="1592"/>
      <c r="IB327" s="1592"/>
      <c r="IC327" s="1592"/>
      <c r="ID327" s="1592"/>
      <c r="IE327" s="1592"/>
      <c r="IF327" s="1592"/>
      <c r="IG327" s="1592"/>
      <c r="IH327" s="1592"/>
      <c r="II327" s="1592"/>
      <c r="IJ327" s="1592"/>
      <c r="IK327" s="1592"/>
      <c r="IL327" s="1592"/>
      <c r="IM327" s="1592"/>
      <c r="IN327" s="1592"/>
      <c r="IO327" s="1592"/>
      <c r="IP327" s="1592"/>
      <c r="IQ327" s="1592"/>
      <c r="IR327" s="1592"/>
      <c r="IS327" s="1592"/>
      <c r="IT327" s="1592"/>
      <c r="IU327" s="1592"/>
      <c r="IV327" s="1592"/>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92"/>
      <c r="Q328" s="955"/>
      <c r="AE328" s="487"/>
      <c r="AF328" s="487"/>
    </row>
    <row r="329" spans="1:256 1523:1523" s="137" customFormat="1" ht="11.25" customHeight="1">
      <c r="A329" s="148"/>
      <c r="B329" s="220" t="s">
        <v>1750</v>
      </c>
      <c r="C329" s="3173"/>
      <c r="D329" s="3174"/>
      <c r="E329" s="3174"/>
      <c r="F329" s="3174"/>
      <c r="G329" s="3174"/>
      <c r="H329" s="3174"/>
      <c r="I329" s="3174"/>
      <c r="J329" s="3174"/>
      <c r="K329" s="3174"/>
      <c r="L329" s="3174"/>
      <c r="M329" s="3174"/>
      <c r="N329" s="3175"/>
      <c r="O329" s="224" t="s">
        <v>1750</v>
      </c>
      <c r="P329" s="3072" t="s">
        <v>3012</v>
      </c>
      <c r="Q329" s="1261"/>
      <c r="AE329" s="487"/>
      <c r="AF329" s="487"/>
    </row>
    <row r="330" spans="1:256 1523:1523" s="137" customFormat="1" ht="11.25" customHeight="1">
      <c r="A330" s="148"/>
      <c r="B330" s="220" t="s">
        <v>1751</v>
      </c>
      <c r="C330" s="3176"/>
      <c r="D330" s="3177"/>
      <c r="E330" s="3177"/>
      <c r="F330" s="3177"/>
      <c r="G330" s="3177"/>
      <c r="H330" s="3177"/>
      <c r="I330" s="3177"/>
      <c r="J330" s="3177"/>
      <c r="K330" s="3177"/>
      <c r="L330" s="3177"/>
      <c r="M330" s="3177"/>
      <c r="N330" s="3178"/>
      <c r="O330" s="224" t="s">
        <v>1751</v>
      </c>
      <c r="P330" s="3095" t="s">
        <v>3012</v>
      </c>
      <c r="Q330" s="1282"/>
      <c r="AE330" s="487"/>
      <c r="AF330" s="487"/>
    </row>
    <row r="331" spans="1:256 1523:1523" ht="3" customHeight="1">
      <c r="A331" s="1592"/>
      <c r="B331" s="1592"/>
      <c r="C331" s="1592"/>
      <c r="D331" s="1592"/>
      <c r="E331" s="1592"/>
      <c r="F331" s="1592"/>
      <c r="G331" s="1592"/>
      <c r="H331" s="1592"/>
      <c r="I331" s="1592"/>
      <c r="J331" s="1592"/>
      <c r="K331" s="1592"/>
      <c r="L331" s="1592"/>
      <c r="M331" s="1592"/>
      <c r="N331" s="1592"/>
      <c r="O331" s="1592"/>
      <c r="P331" s="1592"/>
      <c r="Q331" s="1592"/>
      <c r="R331" s="1592"/>
      <c r="S331" s="1592"/>
      <c r="T331" s="1592"/>
      <c r="U331" s="1592"/>
      <c r="V331" s="1592"/>
      <c r="W331" s="1592"/>
      <c r="X331" s="1592"/>
      <c r="Y331" s="1592"/>
      <c r="Z331" s="1592"/>
      <c r="AA331" s="1592"/>
      <c r="AB331" s="1592"/>
      <c r="AC331" s="1592"/>
      <c r="AD331" s="1592"/>
      <c r="AE331" s="955"/>
      <c r="AF331" s="955"/>
      <c r="AG331" s="1592"/>
      <c r="AH331" s="1592"/>
      <c r="AI331" s="1592"/>
      <c r="AJ331" s="1592"/>
      <c r="AK331" s="1592"/>
      <c r="AL331" s="1592"/>
      <c r="AM331" s="1592"/>
      <c r="AN331" s="1592"/>
      <c r="AO331" s="1592"/>
      <c r="AP331" s="1592"/>
      <c r="AQ331" s="1592"/>
      <c r="AR331" s="1592"/>
      <c r="AS331" s="1592"/>
      <c r="AT331" s="1592"/>
      <c r="AU331" s="1592"/>
      <c r="AV331" s="1592"/>
      <c r="AW331" s="1592"/>
      <c r="AX331" s="1592"/>
      <c r="AY331" s="1592"/>
      <c r="AZ331" s="1592"/>
      <c r="BA331" s="1592"/>
      <c r="BB331" s="1592"/>
      <c r="BC331" s="1592"/>
      <c r="BD331" s="1592"/>
      <c r="BE331" s="1592"/>
      <c r="BF331" s="1592"/>
      <c r="BG331" s="1592"/>
      <c r="BH331" s="1592"/>
      <c r="BI331" s="1592"/>
      <c r="BJ331" s="1592"/>
      <c r="BK331" s="1592"/>
      <c r="BL331" s="1592"/>
      <c r="BM331" s="1592"/>
      <c r="BN331" s="1592"/>
      <c r="BO331" s="1592"/>
      <c r="BP331" s="1592"/>
      <c r="BQ331" s="1592"/>
      <c r="BR331" s="1592"/>
      <c r="BS331" s="1592"/>
      <c r="BT331" s="1592"/>
      <c r="BU331" s="1592"/>
      <c r="BV331" s="1592"/>
      <c r="BW331" s="1592"/>
      <c r="BX331" s="1592"/>
      <c r="BY331" s="1592"/>
      <c r="BZ331" s="1592"/>
      <c r="CA331" s="1592"/>
      <c r="CB331" s="1592"/>
      <c r="CC331" s="1592"/>
      <c r="CD331" s="1592"/>
      <c r="CE331" s="1592"/>
      <c r="CF331" s="1592"/>
      <c r="CG331" s="1592"/>
      <c r="CH331" s="1592"/>
      <c r="CI331" s="1592"/>
      <c r="CJ331" s="1592"/>
      <c r="CK331" s="1592"/>
      <c r="CL331" s="1592"/>
      <c r="CM331" s="1592"/>
      <c r="CN331" s="1592"/>
      <c r="CO331" s="1592"/>
      <c r="CP331" s="1592"/>
      <c r="CQ331" s="1592"/>
      <c r="CR331" s="1592"/>
      <c r="CS331" s="1592"/>
      <c r="CT331" s="1592"/>
      <c r="CU331" s="1592"/>
      <c r="CV331" s="1592"/>
      <c r="CW331" s="1592"/>
      <c r="CX331" s="1592"/>
      <c r="CY331" s="1592"/>
      <c r="CZ331" s="1592"/>
      <c r="DA331" s="1592"/>
      <c r="DB331" s="1592"/>
      <c r="DC331" s="1592"/>
      <c r="DD331" s="1592"/>
      <c r="DE331" s="1592"/>
      <c r="DF331" s="1592"/>
      <c r="DG331" s="1592"/>
      <c r="DH331" s="1592"/>
      <c r="DI331" s="1592"/>
      <c r="DJ331" s="1592"/>
      <c r="DK331" s="1592"/>
      <c r="DL331" s="1592"/>
      <c r="DM331" s="1592"/>
      <c r="DN331" s="1592"/>
      <c r="DO331" s="1592"/>
      <c r="DP331" s="1592"/>
      <c r="DQ331" s="1592"/>
      <c r="DR331" s="1592"/>
      <c r="DS331" s="1592"/>
      <c r="DT331" s="1592"/>
      <c r="DU331" s="1592"/>
      <c r="DV331" s="1592"/>
      <c r="DW331" s="1592"/>
      <c r="DX331" s="1592"/>
      <c r="DY331" s="1592"/>
      <c r="DZ331" s="1592"/>
      <c r="EA331" s="1592"/>
      <c r="EB331" s="1592"/>
      <c r="EC331" s="1592"/>
      <c r="ED331" s="1592"/>
      <c r="EE331" s="1592"/>
      <c r="EF331" s="1592"/>
      <c r="EG331" s="1592"/>
      <c r="EH331" s="1592"/>
      <c r="EI331" s="1592"/>
      <c r="EJ331" s="1592"/>
      <c r="EK331" s="1592"/>
      <c r="EL331" s="1592"/>
      <c r="EM331" s="1592"/>
      <c r="EN331" s="1592"/>
      <c r="EO331" s="1592"/>
      <c r="EP331" s="1592"/>
      <c r="EQ331" s="1592"/>
      <c r="ER331" s="1592"/>
      <c r="ES331" s="1592"/>
      <c r="ET331" s="1592"/>
      <c r="EU331" s="1592"/>
      <c r="EV331" s="1592"/>
      <c r="EW331" s="1592"/>
      <c r="EX331" s="1592"/>
      <c r="EY331" s="1592"/>
      <c r="EZ331" s="1592"/>
      <c r="FA331" s="1592"/>
      <c r="FB331" s="1592"/>
      <c r="FC331" s="1592"/>
      <c r="FD331" s="1592"/>
      <c r="FE331" s="1592"/>
      <c r="FF331" s="1592"/>
      <c r="FG331" s="1592"/>
      <c r="FH331" s="1592"/>
      <c r="FI331" s="1592"/>
      <c r="FJ331" s="1592"/>
      <c r="FK331" s="1592"/>
      <c r="FL331" s="1592"/>
      <c r="FM331" s="1592"/>
      <c r="FN331" s="1592"/>
      <c r="FO331" s="1592"/>
      <c r="FP331" s="1592"/>
      <c r="FQ331" s="1592"/>
      <c r="FR331" s="1592"/>
      <c r="FS331" s="1592"/>
      <c r="FT331" s="1592"/>
      <c r="FU331" s="1592"/>
      <c r="FV331" s="1592"/>
      <c r="FW331" s="1592"/>
      <c r="FX331" s="1592"/>
      <c r="FY331" s="1592"/>
      <c r="FZ331" s="1592"/>
      <c r="GA331" s="1592"/>
      <c r="GB331" s="1592"/>
      <c r="GC331" s="1592"/>
      <c r="GD331" s="1592"/>
      <c r="GE331" s="1592"/>
      <c r="GF331" s="1592"/>
      <c r="GG331" s="1592"/>
      <c r="GH331" s="1592"/>
      <c r="GI331" s="1592"/>
      <c r="GJ331" s="1592"/>
      <c r="GK331" s="1592"/>
      <c r="GL331" s="1592"/>
      <c r="GM331" s="1592"/>
      <c r="GN331" s="1592"/>
      <c r="GO331" s="1592"/>
      <c r="GP331" s="1592"/>
      <c r="GQ331" s="1592"/>
      <c r="GR331" s="1592"/>
      <c r="GS331" s="1592"/>
      <c r="GT331" s="1592"/>
      <c r="GU331" s="1592"/>
      <c r="GV331" s="1592"/>
      <c r="GW331" s="1592"/>
      <c r="GX331" s="1592"/>
      <c r="GY331" s="1592"/>
      <c r="GZ331" s="1592"/>
      <c r="HA331" s="1592"/>
      <c r="HB331" s="1592"/>
      <c r="HC331" s="1592"/>
      <c r="HD331" s="1592"/>
      <c r="HE331" s="1592"/>
      <c r="HF331" s="1592"/>
      <c r="HG331" s="1592"/>
      <c r="HH331" s="1592"/>
      <c r="HI331" s="1592"/>
      <c r="HJ331" s="1592"/>
      <c r="HK331" s="1592"/>
      <c r="HL331" s="1592"/>
      <c r="HM331" s="1592"/>
      <c r="HN331" s="1592"/>
      <c r="HO331" s="1592"/>
      <c r="HP331" s="1592"/>
      <c r="HQ331" s="1592"/>
      <c r="HR331" s="1592"/>
      <c r="HS331" s="1592"/>
      <c r="HT331" s="1592"/>
      <c r="HU331" s="1592"/>
      <c r="HV331" s="1592"/>
      <c r="HW331" s="1592"/>
      <c r="HX331" s="1592"/>
      <c r="HY331" s="1592"/>
      <c r="HZ331" s="1592"/>
      <c r="IA331" s="1592"/>
      <c r="IB331" s="1592"/>
      <c r="IC331" s="1592"/>
      <c r="ID331" s="1592"/>
      <c r="IE331" s="1592"/>
      <c r="IF331" s="1592"/>
      <c r="IG331" s="1592"/>
      <c r="IH331" s="1592"/>
      <c r="II331" s="1592"/>
      <c r="IJ331" s="1592"/>
      <c r="IK331" s="1592"/>
      <c r="IL331" s="1592"/>
      <c r="IM331" s="1592"/>
      <c r="IN331" s="1592"/>
      <c r="IO331" s="1592"/>
      <c r="IP331" s="1592"/>
      <c r="IQ331" s="1592"/>
      <c r="IR331" s="1592"/>
      <c r="IS331" s="1592"/>
      <c r="IT331" s="1592"/>
      <c r="IU331" s="1592"/>
      <c r="IV331" s="1592"/>
    </row>
    <row r="332" spans="1:256 1523:1523" ht="11.25" customHeight="1">
      <c r="B332" s="145" t="s">
        <v>3778</v>
      </c>
      <c r="D332" s="145"/>
      <c r="E332" s="145"/>
      <c r="F332" s="145"/>
      <c r="G332" s="145"/>
      <c r="H332" s="41"/>
      <c r="I332" s="1596"/>
      <c r="J332" s="1596"/>
      <c r="K332" s="1596"/>
      <c r="L332" s="1592"/>
      <c r="M332" s="1592"/>
      <c r="N332" s="1592"/>
      <c r="O332" s="1592"/>
      <c r="P332" s="1592"/>
      <c r="Q332" s="955"/>
    </row>
    <row r="333" spans="1:256 1523:1523" ht="24" customHeight="1">
      <c r="A333" s="3114" t="s">
        <v>4674</v>
      </c>
      <c r="B333" s="3115"/>
      <c r="C333" s="3115"/>
      <c r="D333" s="3115"/>
      <c r="E333" s="3115"/>
      <c r="F333" s="3115"/>
      <c r="G333" s="3115"/>
      <c r="H333" s="3115"/>
      <c r="I333" s="3115"/>
      <c r="J333" s="3115"/>
      <c r="K333" s="3115"/>
      <c r="L333" s="3115"/>
      <c r="M333" s="3115"/>
      <c r="N333" s="3115"/>
      <c r="O333" s="3115"/>
      <c r="P333" s="3115"/>
      <c r="Q333" s="3116"/>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9"/>
      <c r="E334" s="1599"/>
      <c r="F334" s="1599"/>
      <c r="G334" s="1599"/>
      <c r="H334" s="1599"/>
      <c r="I334" s="1599"/>
      <c r="J334" s="1599"/>
      <c r="K334" s="1599"/>
      <c r="L334" s="1599"/>
      <c r="M334" s="1599"/>
      <c r="N334" s="1599"/>
      <c r="O334" s="1599"/>
      <c r="P334" s="1599"/>
      <c r="Q334" s="1599"/>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4.1" customHeight="1">
      <c r="A336" s="1593" t="s">
        <v>4151</v>
      </c>
      <c r="B336" s="1593" t="s">
        <v>4190</v>
      </c>
      <c r="C336" s="1593"/>
      <c r="D336" s="1599"/>
      <c r="E336" s="1599"/>
      <c r="F336" s="1599"/>
      <c r="G336" s="1599"/>
      <c r="H336" s="1599"/>
      <c r="O336" s="136" t="s">
        <v>1881</v>
      </c>
      <c r="P336" s="1897"/>
      <c r="Q336" s="1904"/>
    </row>
    <row r="337" spans="1:31" ht="11.45" customHeight="1">
      <c r="A337" s="48" t="s">
        <v>1999</v>
      </c>
      <c r="B337" s="56" t="s">
        <v>3945</v>
      </c>
      <c r="O337" s="166" t="s">
        <v>1999</v>
      </c>
      <c r="P337" s="2999" t="s">
        <v>3009</v>
      </c>
      <c r="Q337" s="560"/>
    </row>
    <row r="338" spans="1:31" ht="11.45" customHeight="1">
      <c r="A338" s="146" t="s">
        <v>2001</v>
      </c>
      <c r="B338" s="56" t="s">
        <v>4135</v>
      </c>
      <c r="O338" s="166" t="s">
        <v>2001</v>
      </c>
      <c r="P338" s="2929" t="s">
        <v>3009</v>
      </c>
      <c r="Q338" s="561"/>
    </row>
    <row r="339" spans="1:31" ht="11.45" customHeight="1">
      <c r="A339" s="146" t="s">
        <v>757</v>
      </c>
      <c r="B339" s="149" t="s">
        <v>2366</v>
      </c>
      <c r="O339" s="166" t="s">
        <v>757</v>
      </c>
      <c r="P339" s="2935" t="s">
        <v>3009</v>
      </c>
      <c r="Q339" s="562"/>
    </row>
    <row r="340" spans="1:31" ht="11.45" customHeight="1">
      <c r="A340" s="48" t="s">
        <v>2131</v>
      </c>
      <c r="B340" s="56" t="s">
        <v>3870</v>
      </c>
      <c r="O340" s="484" t="s">
        <v>2131</v>
      </c>
      <c r="P340" s="2928" t="s">
        <v>3009</v>
      </c>
      <c r="Q340" s="563"/>
    </row>
    <row r="341" spans="1:31" ht="11.45" customHeight="1">
      <c r="A341" s="146" t="s">
        <v>1748</v>
      </c>
      <c r="B341" s="56" t="s">
        <v>2901</v>
      </c>
      <c r="N341" s="166" t="s">
        <v>1748</v>
      </c>
      <c r="O341" s="3193" t="s">
        <v>3869</v>
      </c>
      <c r="P341" s="3194"/>
      <c r="Q341" s="3195"/>
    </row>
    <row r="342" spans="1:31" ht="11.45" customHeight="1">
      <c r="A342" s="146" t="s">
        <v>1749</v>
      </c>
      <c r="B342" s="425" t="s">
        <v>2367</v>
      </c>
      <c r="N342" s="166" t="s">
        <v>1749</v>
      </c>
      <c r="O342" s="1923" t="s">
        <v>2902</v>
      </c>
      <c r="P342" s="1924"/>
      <c r="Q342" s="1925"/>
    </row>
    <row r="343" spans="1:31" ht="11.25" customHeight="1">
      <c r="B343" s="145" t="s">
        <v>3778</v>
      </c>
      <c r="D343" s="145"/>
      <c r="E343" s="145"/>
      <c r="F343" s="145"/>
      <c r="G343" s="145"/>
      <c r="H343" s="41"/>
      <c r="I343" s="1596"/>
      <c r="J343" s="1596"/>
      <c r="K343" s="1596"/>
      <c r="L343" s="1592"/>
      <c r="M343" s="1592"/>
      <c r="N343" s="1592"/>
      <c r="O343" s="1592"/>
      <c r="P343" s="1592"/>
      <c r="Q343" s="955"/>
    </row>
    <row r="344" spans="1:31" ht="27.95" customHeight="1">
      <c r="A344" s="3114" t="s">
        <v>4736</v>
      </c>
      <c r="B344" s="3115"/>
      <c r="C344" s="3115"/>
      <c r="D344" s="3115"/>
      <c r="E344" s="3115"/>
      <c r="F344" s="3115"/>
      <c r="G344" s="3115"/>
      <c r="H344" s="3115"/>
      <c r="I344" s="3115"/>
      <c r="J344" s="3115"/>
      <c r="K344" s="3115"/>
      <c r="L344" s="3115"/>
      <c r="M344" s="3115"/>
      <c r="N344" s="3115"/>
      <c r="O344" s="3115"/>
      <c r="P344" s="3115"/>
      <c r="Q344" s="3116"/>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9"/>
      <c r="E345" s="1599"/>
      <c r="F345" s="1599"/>
      <c r="G345" s="1599"/>
      <c r="H345" s="1599"/>
      <c r="I345" s="1599"/>
      <c r="J345" s="1599"/>
      <c r="K345" s="1599"/>
      <c r="L345" s="1599"/>
      <c r="M345" s="1599"/>
      <c r="N345" s="1599"/>
      <c r="O345" s="1599"/>
      <c r="P345" s="1599"/>
      <c r="Q345" s="1599"/>
    </row>
    <row r="346" spans="1:31" ht="13.35" customHeight="1">
      <c r="A346" s="1894"/>
      <c r="B346" s="1895"/>
      <c r="C346" s="1895"/>
      <c r="D346" s="1895"/>
      <c r="E346" s="1895"/>
      <c r="F346" s="1895"/>
      <c r="G346" s="1895"/>
      <c r="H346" s="1895"/>
      <c r="I346" s="1895"/>
      <c r="J346" s="1895"/>
      <c r="K346" s="1895"/>
      <c r="L346" s="1895"/>
      <c r="M346" s="1895"/>
      <c r="N346" s="1895"/>
      <c r="O346" s="1895"/>
      <c r="P346" s="1895"/>
      <c r="Q346" s="1896"/>
    </row>
    <row r="347" spans="1:31" ht="14.1" customHeight="1">
      <c r="A347" s="1593" t="s">
        <v>4152</v>
      </c>
      <c r="B347" s="4" t="s">
        <v>2684</v>
      </c>
      <c r="C347" s="4"/>
      <c r="D347" s="89"/>
      <c r="E347" s="1599"/>
      <c r="F347" s="1599"/>
      <c r="G347" s="1599"/>
      <c r="H347" s="1599"/>
      <c r="I347" s="1599"/>
      <c r="J347" s="1599"/>
      <c r="K347" s="1599"/>
      <c r="L347" s="1599"/>
      <c r="M347" s="1599"/>
      <c r="O347" s="136" t="s">
        <v>1881</v>
      </c>
      <c r="P347" s="1897"/>
      <c r="Q347" s="1904"/>
    </row>
    <row r="348" spans="1:31" ht="12.75" customHeight="1">
      <c r="A348" s="146" t="s">
        <v>1999</v>
      </c>
      <c r="B348" s="144" t="s">
        <v>3680</v>
      </c>
      <c r="D348" s="144"/>
      <c r="E348" s="144"/>
      <c r="F348" s="144"/>
      <c r="G348" s="144"/>
      <c r="H348" s="144"/>
      <c r="I348" s="144"/>
      <c r="J348" s="144"/>
      <c r="K348" s="144"/>
      <c r="L348" s="144"/>
      <c r="M348" s="144"/>
      <c r="N348" s="144"/>
      <c r="O348" s="166" t="s">
        <v>1999</v>
      </c>
      <c r="P348" s="2929" t="s">
        <v>3009</v>
      </c>
      <c r="Q348" s="561"/>
    </row>
    <row r="349" spans="1:31" ht="12.75" customHeight="1">
      <c r="A349" s="146" t="s">
        <v>2001</v>
      </c>
      <c r="B349" s="144" t="s">
        <v>3879</v>
      </c>
      <c r="D349" s="144"/>
      <c r="E349" s="144"/>
      <c r="F349" s="144"/>
      <c r="G349" s="144"/>
      <c r="H349" s="144"/>
      <c r="I349" s="144"/>
      <c r="J349" s="144"/>
      <c r="K349" s="144"/>
      <c r="L349" s="144"/>
      <c r="M349" s="144"/>
      <c r="N349" s="144"/>
      <c r="O349" s="166" t="s">
        <v>2001</v>
      </c>
      <c r="P349" s="2935" t="s">
        <v>3012</v>
      </c>
      <c r="Q349" s="562"/>
    </row>
    <row r="350" spans="1:31" ht="22.5" customHeight="1">
      <c r="A350" s="146" t="s">
        <v>757</v>
      </c>
      <c r="B350" s="1892" t="s">
        <v>4136</v>
      </c>
      <c r="C350" s="1892"/>
      <c r="D350" s="1892"/>
      <c r="E350" s="1892"/>
      <c r="F350" s="1892"/>
      <c r="G350" s="1892"/>
      <c r="H350" s="1892"/>
      <c r="I350" s="1892"/>
      <c r="J350" s="1892"/>
      <c r="K350" s="1892"/>
      <c r="L350" s="1892"/>
      <c r="M350" s="1892"/>
      <c r="N350" s="1892"/>
      <c r="O350" s="166" t="s">
        <v>757</v>
      </c>
      <c r="P350" s="2928" t="s">
        <v>3009</v>
      </c>
      <c r="Q350" s="563"/>
    </row>
    <row r="351" spans="1:31" ht="11.25" customHeight="1">
      <c r="B351" s="145" t="s">
        <v>3778</v>
      </c>
      <c r="D351" s="145"/>
      <c r="E351" s="145"/>
      <c r="F351" s="145"/>
      <c r="G351" s="145"/>
      <c r="H351" s="41"/>
      <c r="I351" s="1596"/>
      <c r="J351" s="1596"/>
      <c r="K351" s="1596"/>
      <c r="L351" s="1592"/>
      <c r="M351" s="1592"/>
      <c r="N351" s="1592"/>
      <c r="O351" s="1592"/>
      <c r="P351" s="1592"/>
      <c r="Q351" s="955"/>
    </row>
    <row r="352" spans="1:31" ht="11.45" customHeight="1">
      <c r="A352" s="3114" t="s">
        <v>4650</v>
      </c>
      <c r="B352" s="3115"/>
      <c r="C352" s="3115"/>
      <c r="D352" s="3115"/>
      <c r="E352" s="3115"/>
      <c r="F352" s="3115"/>
      <c r="G352" s="3115"/>
      <c r="H352" s="3115"/>
      <c r="I352" s="3115"/>
      <c r="J352" s="3115"/>
      <c r="K352" s="3115"/>
      <c r="L352" s="3115"/>
      <c r="M352" s="3115"/>
      <c r="N352" s="3115"/>
      <c r="O352" s="3115"/>
      <c r="P352" s="3115"/>
      <c r="Q352" s="3116"/>
      <c r="U352" s="140"/>
      <c r="V352" s="140"/>
      <c r="W352" s="140"/>
      <c r="X352" s="140"/>
      <c r="Y352" s="140"/>
      <c r="Z352" s="140"/>
      <c r="AA352" s="140"/>
      <c r="AB352" s="140"/>
      <c r="AC352" s="140"/>
      <c r="AD352" s="140"/>
      <c r="AE352" s="486"/>
    </row>
    <row r="353" spans="1:32" ht="11.25" customHeight="1">
      <c r="B353" s="141" t="s">
        <v>1880</v>
      </c>
      <c r="C353" s="142"/>
      <c r="D353" s="1599"/>
      <c r="E353" s="1599"/>
      <c r="F353" s="1599"/>
      <c r="G353" s="1599"/>
      <c r="H353" s="1599"/>
      <c r="I353" s="1599"/>
      <c r="J353" s="1599"/>
      <c r="K353" s="1599"/>
      <c r="L353" s="1599"/>
      <c r="M353" s="1599"/>
      <c r="N353" s="1599"/>
      <c r="O353" s="1599"/>
      <c r="P353" s="1599"/>
      <c r="Q353" s="1599"/>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92"/>
      <c r="B355" s="1596"/>
      <c r="C355" s="1599"/>
      <c r="D355" s="1599"/>
      <c r="E355" s="1599"/>
      <c r="F355" s="1599"/>
      <c r="G355" s="1599"/>
      <c r="H355" s="1599"/>
      <c r="I355" s="1599"/>
      <c r="J355" s="1599"/>
      <c r="K355" s="1599"/>
      <c r="L355" s="1599"/>
      <c r="M355" s="1599"/>
      <c r="N355" s="1599"/>
      <c r="O355" s="1599"/>
      <c r="P355" s="1599"/>
      <c r="Q355" s="955"/>
      <c r="R355" s="8"/>
      <c r="S355" s="8"/>
    </row>
    <row r="356" spans="1:32" ht="14.1" customHeight="1">
      <c r="A356" s="1593" t="s">
        <v>4155</v>
      </c>
      <c r="B356" s="4" t="s">
        <v>4122</v>
      </c>
      <c r="C356" s="4"/>
      <c r="D356" s="4"/>
      <c r="E356" s="4"/>
      <c r="F356" s="4"/>
      <c r="G356" s="4"/>
      <c r="H356" s="1599"/>
      <c r="I356" s="1599"/>
      <c r="J356" s="1599"/>
      <c r="K356" s="1599"/>
      <c r="L356" s="1599"/>
      <c r="M356" s="1599"/>
      <c r="O356" s="136" t="s">
        <v>1881</v>
      </c>
      <c r="P356" s="1918"/>
      <c r="Q356" s="1904"/>
    </row>
    <row r="357" spans="1:32" ht="10.5" customHeight="1">
      <c r="A357" s="48" t="s">
        <v>1999</v>
      </c>
      <c r="B357" s="139" t="s">
        <v>4123</v>
      </c>
      <c r="D357" s="155"/>
      <c r="E357" s="155"/>
      <c r="F357" s="155"/>
      <c r="G357" s="155"/>
      <c r="H357" s="484" t="s">
        <v>1999</v>
      </c>
      <c r="I357" s="3132"/>
      <c r="J357" s="3133"/>
      <c r="K357" s="3133"/>
      <c r="L357" s="3133"/>
      <c r="M357" s="3133"/>
      <c r="N357" s="3133"/>
      <c r="O357" s="3133"/>
      <c r="P357" s="3134"/>
      <c r="Q357" s="559"/>
    </row>
    <row r="358" spans="1:32" ht="10.5" customHeight="1">
      <c r="A358" s="146" t="s">
        <v>2001</v>
      </c>
      <c r="B358" s="139" t="s">
        <v>4124</v>
      </c>
      <c r="D358" s="155"/>
      <c r="E358" s="155"/>
      <c r="F358" s="155"/>
      <c r="G358" s="155"/>
      <c r="H358" s="166" t="s">
        <v>2001</v>
      </c>
      <c r="I358" s="3132"/>
      <c r="J358" s="3133"/>
      <c r="K358" s="3133"/>
      <c r="L358" s="3133"/>
      <c r="M358" s="3133"/>
      <c r="N358" s="3133"/>
      <c r="O358" s="3133"/>
      <c r="P358" s="3134"/>
      <c r="Q358" s="559"/>
    </row>
    <row r="359" spans="1:32" ht="21.75" customHeight="1">
      <c r="A359" s="146" t="s">
        <v>757</v>
      </c>
      <c r="B359" s="1920" t="s">
        <v>4114</v>
      </c>
      <c r="C359" s="1920"/>
      <c r="D359" s="1920"/>
      <c r="E359" s="1920"/>
      <c r="F359" s="1920"/>
      <c r="G359" s="1920"/>
      <c r="H359" s="1920"/>
      <c r="I359" s="1920"/>
      <c r="J359" s="1920"/>
      <c r="K359" s="1920"/>
      <c r="L359" s="1920"/>
      <c r="M359" s="1920"/>
      <c r="N359" s="1920"/>
      <c r="O359" s="166" t="s">
        <v>757</v>
      </c>
      <c r="P359" s="3103"/>
      <c r="Q359" s="1261"/>
    </row>
    <row r="360" spans="1:32" ht="21.75" customHeight="1">
      <c r="A360" s="146" t="s">
        <v>2131</v>
      </c>
      <c r="B360" s="1892" t="s">
        <v>4115</v>
      </c>
      <c r="C360" s="1892"/>
      <c r="D360" s="1892"/>
      <c r="E360" s="1892"/>
      <c r="F360" s="1892"/>
      <c r="G360" s="1892"/>
      <c r="H360" s="1892"/>
      <c r="I360" s="1892"/>
      <c r="J360" s="1892"/>
      <c r="K360" s="1892"/>
      <c r="L360" s="1892"/>
      <c r="M360" s="1892"/>
      <c r="N360" s="1892"/>
      <c r="O360" s="484" t="s">
        <v>2131</v>
      </c>
      <c r="P360" s="3151"/>
      <c r="Q360" s="564"/>
    </row>
    <row r="361" spans="1:32" ht="10.5" customHeight="1">
      <c r="A361" s="146" t="s">
        <v>1748</v>
      </c>
      <c r="B361" s="53" t="s">
        <v>4116</v>
      </c>
      <c r="D361" s="53"/>
      <c r="E361" s="53"/>
      <c r="F361" s="53"/>
      <c r="G361" s="53"/>
      <c r="H361" s="53"/>
      <c r="I361" s="53"/>
      <c r="J361" s="53"/>
      <c r="K361" s="53"/>
      <c r="L361" s="53"/>
      <c r="M361" s="53"/>
      <c r="O361" s="166" t="s">
        <v>1748</v>
      </c>
      <c r="P361" s="2935"/>
      <c r="Q361" s="562"/>
    </row>
    <row r="362" spans="1:32" s="137" customFormat="1" ht="21.75" customHeight="1">
      <c r="A362" s="146" t="s">
        <v>1749</v>
      </c>
      <c r="B362" s="1892" t="s">
        <v>4117</v>
      </c>
      <c r="C362" s="1892"/>
      <c r="D362" s="1892"/>
      <c r="E362" s="1892"/>
      <c r="F362" s="1892"/>
      <c r="G362" s="1892"/>
      <c r="H362" s="1892"/>
      <c r="I362" s="1892"/>
      <c r="J362" s="1892"/>
      <c r="K362" s="1892"/>
      <c r="L362" s="1892"/>
      <c r="M362" s="1892"/>
      <c r="N362" s="1892"/>
      <c r="O362" s="166" t="s">
        <v>1749</v>
      </c>
      <c r="P362" s="3196"/>
      <c r="Q362" s="933"/>
      <c r="AE362" s="487"/>
      <c r="AF362" s="487"/>
    </row>
    <row r="363" spans="1:32" s="137" customFormat="1" ht="10.5" customHeight="1">
      <c r="A363" s="146" t="s">
        <v>1962</v>
      </c>
      <c r="B363" s="144" t="s">
        <v>4118</v>
      </c>
      <c r="D363" s="957"/>
      <c r="E363" s="957"/>
      <c r="F363" s="957"/>
      <c r="G363" s="957"/>
      <c r="H363" s="957"/>
      <c r="I363" s="957"/>
      <c r="J363" s="957"/>
      <c r="K363" s="957"/>
      <c r="L363" s="957"/>
      <c r="M363" s="957"/>
      <c r="N363" s="957"/>
      <c r="O363" s="166" t="s">
        <v>1962</v>
      </c>
      <c r="P363" s="3072"/>
      <c r="Q363" s="1261"/>
      <c r="AE363" s="487"/>
      <c r="AF363" s="487"/>
    </row>
    <row r="364" spans="1:32" s="137" customFormat="1" ht="10.5" customHeight="1">
      <c r="C364" s="932" t="s">
        <v>3859</v>
      </c>
      <c r="E364" s="1599"/>
      <c r="F364" s="1599"/>
      <c r="G364" s="1599"/>
      <c r="H364" s="1599"/>
      <c r="I364" s="1599"/>
      <c r="J364" s="1599"/>
      <c r="K364" s="1599"/>
      <c r="L364" s="1599"/>
      <c r="M364" s="1599"/>
      <c r="N364" s="1599"/>
      <c r="P364" s="3095"/>
      <c r="Q364" s="1282"/>
      <c r="AE364" s="487"/>
      <c r="AF364" s="487"/>
    </row>
    <row r="365" spans="1:32" ht="21.75" customHeight="1">
      <c r="A365" s="146" t="s">
        <v>3390</v>
      </c>
      <c r="B365" s="1892" t="s">
        <v>4119</v>
      </c>
      <c r="C365" s="1892"/>
      <c r="D365" s="1892"/>
      <c r="E365" s="1892"/>
      <c r="F365" s="1892"/>
      <c r="G365" s="1892"/>
      <c r="H365" s="1892"/>
      <c r="I365" s="1892"/>
      <c r="J365" s="1892"/>
      <c r="K365" s="1892"/>
      <c r="L365" s="1892"/>
      <c r="M365" s="1892"/>
      <c r="N365" s="1892"/>
      <c r="O365" s="166" t="s">
        <v>3390</v>
      </c>
      <c r="P365" s="3072"/>
      <c r="Q365" s="1261"/>
    </row>
    <row r="366" spans="1:32" ht="33" customHeight="1">
      <c r="A366" s="146" t="s">
        <v>622</v>
      </c>
      <c r="B366" s="1892" t="s">
        <v>4120</v>
      </c>
      <c r="C366" s="1892"/>
      <c r="D366" s="1892"/>
      <c r="E366" s="1892"/>
      <c r="F366" s="1892"/>
      <c r="G366" s="1892"/>
      <c r="H366" s="1892"/>
      <c r="I366" s="1892"/>
      <c r="J366" s="1892"/>
      <c r="K366" s="1892"/>
      <c r="L366" s="1892"/>
      <c r="M366" s="1892"/>
      <c r="N366" s="1892"/>
      <c r="O366" s="166" t="s">
        <v>622</v>
      </c>
      <c r="P366" s="3095"/>
      <c r="Q366" s="1282"/>
    </row>
    <row r="367" spans="1:32" ht="10.5" customHeight="1">
      <c r="B367" s="145" t="s">
        <v>3778</v>
      </c>
      <c r="D367" s="145"/>
      <c r="E367" s="145"/>
      <c r="F367" s="145"/>
      <c r="G367" s="145"/>
      <c r="H367" s="41"/>
      <c r="I367" s="1596"/>
      <c r="J367" s="1596"/>
      <c r="K367" s="1596"/>
      <c r="L367" s="1592"/>
      <c r="M367" s="1592"/>
      <c r="N367" s="1592"/>
      <c r="O367" s="1592"/>
      <c r="P367" s="1592"/>
      <c r="Q367" s="955"/>
    </row>
    <row r="368" spans="1:32" ht="31.5" customHeight="1">
      <c r="A368" s="3114" t="s">
        <v>4737</v>
      </c>
      <c r="B368" s="3115"/>
      <c r="C368" s="3115"/>
      <c r="D368" s="3115"/>
      <c r="E368" s="3115"/>
      <c r="F368" s="3115"/>
      <c r="G368" s="3115"/>
      <c r="H368" s="3115"/>
      <c r="I368" s="3115"/>
      <c r="J368" s="3115"/>
      <c r="K368" s="3115"/>
      <c r="L368" s="3115"/>
      <c r="M368" s="3115"/>
      <c r="N368" s="3115"/>
      <c r="O368" s="3115"/>
      <c r="P368" s="3115"/>
      <c r="Q368" s="3116"/>
      <c r="U368" s="140"/>
      <c r="V368" s="140"/>
      <c r="W368" s="140"/>
      <c r="X368" s="140"/>
      <c r="Y368" s="140"/>
      <c r="Z368" s="140"/>
      <c r="AA368" s="140"/>
      <c r="AB368" s="140"/>
      <c r="AC368" s="140"/>
      <c r="AD368" s="140"/>
      <c r="AE368" s="486"/>
    </row>
    <row r="369" spans="1:32" ht="10.5" customHeight="1">
      <c r="B369" s="141" t="s">
        <v>1880</v>
      </c>
      <c r="C369" s="142"/>
      <c r="D369" s="1599"/>
      <c r="E369" s="1599"/>
      <c r="F369" s="1599"/>
      <c r="G369" s="1599"/>
      <c r="H369" s="1599"/>
      <c r="I369" s="1599"/>
      <c r="J369" s="1599"/>
      <c r="K369" s="1599"/>
      <c r="L369" s="1599"/>
      <c r="M369" s="1599"/>
      <c r="N369" s="1599"/>
      <c r="O369" s="1599"/>
      <c r="P369" s="1599"/>
      <c r="Q369" s="1599"/>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92"/>
      <c r="B371" s="1596"/>
      <c r="C371" s="1599"/>
      <c r="D371" s="1599"/>
      <c r="E371" s="1599"/>
      <c r="F371" s="1599"/>
      <c r="G371" s="1599"/>
      <c r="H371" s="1599"/>
      <c r="I371" s="1599"/>
      <c r="J371" s="1599"/>
      <c r="K371" s="1599"/>
      <c r="L371" s="1599"/>
      <c r="M371" s="1599"/>
      <c r="Q371" s="955"/>
    </row>
    <row r="372" spans="1:32" ht="14.1" customHeight="1">
      <c r="A372" s="1593" t="s">
        <v>4156</v>
      </c>
      <c r="B372" s="4" t="s">
        <v>3946</v>
      </c>
      <c r="C372" s="4"/>
      <c r="D372" s="4"/>
      <c r="E372" s="4"/>
      <c r="F372" s="4"/>
      <c r="G372" s="4"/>
      <c r="H372" s="1599"/>
      <c r="I372" s="1599"/>
      <c r="J372" s="1599"/>
      <c r="O372" s="136" t="s">
        <v>1881</v>
      </c>
      <c r="P372" s="1897"/>
      <c r="Q372" s="1904"/>
    </row>
    <row r="373" spans="1:32" s="43" customFormat="1" ht="10.5" customHeight="1">
      <c r="A373" s="48" t="s">
        <v>1999</v>
      </c>
      <c r="B373" s="656" t="s">
        <v>3948</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4173</v>
      </c>
      <c r="D374" s="1921"/>
      <c r="E374" s="1921"/>
      <c r="F374" s="1922"/>
      <c r="G374" s="3132"/>
      <c r="H374" s="3133"/>
      <c r="I374" s="3134"/>
      <c r="J374" s="1596" t="s">
        <v>3955</v>
      </c>
      <c r="K374" s="3132"/>
      <c r="L374" s="3133"/>
      <c r="M374" s="3134"/>
      <c r="N374" s="1907" t="s">
        <v>3947</v>
      </c>
      <c r="O374" s="1908"/>
      <c r="P374" s="3197"/>
      <c r="Q374" s="3198"/>
      <c r="AE374" s="51"/>
      <c r="AF374" s="51"/>
    </row>
    <row r="375" spans="1:32" s="43" customFormat="1" ht="10.5" customHeight="1">
      <c r="B375" s="37" t="s">
        <v>1751</v>
      </c>
      <c r="C375" s="53" t="s">
        <v>3949</v>
      </c>
      <c r="I375" s="484" t="s">
        <v>1751</v>
      </c>
      <c r="J375" s="3199"/>
      <c r="K375" s="3200"/>
      <c r="AE375" s="51"/>
      <c r="AF375" s="51"/>
    </row>
    <row r="376" spans="1:32" s="43" customFormat="1" ht="10.5" customHeight="1">
      <c r="A376" s="48"/>
      <c r="B376" s="37" t="s">
        <v>1752</v>
      </c>
      <c r="C376" s="53" t="s">
        <v>3950</v>
      </c>
      <c r="D376" s="47"/>
      <c r="E376" s="138"/>
      <c r="F376" s="1911" t="str">
        <f>'Part I-Project Information'!K40</f>
        <v>Urban</v>
      </c>
      <c r="G376" s="1912"/>
      <c r="H376" s="1601" t="s">
        <v>3951</v>
      </c>
      <c r="I376" s="138"/>
      <c r="J376" s="138"/>
      <c r="K376" s="138"/>
      <c r="L376" s="138"/>
      <c r="M376" s="138"/>
      <c r="N376" s="138"/>
      <c r="O376" s="484" t="s">
        <v>1752</v>
      </c>
      <c r="P376" s="2929"/>
      <c r="Q376" s="561"/>
      <c r="AE376" s="51"/>
      <c r="AF376" s="51"/>
    </row>
    <row r="377" spans="1:32" s="43" customFormat="1" ht="10.5" customHeight="1">
      <c r="A377" s="48"/>
      <c r="B377" s="37" t="s">
        <v>2381</v>
      </c>
      <c r="C377" s="53" t="s">
        <v>3952</v>
      </c>
      <c r="E377" s="138"/>
      <c r="F377" s="138"/>
      <c r="G377" s="138"/>
      <c r="H377" s="138"/>
      <c r="I377" s="138"/>
      <c r="J377" s="3201"/>
      <c r="K377" s="3202"/>
      <c r="L377" s="1913"/>
      <c r="M377" s="1914"/>
      <c r="N377" s="53" t="s">
        <v>3962</v>
      </c>
      <c r="O377" s="484"/>
      <c r="P377" s="2935"/>
      <c r="Q377" s="562"/>
      <c r="AE377" s="51"/>
      <c r="AF377" s="51"/>
    </row>
    <row r="378" spans="1:32" s="43" customFormat="1" ht="10.5" customHeight="1">
      <c r="A378" s="48"/>
      <c r="B378" s="37" t="s">
        <v>1561</v>
      </c>
      <c r="C378" s="53" t="s">
        <v>3953</v>
      </c>
      <c r="E378" s="53"/>
      <c r="F378" s="1909">
        <f>'Part IV-A-Uses of Funds'!J173</f>
        <v>950000</v>
      </c>
      <c r="G378" s="1910"/>
      <c r="H378" s="53" t="s">
        <v>3954</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3956</v>
      </c>
      <c r="E379" s="53"/>
      <c r="F379" s="53"/>
      <c r="G379" s="53"/>
      <c r="H379" s="53" t="s">
        <v>3616</v>
      </c>
      <c r="I379" s="53"/>
      <c r="J379" s="3201"/>
      <c r="K379" s="3202"/>
      <c r="L379" s="53" t="s">
        <v>3957</v>
      </c>
      <c r="M379" s="1913"/>
      <c r="N379" s="1914"/>
      <c r="AE379" s="51"/>
      <c r="AF379" s="51"/>
    </row>
    <row r="380" spans="1:32" s="43" customFormat="1" ht="10.5" customHeight="1">
      <c r="B380" s="37" t="s">
        <v>99</v>
      </c>
      <c r="C380" s="53" t="s">
        <v>3958</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3959</v>
      </c>
      <c r="D382" s="138"/>
      <c r="E382" s="138"/>
      <c r="F382" s="138"/>
      <c r="G382" s="138"/>
      <c r="H382" s="138"/>
      <c r="J382" s="1919" t="s">
        <v>3964</v>
      </c>
      <c r="K382" s="1919"/>
      <c r="L382" s="1919"/>
      <c r="M382" s="1919"/>
      <c r="N382" s="1917" t="s">
        <v>3961</v>
      </c>
      <c r="O382" s="1917"/>
      <c r="P382" s="138"/>
      <c r="Q382" s="138"/>
      <c r="R382" s="138"/>
      <c r="AE382" s="51"/>
      <c r="AF382" s="51"/>
    </row>
    <row r="383" spans="1:32" s="43" customFormat="1" ht="10.5" customHeight="1">
      <c r="B383" s="37" t="s">
        <v>1750</v>
      </c>
      <c r="C383" s="956" t="s">
        <v>3960</v>
      </c>
      <c r="E383" s="1601"/>
      <c r="F383" s="1601"/>
      <c r="G383" s="1601"/>
      <c r="H383" s="1601"/>
      <c r="J383" s="3203"/>
      <c r="K383" s="3204"/>
      <c r="L383" s="1915"/>
      <c r="M383" s="1916"/>
      <c r="N383" s="1208" t="str">
        <f>IF(J383="","",J377/J383)</f>
        <v/>
      </c>
      <c r="O383" s="1209" t="str">
        <f>IF(L383="","",L377/L383)</f>
        <v/>
      </c>
      <c r="P383" s="2929"/>
      <c r="Q383" s="561"/>
      <c r="AE383" s="51"/>
      <c r="AF383" s="51"/>
    </row>
    <row r="384" spans="1:32" s="43" customFormat="1" ht="10.5" customHeight="1">
      <c r="B384" s="37" t="s">
        <v>1751</v>
      </c>
      <c r="C384" s="53" t="s">
        <v>3963</v>
      </c>
      <c r="E384" s="138"/>
      <c r="F384" s="138"/>
      <c r="G384" s="138"/>
      <c r="H384" s="138"/>
      <c r="N384" s="138"/>
      <c r="O384" s="484" t="s">
        <v>1751</v>
      </c>
      <c r="P384" s="3205"/>
      <c r="Q384" s="1454"/>
      <c r="AE384" s="51"/>
      <c r="AF384" s="51"/>
    </row>
    <row r="385" spans="1:32" s="43" customFormat="1" ht="10.5" customHeight="1">
      <c r="B385" s="37" t="s">
        <v>1752</v>
      </c>
      <c r="C385" s="53" t="s">
        <v>3965</v>
      </c>
      <c r="E385" s="138"/>
      <c r="F385" s="138"/>
      <c r="G385" s="138"/>
      <c r="H385" s="138"/>
      <c r="M385" s="138"/>
      <c r="N385" s="138"/>
      <c r="O385" s="484" t="s">
        <v>1752</v>
      </c>
      <c r="P385" s="2928"/>
      <c r="Q385" s="563"/>
      <c r="AE385" s="51"/>
      <c r="AF385" s="51"/>
    </row>
    <row r="386" spans="1:32" ht="10.5" customHeight="1">
      <c r="B386" s="145" t="s">
        <v>3778</v>
      </c>
      <c r="D386" s="145"/>
      <c r="E386" s="145"/>
      <c r="F386" s="145"/>
      <c r="G386" s="145"/>
      <c r="H386" s="41"/>
      <c r="I386" s="1596"/>
      <c r="J386" s="1596"/>
      <c r="K386" s="1596"/>
      <c r="L386" s="1592"/>
      <c r="M386" s="1592"/>
      <c r="N386" s="1592"/>
      <c r="O386" s="1592"/>
      <c r="P386" s="1592"/>
      <c r="Q386" s="955"/>
    </row>
    <row r="387" spans="1:32" ht="31.5" customHeight="1">
      <c r="A387" s="3114" t="s">
        <v>4651</v>
      </c>
      <c r="B387" s="3115"/>
      <c r="C387" s="3115"/>
      <c r="D387" s="3115"/>
      <c r="E387" s="3115"/>
      <c r="F387" s="3115"/>
      <c r="G387" s="3115"/>
      <c r="H387" s="3115"/>
      <c r="I387" s="3115"/>
      <c r="J387" s="3115"/>
      <c r="K387" s="3115"/>
      <c r="L387" s="3115"/>
      <c r="M387" s="3115"/>
      <c r="N387" s="3115"/>
      <c r="O387" s="3115"/>
      <c r="P387" s="3115"/>
      <c r="Q387" s="3116"/>
      <c r="U387" s="140"/>
      <c r="V387" s="140"/>
      <c r="W387" s="140"/>
      <c r="X387" s="140"/>
      <c r="Y387" s="140"/>
      <c r="Z387" s="140"/>
      <c r="AA387" s="140"/>
      <c r="AB387" s="140"/>
      <c r="AC387" s="140"/>
      <c r="AD387" s="140"/>
      <c r="AE387" s="486"/>
    </row>
    <row r="388" spans="1:32" ht="11.25" customHeight="1">
      <c r="B388" s="141" t="s">
        <v>1880</v>
      </c>
      <c r="C388" s="142"/>
      <c r="D388" s="1599"/>
      <c r="E388" s="1599"/>
      <c r="F388" s="1599"/>
      <c r="G388" s="1599"/>
      <c r="H388" s="1599"/>
      <c r="I388" s="1599"/>
      <c r="J388" s="1599"/>
      <c r="K388" s="1599"/>
      <c r="L388" s="1599"/>
      <c r="M388" s="1599"/>
      <c r="N388" s="1599"/>
      <c r="O388" s="1599"/>
      <c r="P388" s="1599"/>
      <c r="Q388" s="1599"/>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92"/>
      <c r="B390" s="1596"/>
      <c r="C390" s="1599"/>
      <c r="D390" s="1599"/>
      <c r="E390" s="1599"/>
      <c r="F390" s="1599"/>
      <c r="G390" s="1599"/>
      <c r="H390" s="1599"/>
      <c r="I390" s="1599"/>
      <c r="J390" s="1599"/>
      <c r="K390" s="1599"/>
      <c r="L390" s="1599"/>
      <c r="M390" s="1599"/>
      <c r="Q390" s="955"/>
    </row>
    <row r="391" spans="1:32" ht="3" customHeight="1">
      <c r="A391" s="1592"/>
      <c r="B391" s="1596"/>
      <c r="C391" s="1599"/>
      <c r="D391" s="1599"/>
      <c r="E391" s="1599"/>
      <c r="F391" s="1599"/>
      <c r="G391" s="1599"/>
      <c r="H391" s="1599"/>
      <c r="I391" s="1599"/>
      <c r="J391" s="1599"/>
      <c r="K391" s="1599"/>
      <c r="L391" s="1599"/>
      <c r="M391" s="1599"/>
      <c r="Q391" s="955"/>
    </row>
    <row r="392" spans="1:32" ht="14.1" customHeight="1">
      <c r="A392" s="1593" t="s">
        <v>4157</v>
      </c>
      <c r="B392" s="4" t="s">
        <v>2701</v>
      </c>
      <c r="C392" s="4"/>
      <c r="D392" s="4"/>
      <c r="E392" s="4"/>
      <c r="F392" s="4"/>
      <c r="G392" s="4"/>
      <c r="H392" s="1599"/>
      <c r="I392" s="1599"/>
      <c r="J392" s="1599"/>
      <c r="O392" s="136" t="s">
        <v>1881</v>
      </c>
      <c r="P392" s="1897"/>
      <c r="Q392" s="1904"/>
    </row>
    <row r="393" spans="1:32" ht="11.45" customHeight="1">
      <c r="A393" s="48" t="s">
        <v>1999</v>
      </c>
      <c r="B393" s="121" t="s">
        <v>1044</v>
      </c>
      <c r="E393" s="3206"/>
      <c r="F393" s="3207"/>
      <c r="G393" s="3207"/>
      <c r="H393" s="3207"/>
      <c r="I393" s="3208"/>
      <c r="J393" s="1907" t="s">
        <v>2688</v>
      </c>
      <c r="K393" s="1986"/>
      <c r="L393" s="1908"/>
      <c r="M393" s="3206"/>
      <c r="N393" s="3207"/>
      <c r="O393" s="3207"/>
      <c r="P393" s="3207"/>
      <c r="Q393" s="3208"/>
    </row>
    <row r="394" spans="1:32" ht="11.45" customHeight="1">
      <c r="A394" s="48" t="s">
        <v>2001</v>
      </c>
      <c r="B394" s="53" t="s">
        <v>3485</v>
      </c>
      <c r="D394" s="53"/>
      <c r="E394" s="53"/>
      <c r="F394" s="53"/>
      <c r="G394" s="53"/>
      <c r="H394" s="53"/>
      <c r="I394" s="53"/>
      <c r="J394" s="53"/>
      <c r="K394" s="53"/>
      <c r="L394" s="956"/>
      <c r="M394" s="956"/>
      <c r="O394" s="484" t="s">
        <v>2001</v>
      </c>
      <c r="P394" s="2929"/>
      <c r="Q394" s="561"/>
    </row>
    <row r="395" spans="1:32" ht="22.5" customHeight="1">
      <c r="A395" s="146" t="s">
        <v>757</v>
      </c>
      <c r="B395" s="1892" t="s">
        <v>3495</v>
      </c>
      <c r="C395" s="1892"/>
      <c r="D395" s="1892"/>
      <c r="E395" s="1892"/>
      <c r="F395" s="1892"/>
      <c r="G395" s="1892"/>
      <c r="H395" s="1892"/>
      <c r="I395" s="1892"/>
      <c r="J395" s="1892"/>
      <c r="K395" s="1892"/>
      <c r="L395" s="1892"/>
      <c r="M395" s="1892"/>
      <c r="N395" s="1892"/>
      <c r="O395" s="166" t="s">
        <v>757</v>
      </c>
      <c r="P395" s="3151"/>
      <c r="Q395" s="564"/>
    </row>
    <row r="396" spans="1:32">
      <c r="A396" s="48" t="s">
        <v>2131</v>
      </c>
      <c r="B396" s="56" t="s">
        <v>3723</v>
      </c>
      <c r="G396" s="1601"/>
      <c r="H396" s="1601"/>
      <c r="I396" s="1601"/>
      <c r="J396" s="956" t="s">
        <v>3724</v>
      </c>
      <c r="L396" s="1601"/>
      <c r="M396" s="1987">
        <f>'Part III-Sources of Funds'!E11</f>
        <v>0</v>
      </c>
      <c r="N396" s="1988"/>
      <c r="O396" s="484" t="s">
        <v>2131</v>
      </c>
      <c r="P396" s="2928"/>
      <c r="Q396" s="563"/>
    </row>
    <row r="397" spans="1:32" ht="11.25" customHeight="1">
      <c r="B397" s="145" t="s">
        <v>3778</v>
      </c>
      <c r="D397" s="145"/>
      <c r="E397" s="145"/>
      <c r="F397" s="145"/>
      <c r="G397" s="145"/>
      <c r="H397" s="41"/>
      <c r="I397" s="1596"/>
      <c r="J397" s="1596"/>
      <c r="K397" s="1596"/>
      <c r="L397" s="1592"/>
      <c r="M397" s="1592"/>
      <c r="N397" s="1592"/>
      <c r="O397" s="1592"/>
      <c r="P397" s="1592"/>
      <c r="Q397" s="955"/>
    </row>
    <row r="398" spans="1:32" ht="11.45" customHeight="1">
      <c r="A398" s="3114" t="s">
        <v>4652</v>
      </c>
      <c r="B398" s="3115"/>
      <c r="C398" s="3115"/>
      <c r="D398" s="3115"/>
      <c r="E398" s="3115"/>
      <c r="F398" s="3115"/>
      <c r="G398" s="3115"/>
      <c r="H398" s="3115"/>
      <c r="I398" s="3115"/>
      <c r="J398" s="3115"/>
      <c r="K398" s="3115"/>
      <c r="L398" s="3115"/>
      <c r="M398" s="3115"/>
      <c r="N398" s="3115"/>
      <c r="O398" s="3115"/>
      <c r="P398" s="3115"/>
      <c r="Q398" s="3116"/>
      <c r="U398" s="140"/>
      <c r="V398" s="140"/>
      <c r="W398" s="140"/>
      <c r="X398" s="140"/>
      <c r="Y398" s="140"/>
      <c r="Z398" s="140"/>
      <c r="AA398" s="140"/>
      <c r="AB398" s="140"/>
      <c r="AC398" s="140"/>
      <c r="AD398" s="140"/>
      <c r="AE398" s="486"/>
    </row>
    <row r="399" spans="1:32" ht="11.25" customHeight="1">
      <c r="B399" s="141" t="s">
        <v>1880</v>
      </c>
      <c r="C399" s="142"/>
      <c r="D399" s="1599"/>
      <c r="E399" s="1599"/>
      <c r="F399" s="1599"/>
      <c r="G399" s="1599"/>
      <c r="H399" s="1599"/>
      <c r="I399" s="1599"/>
      <c r="J399" s="1599"/>
      <c r="K399" s="1599"/>
      <c r="L399" s="1599"/>
      <c r="M399" s="1599"/>
      <c r="N399" s="1599"/>
      <c r="O399" s="1599"/>
      <c r="P399" s="1599"/>
      <c r="Q399" s="1599"/>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92"/>
      <c r="B401" s="1596"/>
      <c r="C401" s="1599"/>
      <c r="D401" s="1599"/>
      <c r="E401" s="1599"/>
      <c r="F401" s="1599"/>
      <c r="G401" s="1599"/>
      <c r="H401" s="1599"/>
      <c r="I401" s="1599"/>
      <c r="J401" s="1599"/>
      <c r="K401" s="1599"/>
      <c r="L401" s="1599"/>
      <c r="M401" s="1599"/>
      <c r="Q401" s="955"/>
    </row>
    <row r="402" spans="1:31" ht="14.1" customHeight="1">
      <c r="A402" s="1593" t="s">
        <v>4158</v>
      </c>
      <c r="B402" s="4" t="s">
        <v>2685</v>
      </c>
      <c r="C402" s="4"/>
      <c r="D402" s="4"/>
      <c r="E402" s="1599"/>
      <c r="G402" s="144" t="s">
        <v>708</v>
      </c>
      <c r="H402" s="1599"/>
      <c r="I402" s="1599"/>
      <c r="J402" s="1599"/>
      <c r="K402" s="1599"/>
      <c r="L402" s="1599"/>
      <c r="M402" s="1599"/>
      <c r="O402" s="136" t="s">
        <v>1881</v>
      </c>
      <c r="P402" s="1897"/>
      <c r="Q402" s="1898"/>
    </row>
    <row r="403" spans="1:31" ht="12" customHeight="1">
      <c r="A403" s="48" t="s">
        <v>1999</v>
      </c>
      <c r="B403" s="53" t="s">
        <v>2690</v>
      </c>
      <c r="D403" s="957"/>
      <c r="E403" s="957"/>
      <c r="H403" s="144"/>
      <c r="O403" s="484" t="s">
        <v>1999</v>
      </c>
      <c r="P403" s="2929" t="s">
        <v>3012</v>
      </c>
      <c r="Q403" s="561"/>
    </row>
    <row r="404" spans="1:31" ht="12" customHeight="1">
      <c r="A404" s="48" t="s">
        <v>2001</v>
      </c>
      <c r="B404" s="53" t="s">
        <v>3606</v>
      </c>
      <c r="D404" s="957"/>
      <c r="E404" s="957"/>
      <c r="O404" s="484" t="s">
        <v>2001</v>
      </c>
      <c r="P404" s="2935" t="s">
        <v>3012</v>
      </c>
      <c r="Q404" s="562"/>
    </row>
    <row r="405" spans="1:31" ht="12" customHeight="1">
      <c r="A405" s="48" t="s">
        <v>757</v>
      </c>
      <c r="B405" s="53" t="s">
        <v>4121</v>
      </c>
      <c r="D405" s="957"/>
      <c r="E405" s="957"/>
      <c r="O405" s="484" t="s">
        <v>757</v>
      </c>
      <c r="P405" s="2935" t="s">
        <v>3012</v>
      </c>
      <c r="Q405" s="562"/>
    </row>
    <row r="406" spans="1:31" ht="12" customHeight="1">
      <c r="A406" s="48" t="s">
        <v>2131</v>
      </c>
      <c r="B406" s="53" t="s">
        <v>3607</v>
      </c>
      <c r="E406" s="144"/>
      <c r="O406" s="484" t="s">
        <v>2131</v>
      </c>
      <c r="P406" s="2935" t="s">
        <v>3009</v>
      </c>
      <c r="Q406" s="562"/>
    </row>
    <row r="407" spans="1:31" ht="12" customHeight="1">
      <c r="A407" s="48" t="s">
        <v>1748</v>
      </c>
      <c r="B407" s="53" t="s">
        <v>2095</v>
      </c>
      <c r="E407" s="144"/>
      <c r="G407" s="484" t="s">
        <v>1748</v>
      </c>
      <c r="H407" s="3209" t="s">
        <v>4738</v>
      </c>
      <c r="I407" s="3210"/>
      <c r="J407" s="3210"/>
      <c r="K407" s="3210"/>
      <c r="L407" s="3210"/>
      <c r="M407" s="3210"/>
      <c r="N407" s="3210"/>
      <c r="O407" s="3211"/>
      <c r="P407" s="2928" t="s">
        <v>3009</v>
      </c>
      <c r="Q407" s="563"/>
    </row>
    <row r="408" spans="1:31" ht="11.25" customHeight="1">
      <c r="B408" s="145" t="s">
        <v>3778</v>
      </c>
      <c r="D408" s="145"/>
      <c r="E408" s="145"/>
      <c r="F408" s="145"/>
      <c r="G408" s="145"/>
      <c r="H408" s="41"/>
      <c r="I408" s="1596"/>
      <c r="J408" s="1596"/>
      <c r="K408" s="1596"/>
      <c r="L408" s="1592"/>
      <c r="M408" s="1592"/>
      <c r="N408" s="1592"/>
      <c r="O408" s="1592"/>
      <c r="P408" s="1592"/>
      <c r="Q408" s="955"/>
    </row>
    <row r="409" spans="1:31" ht="11.45" customHeight="1">
      <c r="A409" s="3114" t="s">
        <v>4653</v>
      </c>
      <c r="B409" s="3115"/>
      <c r="C409" s="3115"/>
      <c r="D409" s="3115"/>
      <c r="E409" s="3115"/>
      <c r="F409" s="3115"/>
      <c r="G409" s="3115"/>
      <c r="H409" s="3115"/>
      <c r="I409" s="3115"/>
      <c r="J409" s="3115"/>
      <c r="K409" s="3115"/>
      <c r="L409" s="3115"/>
      <c r="M409" s="3115"/>
      <c r="N409" s="3115"/>
      <c r="O409" s="3115"/>
      <c r="P409" s="3115"/>
      <c r="Q409" s="3116"/>
      <c r="U409" s="140"/>
      <c r="V409" s="140"/>
      <c r="W409" s="140"/>
      <c r="X409" s="140"/>
      <c r="Y409" s="140"/>
      <c r="Z409" s="140"/>
      <c r="AA409" s="140"/>
      <c r="AB409" s="140"/>
      <c r="AC409" s="140"/>
      <c r="AD409" s="140"/>
      <c r="AE409" s="486"/>
    </row>
    <row r="410" spans="1:31" ht="11.25" customHeight="1">
      <c r="B410" s="141" t="s">
        <v>1880</v>
      </c>
      <c r="C410" s="142"/>
      <c r="D410" s="1599"/>
      <c r="E410" s="1599"/>
      <c r="F410" s="1599"/>
      <c r="G410" s="1599"/>
      <c r="H410" s="1599"/>
      <c r="I410" s="1599"/>
      <c r="J410" s="1599"/>
      <c r="K410" s="1599"/>
      <c r="L410" s="1599"/>
      <c r="M410" s="1599"/>
      <c r="N410" s="1599"/>
      <c r="O410" s="1599"/>
      <c r="P410" s="1599"/>
      <c r="Q410" s="1599"/>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92"/>
      <c r="B412" s="1596"/>
      <c r="C412" s="1599"/>
      <c r="D412" s="1599"/>
      <c r="E412" s="1599"/>
      <c r="F412" s="1599"/>
      <c r="G412" s="1599"/>
      <c r="H412" s="1599"/>
      <c r="I412" s="1599"/>
      <c r="J412" s="1599"/>
      <c r="K412" s="1599"/>
      <c r="L412" s="1599"/>
      <c r="M412" s="1599"/>
      <c r="N412" s="1599"/>
      <c r="O412" s="1599"/>
      <c r="P412" s="1599"/>
      <c r="Q412" s="1592"/>
    </row>
    <row r="413" spans="1:31" ht="14.1" customHeight="1">
      <c r="A413" s="1593" t="s">
        <v>4159</v>
      </c>
      <c r="B413" s="4" t="s">
        <v>2686</v>
      </c>
      <c r="C413" s="4"/>
      <c r="D413" s="4"/>
      <c r="E413" s="4"/>
      <c r="F413" s="4"/>
      <c r="G413" s="4"/>
      <c r="H413" s="1599"/>
      <c r="I413" s="1599"/>
      <c r="J413" s="1599"/>
      <c r="K413" s="1599"/>
      <c r="L413" s="1599"/>
      <c r="M413" s="1599"/>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t="s">
        <v>3012</v>
      </c>
      <c r="Q414" s="561"/>
    </row>
    <row r="415" spans="1:31" ht="12" customHeight="1">
      <c r="A415" s="48" t="s">
        <v>2001</v>
      </c>
      <c r="B415" s="37" t="s">
        <v>3497</v>
      </c>
      <c r="D415" s="43"/>
      <c r="E415" s="43"/>
      <c r="F415" s="43"/>
      <c r="G415" s="43"/>
      <c r="H415" s="43"/>
      <c r="I415" s="43"/>
      <c r="J415" s="43"/>
      <c r="K415" s="43"/>
      <c r="L415" s="43"/>
      <c r="M415" s="43"/>
      <c r="N415" s="43"/>
      <c r="O415" s="484" t="s">
        <v>1458</v>
      </c>
      <c r="P415" s="2928" t="s">
        <v>3012</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484" t="s">
        <v>1751</v>
      </c>
      <c r="P417" s="2929"/>
      <c r="Q417" s="561"/>
    </row>
    <row r="418" spans="1:32" s="152" customFormat="1" ht="12" customHeight="1">
      <c r="A418" s="48"/>
      <c r="B418" s="53" t="s">
        <v>3593</v>
      </c>
      <c r="C418" s="53" t="s">
        <v>3594</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12"/>
      <c r="H421" s="572"/>
      <c r="J421" s="139" t="s">
        <v>2221</v>
      </c>
      <c r="K421" s="956"/>
      <c r="N421" s="3212"/>
      <c r="O421" s="572"/>
    </row>
    <row r="422" spans="1:32" ht="12" customHeight="1">
      <c r="A422" s="48"/>
      <c r="B422" s="139" t="s">
        <v>2219</v>
      </c>
      <c r="C422" s="37"/>
      <c r="E422" s="43"/>
      <c r="F422" s="956"/>
      <c r="G422" s="3213"/>
      <c r="H422" s="573"/>
      <c r="J422" s="139" t="s">
        <v>2222</v>
      </c>
      <c r="K422" s="956"/>
      <c r="N422" s="3214"/>
      <c r="O422" s="574"/>
    </row>
    <row r="423" spans="1:32" ht="12" customHeight="1">
      <c r="A423" s="48"/>
      <c r="B423" s="139" t="s">
        <v>2220</v>
      </c>
      <c r="C423" s="37"/>
      <c r="E423" s="43"/>
      <c r="F423" s="956"/>
      <c r="G423" s="3214"/>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2269</v>
      </c>
      <c r="N426" s="3215"/>
      <c r="O426" s="3216"/>
      <c r="P426" s="3216"/>
      <c r="Q426" s="3217"/>
    </row>
    <row r="427" spans="1:32" ht="12" customHeight="1">
      <c r="B427" s="145" t="s">
        <v>3778</v>
      </c>
      <c r="D427" s="145"/>
      <c r="E427" s="145"/>
      <c r="F427" s="145"/>
      <c r="G427" s="145"/>
      <c r="H427" s="41"/>
      <c r="I427" s="1596"/>
      <c r="J427" s="1596"/>
      <c r="K427" s="1596"/>
      <c r="P427" s="1592"/>
      <c r="Q427" s="955"/>
    </row>
    <row r="428" spans="1:32" ht="27" customHeight="1">
      <c r="A428" s="3114" t="s">
        <v>4745</v>
      </c>
      <c r="B428" s="3115"/>
      <c r="C428" s="3115"/>
      <c r="D428" s="3115"/>
      <c r="E428" s="3115"/>
      <c r="F428" s="3115"/>
      <c r="G428" s="3115"/>
      <c r="H428" s="3115"/>
      <c r="I428" s="3115"/>
      <c r="J428" s="3115"/>
      <c r="K428" s="3115"/>
      <c r="L428" s="3115"/>
      <c r="M428" s="3115"/>
      <c r="N428" s="3115"/>
      <c r="O428" s="3115"/>
      <c r="P428" s="3115"/>
      <c r="Q428" s="3116"/>
      <c r="U428" s="140"/>
      <c r="V428" s="140"/>
      <c r="W428" s="140"/>
      <c r="X428" s="140"/>
      <c r="Y428" s="140"/>
      <c r="Z428" s="140"/>
      <c r="AA428" s="140"/>
      <c r="AB428" s="140"/>
      <c r="AC428" s="140"/>
      <c r="AD428" s="140"/>
      <c r="AE428" s="486"/>
    </row>
    <row r="429" spans="1:32" ht="12" customHeight="1">
      <c r="B429" s="141" t="s">
        <v>1880</v>
      </c>
      <c r="C429" s="142"/>
      <c r="D429" s="1599"/>
      <c r="E429" s="1599"/>
      <c r="F429" s="1599"/>
      <c r="G429" s="1599"/>
      <c r="H429" s="1599"/>
      <c r="I429" s="1599"/>
      <c r="J429" s="1599"/>
      <c r="K429" s="1599"/>
      <c r="L429" s="1599"/>
      <c r="M429" s="1599"/>
      <c r="N429" s="1599"/>
      <c r="O429" s="1599"/>
      <c r="P429" s="1599"/>
      <c r="Q429" s="1599"/>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92"/>
      <c r="B431" s="1596"/>
      <c r="C431" s="1599"/>
      <c r="D431" s="1599"/>
      <c r="E431" s="1599"/>
      <c r="F431" s="1599"/>
      <c r="G431" s="1599"/>
      <c r="H431" s="1599"/>
      <c r="I431" s="1599"/>
      <c r="J431" s="1599"/>
      <c r="K431" s="1599"/>
      <c r="L431" s="1599"/>
      <c r="M431" s="1599"/>
      <c r="Q431" s="955"/>
    </row>
    <row r="432" spans="1:32" ht="14.1" customHeight="1">
      <c r="A432" s="1593" t="s">
        <v>4160</v>
      </c>
      <c r="B432" s="4" t="s">
        <v>2833</v>
      </c>
      <c r="C432" s="4"/>
      <c r="D432" s="89"/>
      <c r="E432" s="1599"/>
      <c r="F432" s="1599"/>
      <c r="G432" s="1599"/>
      <c r="H432" s="1599"/>
      <c r="O432" s="136" t="s">
        <v>1881</v>
      </c>
      <c r="P432" s="1897"/>
      <c r="Q432" s="1904"/>
    </row>
    <row r="433" spans="1:32" ht="14.1" customHeight="1">
      <c r="B433" s="89" t="s">
        <v>3966</v>
      </c>
      <c r="C433" s="4"/>
      <c r="D433" s="89"/>
      <c r="E433" s="1599"/>
      <c r="F433" s="1599"/>
      <c r="G433" s="1599"/>
      <c r="H433" s="1599"/>
    </row>
    <row r="434" spans="1:32" s="137" customFormat="1" ht="21.75" customHeight="1">
      <c r="A434" s="146" t="s">
        <v>1999</v>
      </c>
      <c r="B434" s="1893" t="s">
        <v>3969</v>
      </c>
      <c r="C434" s="1893"/>
      <c r="D434" s="1893"/>
      <c r="E434" s="1893"/>
      <c r="F434" s="1893"/>
      <c r="G434" s="1893"/>
      <c r="H434" s="1893"/>
      <c r="I434" s="1893"/>
      <c r="J434" s="1893"/>
      <c r="K434" s="1893"/>
      <c r="L434" s="1893"/>
      <c r="M434" s="1893"/>
      <c r="N434" s="1893"/>
      <c r="O434" s="166" t="s">
        <v>1999</v>
      </c>
      <c r="P434" s="3072" t="s">
        <v>4627</v>
      </c>
      <c r="Q434" s="1261"/>
      <c r="AE434" s="487"/>
      <c r="AF434" s="487"/>
    </row>
    <row r="435" spans="1:32" s="137" customFormat="1" ht="22.5" customHeight="1">
      <c r="A435" s="146" t="s">
        <v>2001</v>
      </c>
      <c r="B435" s="1893" t="s">
        <v>3967</v>
      </c>
      <c r="C435" s="1893"/>
      <c r="D435" s="1893"/>
      <c r="E435" s="1893"/>
      <c r="F435" s="1893"/>
      <c r="G435" s="1893"/>
      <c r="H435" s="1893"/>
      <c r="I435" s="1893"/>
      <c r="J435" s="1893"/>
      <c r="K435" s="1893"/>
      <c r="L435" s="1893"/>
      <c r="M435" s="1893"/>
      <c r="N435" s="1893"/>
      <c r="O435" s="166" t="s">
        <v>2001</v>
      </c>
      <c r="P435" s="3151" t="s">
        <v>4627</v>
      </c>
      <c r="Q435" s="564"/>
      <c r="AE435" s="487"/>
      <c r="AF435" s="487"/>
    </row>
    <row r="436" spans="1:32" s="137" customFormat="1" ht="22.5" customHeight="1">
      <c r="B436" s="1893" t="s">
        <v>3968</v>
      </c>
      <c r="C436" s="1893"/>
      <c r="D436" s="1893"/>
      <c r="E436" s="1893"/>
      <c r="F436" s="1893"/>
      <c r="G436" s="1893"/>
      <c r="H436" s="1893"/>
      <c r="I436" s="1893"/>
      <c r="J436" s="1893"/>
      <c r="K436" s="1893"/>
      <c r="L436" s="1893"/>
      <c r="M436" s="1893"/>
      <c r="N436" s="1893"/>
      <c r="O436" s="166" t="s">
        <v>1750</v>
      </c>
      <c r="P436" s="3151" t="s">
        <v>4627</v>
      </c>
      <c r="Q436" s="564"/>
      <c r="AE436" s="487"/>
      <c r="AF436" s="487"/>
    </row>
    <row r="437" spans="1:32" s="137" customFormat="1" ht="12" customHeight="1">
      <c r="B437" s="405" t="s">
        <v>3970</v>
      </c>
      <c r="D437" s="622"/>
      <c r="E437" s="622"/>
      <c r="F437" s="622"/>
      <c r="G437" s="622"/>
      <c r="H437" s="622"/>
      <c r="I437" s="622"/>
      <c r="J437" s="622"/>
      <c r="K437" s="622"/>
      <c r="L437" s="622"/>
      <c r="M437" s="622"/>
      <c r="N437" s="622"/>
      <c r="O437" s="166" t="s">
        <v>1751</v>
      </c>
      <c r="P437" s="3151" t="s">
        <v>4627</v>
      </c>
      <c r="Q437" s="564"/>
      <c r="AE437" s="487"/>
      <c r="AF437" s="487"/>
    </row>
    <row r="438" spans="1:32" s="137" customFormat="1" ht="36" customHeight="1">
      <c r="B438" s="1893" t="s">
        <v>3971</v>
      </c>
      <c r="C438" s="1893"/>
      <c r="D438" s="1893"/>
      <c r="E438" s="1893"/>
      <c r="F438" s="1893"/>
      <c r="G438" s="1893"/>
      <c r="H438" s="1893"/>
      <c r="I438" s="1893"/>
      <c r="J438" s="1893"/>
      <c r="K438" s="1893"/>
      <c r="L438" s="1893"/>
      <c r="M438" s="1893"/>
      <c r="N438" s="1893"/>
      <c r="O438" s="166" t="s">
        <v>1752</v>
      </c>
      <c r="P438" s="3151" t="s">
        <v>4627</v>
      </c>
      <c r="Q438" s="564"/>
      <c r="AE438" s="487"/>
      <c r="AF438" s="487"/>
    </row>
    <row r="439" spans="1:32" s="137" customFormat="1" ht="22.5" customHeight="1">
      <c r="B439" s="1893" t="s">
        <v>3972</v>
      </c>
      <c r="C439" s="1893"/>
      <c r="D439" s="1893"/>
      <c r="E439" s="1893"/>
      <c r="F439" s="1893"/>
      <c r="G439" s="1893"/>
      <c r="H439" s="1893"/>
      <c r="I439" s="1893"/>
      <c r="J439" s="1893"/>
      <c r="K439" s="1893"/>
      <c r="L439" s="1893"/>
      <c r="M439" s="1893"/>
      <c r="N439" s="1893"/>
      <c r="O439" s="166" t="s">
        <v>2381</v>
      </c>
      <c r="P439" s="3151" t="s">
        <v>4627</v>
      </c>
      <c r="Q439" s="564"/>
      <c r="AE439" s="487"/>
      <c r="AF439" s="487"/>
    </row>
    <row r="440" spans="1:32" s="137" customFormat="1" ht="22.5" customHeight="1">
      <c r="A440" s="146" t="s">
        <v>757</v>
      </c>
      <c r="B440" s="1893" t="s">
        <v>3973</v>
      </c>
      <c r="C440" s="1893"/>
      <c r="D440" s="1893"/>
      <c r="E440" s="1893"/>
      <c r="F440" s="1893"/>
      <c r="G440" s="1893"/>
      <c r="H440" s="1893"/>
      <c r="I440" s="1893"/>
      <c r="J440" s="1893"/>
      <c r="K440" s="1893"/>
      <c r="L440" s="1893"/>
      <c r="M440" s="1893"/>
      <c r="N440" s="1893"/>
      <c r="O440" s="166" t="s">
        <v>757</v>
      </c>
      <c r="P440" s="3151" t="s">
        <v>4627</v>
      </c>
      <c r="Q440" s="564"/>
      <c r="AE440" s="487"/>
      <c r="AF440" s="487"/>
    </row>
    <row r="441" spans="1:32" s="137" customFormat="1" ht="22.5" customHeight="1">
      <c r="A441" s="146" t="s">
        <v>2131</v>
      </c>
      <c r="B441" s="1893" t="s">
        <v>3974</v>
      </c>
      <c r="C441" s="1893"/>
      <c r="D441" s="1893"/>
      <c r="E441" s="1893"/>
      <c r="F441" s="1893"/>
      <c r="G441" s="1893"/>
      <c r="H441" s="1893"/>
      <c r="I441" s="1893"/>
      <c r="J441" s="1893"/>
      <c r="K441" s="1893"/>
      <c r="L441" s="1893"/>
      <c r="M441" s="1893"/>
      <c r="N441" s="1893"/>
      <c r="O441" s="166" t="s">
        <v>2131</v>
      </c>
      <c r="P441" s="3151" t="s">
        <v>4627</v>
      </c>
      <c r="Q441" s="564"/>
      <c r="AE441" s="487"/>
      <c r="AF441" s="487"/>
    </row>
    <row r="442" spans="1:32" s="137" customFormat="1" ht="21.75" customHeight="1">
      <c r="A442" s="146" t="s">
        <v>1748</v>
      </c>
      <c r="B442" s="1893" t="s">
        <v>3975</v>
      </c>
      <c r="C442" s="1893"/>
      <c r="D442" s="1893"/>
      <c r="E442" s="1893"/>
      <c r="F442" s="1893"/>
      <c r="G442" s="1893"/>
      <c r="H442" s="1893"/>
      <c r="I442" s="1893"/>
      <c r="J442" s="1893"/>
      <c r="K442" s="1893"/>
      <c r="L442" s="1893"/>
      <c r="M442" s="1893"/>
      <c r="N442" s="1893"/>
      <c r="O442" s="166" t="s">
        <v>1748</v>
      </c>
      <c r="P442" s="3151" t="s">
        <v>4627</v>
      </c>
      <c r="Q442" s="564"/>
      <c r="AE442" s="487"/>
      <c r="AF442" s="487"/>
    </row>
    <row r="443" spans="1:32" s="429" customFormat="1" ht="21.75" customHeight="1">
      <c r="A443" s="146" t="s">
        <v>1749</v>
      </c>
      <c r="B443" s="1893" t="s">
        <v>3498</v>
      </c>
      <c r="C443" s="1893"/>
      <c r="D443" s="1893"/>
      <c r="E443" s="1893"/>
      <c r="F443" s="1893"/>
      <c r="G443" s="1893"/>
      <c r="H443" s="1893"/>
      <c r="I443" s="1893"/>
      <c r="J443" s="1893"/>
      <c r="K443" s="1893"/>
      <c r="L443" s="1893"/>
      <c r="M443" s="1893"/>
      <c r="N443" s="1893"/>
      <c r="O443" s="166" t="s">
        <v>1749</v>
      </c>
      <c r="P443" s="3095" t="s">
        <v>4627</v>
      </c>
      <c r="Q443" s="1282"/>
      <c r="AE443" s="489"/>
      <c r="AF443" s="489"/>
    </row>
    <row r="444" spans="1:32" ht="11.25" customHeight="1">
      <c r="B444" s="145" t="s">
        <v>3778</v>
      </c>
      <c r="D444" s="145"/>
      <c r="E444" s="145"/>
      <c r="F444" s="145"/>
      <c r="G444" s="145"/>
      <c r="H444" s="41"/>
      <c r="I444" s="1596"/>
      <c r="J444" s="1596"/>
      <c r="K444" s="1596"/>
      <c r="L444" s="1592"/>
      <c r="M444" s="1592"/>
      <c r="N444" s="1592"/>
      <c r="O444" s="1592"/>
      <c r="P444" s="1592"/>
      <c r="Q444" s="955"/>
    </row>
    <row r="445" spans="1:32" ht="22.5" customHeight="1">
      <c r="A445" s="3114" t="s">
        <v>4654</v>
      </c>
      <c r="B445" s="3115"/>
      <c r="C445" s="3115"/>
      <c r="D445" s="3115"/>
      <c r="E445" s="3115"/>
      <c r="F445" s="3115"/>
      <c r="G445" s="3115"/>
      <c r="H445" s="3115"/>
      <c r="I445" s="3115"/>
      <c r="J445" s="3115"/>
      <c r="K445" s="3115"/>
      <c r="L445" s="3115"/>
      <c r="M445" s="3115"/>
      <c r="N445" s="3115"/>
      <c r="O445" s="3115"/>
      <c r="P445" s="3115"/>
      <c r="Q445" s="3116"/>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9"/>
      <c r="E446" s="1599"/>
      <c r="F446" s="1599"/>
      <c r="G446" s="1599"/>
      <c r="H446" s="1599"/>
      <c r="I446" s="1599"/>
      <c r="J446" s="1599"/>
      <c r="K446" s="1599"/>
      <c r="L446" s="1599"/>
      <c r="M446" s="1599"/>
      <c r="N446" s="1599"/>
      <c r="O446" s="1599"/>
      <c r="P446" s="1599"/>
      <c r="Q446" s="1599"/>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92"/>
      <c r="B448" s="1596"/>
      <c r="C448" s="1599"/>
      <c r="D448" s="1599"/>
      <c r="E448" s="1599"/>
      <c r="F448" s="1599"/>
      <c r="G448" s="1599"/>
      <c r="H448" s="1599"/>
      <c r="I448" s="1599"/>
      <c r="J448" s="1599"/>
      <c r="K448" s="1599"/>
      <c r="L448" s="1599"/>
      <c r="M448" s="1599"/>
      <c r="Q448" s="955"/>
    </row>
    <row r="449" spans="1:32" ht="14.1" customHeight="1">
      <c r="A449" s="1593" t="s">
        <v>4161</v>
      </c>
      <c r="B449" s="4" t="s">
        <v>2687</v>
      </c>
      <c r="C449" s="4"/>
      <c r="D449" s="89"/>
      <c r="E449" s="1599"/>
      <c r="F449" s="1599"/>
      <c r="G449" s="1599"/>
      <c r="H449" s="1599"/>
      <c r="I449" s="1599"/>
      <c r="J449" s="1599"/>
      <c r="K449" s="1599"/>
      <c r="L449" s="1599"/>
      <c r="M449" s="1599"/>
      <c r="O449" s="136" t="s">
        <v>1881</v>
      </c>
      <c r="P449" s="1897"/>
      <c r="Q449" s="1904"/>
    </row>
    <row r="450" spans="1:32" ht="11.25" customHeight="1">
      <c r="A450" s="1593"/>
      <c r="B450" s="145" t="s">
        <v>3778</v>
      </c>
      <c r="D450" s="145"/>
      <c r="E450" s="145"/>
      <c r="F450" s="145"/>
      <c r="G450" s="145"/>
      <c r="H450" s="41"/>
      <c r="I450" s="1596"/>
      <c r="J450" s="1596"/>
      <c r="K450" s="1596"/>
      <c r="L450" s="1592"/>
      <c r="M450" s="1592"/>
      <c r="N450" s="1592"/>
      <c r="O450" s="1592"/>
      <c r="P450" s="1592"/>
      <c r="Q450" s="955"/>
    </row>
    <row r="451" spans="1:32" ht="32.1" customHeight="1">
      <c r="A451" s="3114" t="s">
        <v>4760</v>
      </c>
      <c r="B451" s="3115"/>
      <c r="C451" s="3115"/>
      <c r="D451" s="3115"/>
      <c r="E451" s="3115"/>
      <c r="F451" s="3115"/>
      <c r="G451" s="3115"/>
      <c r="H451" s="3115"/>
      <c r="I451" s="3115"/>
      <c r="J451" s="3115"/>
      <c r="K451" s="3115"/>
      <c r="L451" s="3115"/>
      <c r="M451" s="3115"/>
      <c r="N451" s="3115"/>
      <c r="O451" s="3115"/>
      <c r="P451" s="3115"/>
      <c r="Q451" s="3116"/>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9"/>
      <c r="E452" s="1599"/>
      <c r="F452" s="1599"/>
      <c r="G452" s="1599"/>
      <c r="H452" s="1599"/>
      <c r="I452" s="1599"/>
      <c r="J452" s="1599"/>
      <c r="K452" s="1599"/>
      <c r="L452" s="1599"/>
      <c r="M452" s="1599"/>
      <c r="N452" s="1599"/>
      <c r="O452" s="1599"/>
      <c r="P452" s="1599"/>
      <c r="Q452" s="1599"/>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92"/>
      <c r="B454" s="1596"/>
      <c r="C454" s="1599"/>
      <c r="D454" s="1599"/>
      <c r="E454" s="1599"/>
      <c r="F454" s="1599"/>
      <c r="G454" s="1599"/>
      <c r="H454" s="1599"/>
      <c r="I454" s="1599"/>
      <c r="J454" s="1599"/>
      <c r="K454" s="1599"/>
      <c r="L454" s="1599"/>
      <c r="M454" s="1599"/>
      <c r="N454" s="1599"/>
      <c r="O454" s="1599"/>
      <c r="P454" s="1599"/>
      <c r="Q454" s="1592"/>
    </row>
    <row r="455" spans="1:32" s="152" customFormat="1" ht="8.4499999999999993" customHeight="1">
      <c r="A455" s="1592"/>
      <c r="B455" s="1596"/>
      <c r="C455" s="1599"/>
      <c r="D455" s="1599"/>
      <c r="E455" s="1599"/>
      <c r="F455" s="1599"/>
      <c r="G455" s="1599"/>
      <c r="H455" s="1599"/>
      <c r="I455" s="1599"/>
      <c r="J455" s="1599"/>
      <c r="K455" s="1599"/>
      <c r="L455" s="1599"/>
      <c r="M455" s="1599"/>
      <c r="AE455" s="488"/>
      <c r="AF455" s="488"/>
    </row>
    <row r="456" spans="1:32" s="152" customFormat="1" ht="3" customHeight="1">
      <c r="A456" s="1592"/>
      <c r="B456" s="1596"/>
      <c r="C456" s="1599"/>
      <c r="D456" s="1599"/>
      <c r="E456" s="1599"/>
      <c r="F456" s="1599"/>
      <c r="G456" s="1599"/>
      <c r="H456" s="1599"/>
      <c r="I456" s="1599"/>
      <c r="J456" s="1599"/>
      <c r="K456" s="1599"/>
      <c r="L456" s="1599"/>
      <c r="M456" s="1599"/>
      <c r="N456" s="1599"/>
      <c r="O456" s="1599"/>
      <c r="P456" s="1599"/>
      <c r="Q456" s="1592"/>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3595</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9"/>
      <c r="P473" s="1589"/>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2902</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3862</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3863</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3864</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3865</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3894</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3866</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3867</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3868</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3869</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3790</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3943</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3942</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3944</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utwAOGXhId7r8tZrR6DdetZw56MPrEZm4dfWsm6vd4r0CzhDRezHLz3AFPcn5lteM6A4aOelsstwHzD8IXb4fA==" saltValue="r+Kgk3cq5c6uoOE/AHeqR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120" zoomScaleNormal="120" zoomScalePageLayoutView="170" workbookViewId="0">
      <selection activeCell="A2" sqref="A1:XFD1048576"/>
    </sheetView>
  </sheetViews>
  <sheetFormatPr defaultColWidth="9.140625" defaultRowHeight="12.75"/>
  <cols>
    <col min="1" max="1" width="4.140625" style="28" customWidth="1"/>
    <col min="2" max="2" width="3.42578125"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9" customWidth="1"/>
    <col min="17" max="17" width="6" style="28" customWidth="1"/>
    <col min="18" max="21" width="9.140625" style="28" customWidth="1"/>
    <col min="22" max="22" width="8.85546875" style="28" customWidth="1"/>
    <col min="23" max="16384" width="9.140625" style="28"/>
  </cols>
  <sheetData>
    <row r="1" spans="1:22" s="36" customFormat="1" ht="14.1" customHeight="1">
      <c r="A1" s="1737" t="str">
        <f>CONCATENATE("PART NINE - SCORING CRITERIA","  -  ",'Part I-Project Information'!$O$6," ",'Part I-Project Information'!$F$34,", ",'Part I-Project Information'!F38,", ",'Part I-Project Information'!J39," County")</f>
        <v>PART NINE - SCORING CRITERIA  -  2018-045 Altoview Terrace, Rome, Floyd County</v>
      </c>
      <c r="B1" s="1738"/>
      <c r="C1" s="1738"/>
      <c r="D1" s="1738"/>
      <c r="E1" s="1738"/>
      <c r="F1" s="1738"/>
      <c r="G1" s="1738"/>
      <c r="H1" s="1738"/>
      <c r="I1" s="1738"/>
      <c r="J1" s="1738"/>
      <c r="K1" s="1738"/>
      <c r="L1" s="1738"/>
      <c r="M1" s="1738"/>
      <c r="N1" s="1738"/>
      <c r="O1" s="1738"/>
      <c r="P1" s="1739"/>
    </row>
    <row r="2" spans="1:22" s="36" customFormat="1" ht="4.3499999999999996" customHeight="1">
      <c r="A2" s="37"/>
      <c r="B2" s="37"/>
      <c r="C2" s="38"/>
      <c r="D2" s="37"/>
      <c r="E2" s="37"/>
      <c r="F2" s="37"/>
      <c r="G2" s="37"/>
      <c r="H2" s="37"/>
      <c r="I2" s="37"/>
      <c r="J2" s="37"/>
      <c r="K2" s="37"/>
      <c r="L2" s="37"/>
      <c r="M2" s="39"/>
      <c r="N2" s="75"/>
      <c r="O2" s="1591"/>
      <c r="P2" s="1591"/>
    </row>
    <row r="3" spans="1:22" s="43" customFormat="1" ht="12" customHeight="1">
      <c r="A3" s="2163" t="s">
        <v>4137</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61</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2801</v>
      </c>
      <c r="C8" s="4"/>
      <c r="D8" s="4"/>
      <c r="E8" s="4"/>
      <c r="F8" s="1600"/>
      <c r="H8" s="50" t="s">
        <v>3499</v>
      </c>
      <c r="M8" s="1591">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600"/>
      <c r="H10" s="179" t="s">
        <v>3672</v>
      </c>
      <c r="M10" s="6"/>
      <c r="N10" s="67" t="s">
        <v>1999</v>
      </c>
      <c r="O10" s="2922">
        <v>0</v>
      </c>
      <c r="P10" s="1254">
        <f>F15</f>
        <v>0</v>
      </c>
    </row>
    <row r="11" spans="1:22" s="44" customFormat="1" ht="11.25" customHeight="1">
      <c r="A11" s="185"/>
      <c r="C11" s="113" t="s">
        <v>2129</v>
      </c>
      <c r="D11" s="49"/>
      <c r="E11" s="49"/>
      <c r="F11" s="1600"/>
      <c r="H11" s="179" t="s">
        <v>2782</v>
      </c>
      <c r="J11" s="50"/>
      <c r="M11" s="6">
        <v>1</v>
      </c>
      <c r="N11" s="67"/>
      <c r="O11" s="2923">
        <v>0</v>
      </c>
      <c r="P11" s="1298">
        <f>J15</f>
        <v>0</v>
      </c>
    </row>
    <row r="12" spans="1:22" s="43" customFormat="1" ht="11.25" customHeight="1">
      <c r="A12" s="185" t="s">
        <v>2001</v>
      </c>
      <c r="B12" s="172" t="s">
        <v>734</v>
      </c>
      <c r="D12" s="49"/>
      <c r="E12" s="49"/>
      <c r="F12" s="1600"/>
      <c r="H12" s="179" t="s">
        <v>2746</v>
      </c>
      <c r="J12" s="50"/>
      <c r="M12" s="6"/>
      <c r="N12" s="67" t="s">
        <v>2001</v>
      </c>
      <c r="O12" s="2922">
        <v>0</v>
      </c>
      <c r="P12" s="1254">
        <f>O15</f>
        <v>0</v>
      </c>
    </row>
    <row r="13" spans="1:22" s="43" customFormat="1" ht="11.1" customHeight="1">
      <c r="A13" s="69"/>
      <c r="C13" s="113" t="s">
        <v>4192</v>
      </c>
      <c r="D13" s="53"/>
      <c r="E13" s="53"/>
      <c r="F13" s="53"/>
      <c r="G13" s="69"/>
      <c r="H13" s="179" t="s">
        <v>2746</v>
      </c>
      <c r="I13" s="69"/>
      <c r="J13" s="69"/>
      <c r="K13" s="69"/>
      <c r="L13" s="69"/>
      <c r="M13" s="69"/>
      <c r="N13" s="69"/>
      <c r="O13" s="2924">
        <v>0</v>
      </c>
      <c r="P13" s="1255">
        <f>+O29</f>
        <v>0</v>
      </c>
      <c r="R13" s="463"/>
      <c r="S13" s="163"/>
    </row>
    <row r="14" spans="1:22" s="43" customFormat="1" ht="11.1" customHeight="1">
      <c r="A14" s="2171" t="s">
        <v>3871</v>
      </c>
      <c r="B14" s="2171"/>
      <c r="C14" s="2171"/>
      <c r="D14" s="2171"/>
      <c r="E14" s="2171"/>
      <c r="F14" s="1596" t="s">
        <v>4195</v>
      </c>
      <c r="J14" s="1596" t="s">
        <v>4195</v>
      </c>
      <c r="K14" s="1596"/>
      <c r="O14" s="2175" t="s">
        <v>4195</v>
      </c>
      <c r="P14" s="2175"/>
      <c r="R14" s="463"/>
      <c r="S14" s="163"/>
    </row>
    <row r="15" spans="1:22" s="43" customFormat="1" ht="11.25" customHeight="1">
      <c r="A15" s="2154"/>
      <c r="B15" s="2154"/>
      <c r="C15" s="2154"/>
      <c r="D15" s="2154"/>
      <c r="E15" s="2154"/>
      <c r="F15" s="79">
        <f>SUM(F16:F27)</f>
        <v>0</v>
      </c>
      <c r="G15" s="2172" t="s">
        <v>3608</v>
      </c>
      <c r="H15" s="2173"/>
      <c r="I15" s="2174"/>
      <c r="J15" s="79">
        <f>SUM(J16:J27)</f>
        <v>0</v>
      </c>
      <c r="K15" s="2176" t="s">
        <v>3392</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2923</v>
      </c>
      <c r="K18" s="2149">
        <v>3</v>
      </c>
      <c r="L18" s="2150"/>
      <c r="M18" s="2150"/>
      <c r="N18" s="2150"/>
      <c r="O18" s="2179" t="s">
        <v>2923</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2923</v>
      </c>
      <c r="P19" s="2180"/>
      <c r="Q19" s="462"/>
      <c r="R19" s="163"/>
    </row>
    <row r="20" spans="1:19" s="43" customFormat="1" ht="24.75" customHeight="1">
      <c r="A20" s="2146">
        <v>5</v>
      </c>
      <c r="B20" s="2147"/>
      <c r="C20" s="2147"/>
      <c r="D20" s="2147"/>
      <c r="E20" s="2148"/>
      <c r="F20" s="936"/>
      <c r="G20" s="2146">
        <v>5</v>
      </c>
      <c r="H20" s="2147"/>
      <c r="I20" s="2148"/>
      <c r="J20" s="1313" t="s">
        <v>3609</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3610</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3611</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3612</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4226</v>
      </c>
      <c r="F28" s="2155" t="s">
        <v>4540</v>
      </c>
      <c r="G28" s="2155"/>
      <c r="H28" s="2155"/>
      <c r="I28" s="2155"/>
      <c r="J28" s="2155"/>
      <c r="K28" s="2155"/>
      <c r="L28" s="2155"/>
      <c r="M28" s="2155"/>
      <c r="N28" s="2155"/>
      <c r="O28" s="2155"/>
      <c r="P28" s="2155"/>
      <c r="Q28" s="112"/>
      <c r="R28" s="391"/>
    </row>
    <row r="29" spans="1:19" s="43" customFormat="1" ht="10.5" customHeight="1">
      <c r="A29" s="303" t="s">
        <v>4196</v>
      </c>
      <c r="B29" s="1316" t="s">
        <v>4197</v>
      </c>
      <c r="C29" s="1316"/>
      <c r="D29" s="1316"/>
      <c r="E29" s="2154"/>
      <c r="F29" s="2156" t="s">
        <v>4225</v>
      </c>
      <c r="G29" s="2156"/>
      <c r="H29" s="2156"/>
      <c r="I29" s="2156"/>
      <c r="J29" s="2156"/>
      <c r="K29" s="2156"/>
      <c r="L29" s="2156"/>
      <c r="M29" s="2156"/>
      <c r="N29" s="2157"/>
      <c r="O29" s="2131">
        <f>SUM(O30:O41)</f>
        <v>0</v>
      </c>
      <c r="P29" s="2132"/>
      <c r="Q29" s="463"/>
      <c r="R29" s="163"/>
    </row>
    <row r="30" spans="1:19" s="43" customFormat="1" ht="10.5" customHeight="1">
      <c r="A30" s="1299" t="s">
        <v>750</v>
      </c>
      <c r="B30" s="1300" t="s">
        <v>4198</v>
      </c>
      <c r="C30" s="1301"/>
      <c r="D30" s="1302"/>
      <c r="E30" s="1358">
        <f>$O$57</f>
        <v>10</v>
      </c>
      <c r="F30" s="2136" t="str">
        <f>$A$63</f>
        <v xml:space="preserve"> The desirables have been measured from the center point in between both sites. Kroger Grocery Store, Boys and Girsl Club, East Central Elementary, are desirables within .5 and 1.5 miles of the site. The following desirables are within .5 miles of the site: Banty Jones Park, Rome Childrens Academy License # CCLC-3455), Rome/Floyd Fire Dept and Greater Mt. Calvary Baptist Church.   We do not feel there are any 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v>
      </c>
      <c r="G30" s="2137"/>
      <c r="H30" s="2137"/>
      <c r="I30" s="2137"/>
      <c r="J30" s="2137"/>
      <c r="K30" s="2137"/>
      <c r="L30" s="2137"/>
      <c r="M30" s="2137"/>
      <c r="N30" s="2138"/>
      <c r="O30" s="2144" t="s">
        <v>1746</v>
      </c>
      <c r="P30" s="2145"/>
      <c r="Q30" s="461"/>
      <c r="R30" s="163"/>
    </row>
    <row r="31" spans="1:19" s="43" customFormat="1" ht="10.5" customHeight="1">
      <c r="A31" s="1303" t="s">
        <v>1807</v>
      </c>
      <c r="B31" s="1033" t="s">
        <v>4199</v>
      </c>
      <c r="C31" s="1188"/>
      <c r="D31" s="1304"/>
      <c r="E31" s="1359">
        <f>$O$94</f>
        <v>3</v>
      </c>
      <c r="F31" s="2121" t="str">
        <f>$A$107</f>
        <v xml:space="preserve">Altoview has committed to comply with the Enterprise Foundation Green Communities Certification program and achieve ten additional points over the baseline certification level. The applicant has worked with SK Collaborative- an Enterprise Qualified TA Provider- to develop a compliant worksheet to achieve this standard. Currently, Altoview is tracking 66 points in the program including compliance with all mandatory program requirements.  Basic certification level requires 35 points (plus 10) for compliance. 45 total </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4200</v>
      </c>
      <c r="C32" s="1188"/>
      <c r="D32" s="1304"/>
      <c r="E32" s="1359">
        <f>$O$153</f>
        <v>3</v>
      </c>
      <c r="F32" s="2121" t="str">
        <f>$A$185</f>
        <v xml:space="preserve">The site also qualifies for 2 points under Workforce Housing Need as 11,890 jobs were identified by "On the Map" within a 2-mile radius of the site.  This is a great city with opportunities for jobs, NWGHA is a actively involved in moving residents to work. </v>
      </c>
      <c r="G32" s="2122"/>
      <c r="H32" s="2122"/>
      <c r="I32" s="2122"/>
      <c r="J32" s="2122"/>
      <c r="K32" s="2122"/>
      <c r="L32" s="2122"/>
      <c r="M32" s="2122"/>
      <c r="N32" s="2123"/>
      <c r="O32" s="2129" t="s">
        <v>2923</v>
      </c>
      <c r="P32" s="2130"/>
      <c r="Q32" s="2191"/>
      <c r="R32" s="2192"/>
      <c r="S32" s="2192"/>
    </row>
    <row r="33" spans="1:19" s="43" customFormat="1" ht="10.5" customHeight="1">
      <c r="A33" s="1303" t="s">
        <v>294</v>
      </c>
      <c r="B33" s="1033" t="s">
        <v>4201</v>
      </c>
      <c r="C33" s="1188"/>
      <c r="D33" s="1304"/>
      <c r="E33" s="1432">
        <f>$O$189</f>
        <v>7</v>
      </c>
      <c r="F33" s="2141" t="str">
        <f>$A$224</f>
        <v xml:space="preserve">The city of Rome has also dedicated financial improvements in the area of the proposed project. The housing authority has been instrumental in the improvement of South Rome. </v>
      </c>
      <c r="G33" s="2142"/>
      <c r="H33" s="2142"/>
      <c r="I33" s="2142"/>
      <c r="J33" s="2142"/>
      <c r="K33" s="2142"/>
      <c r="L33" s="2142"/>
      <c r="M33" s="2142"/>
      <c r="N33" s="2143"/>
      <c r="O33" s="2129" t="s">
        <v>2923</v>
      </c>
      <c r="P33" s="2130"/>
      <c r="Q33" s="2191"/>
      <c r="R33" s="2192"/>
      <c r="S33" s="2192"/>
    </row>
    <row r="34" spans="1:19" s="43" customFormat="1" ht="10.5" customHeight="1">
      <c r="A34" s="1309" t="s">
        <v>428</v>
      </c>
      <c r="B34" s="1310" t="s">
        <v>4202</v>
      </c>
      <c r="C34" s="1311"/>
      <c r="D34" s="1312"/>
      <c r="E34" s="1360" t="s">
        <v>1746</v>
      </c>
      <c r="F34" s="2124" t="str">
        <f>$A$266</f>
        <v>The Project Team selected commits to continue and improve upon community outreach in the area of Rome, GA. NWGHA has a presence in the community and wonderful working  relationships to continue their success in individual and family wellness. NWGHA has been and will continue to be financially attached to the community.  They will coordinate and continue a transforation strategy which includes the area of the proposed project. Ongoing community meetings are held to encourage feedback and participation in strenghting their community.</v>
      </c>
      <c r="G34" s="2125"/>
      <c r="H34" s="2125"/>
      <c r="I34" s="2125"/>
      <c r="J34" s="2125"/>
      <c r="K34" s="2125"/>
      <c r="L34" s="2125"/>
      <c r="M34" s="2125"/>
      <c r="N34" s="2126"/>
      <c r="O34" s="2127"/>
      <c r="P34" s="2128"/>
      <c r="Q34" s="2191"/>
      <c r="R34" s="2192"/>
      <c r="S34" s="2192"/>
    </row>
    <row r="35" spans="1:19" s="43" customFormat="1" ht="10.5" customHeight="1">
      <c r="A35" s="1303" t="s">
        <v>365</v>
      </c>
      <c r="B35" s="1033" t="s">
        <v>3817</v>
      </c>
      <c r="C35" s="1188"/>
      <c r="D35" s="1304"/>
      <c r="E35" s="1359">
        <f>$O$286</f>
        <v>0</v>
      </c>
      <c r="F35" s="2121" t="str">
        <f>$A$290</f>
        <v xml:space="preserve">South Rome is not a HUD Choice Neighborhood or Purpose Built Community.  We could have attempted these points but felt the Communtiy Transfomation was more appropriate for our project than the Purpose Built Communities selection. </v>
      </c>
      <c r="G35" s="2122"/>
      <c r="H35" s="2122"/>
      <c r="I35" s="2122"/>
      <c r="J35" s="2122"/>
      <c r="K35" s="2122"/>
      <c r="L35" s="2122"/>
      <c r="M35" s="2122"/>
      <c r="N35" s="2123"/>
      <c r="O35" s="2127"/>
      <c r="P35" s="2128"/>
      <c r="Q35" s="2191"/>
      <c r="R35" s="2192"/>
      <c r="S35" s="2192"/>
    </row>
    <row r="36" spans="1:19" s="43" customFormat="1" ht="10.5" customHeight="1">
      <c r="A36" s="1303" t="s">
        <v>2267</v>
      </c>
      <c r="B36" s="1033" t="s">
        <v>4203</v>
      </c>
      <c r="C36" s="1188"/>
      <c r="D36" s="1304"/>
      <c r="E36" s="1360">
        <f>$O$337</f>
        <v>0</v>
      </c>
      <c r="F36" s="2121" t="str">
        <f>$A$342</f>
        <v>We are not taking the Priority Point for this project.</v>
      </c>
      <c r="G36" s="2122"/>
      <c r="H36" s="2122"/>
      <c r="I36" s="2122"/>
      <c r="J36" s="2122"/>
      <c r="K36" s="2122"/>
      <c r="L36" s="2122"/>
      <c r="M36" s="2122"/>
      <c r="N36" s="2123"/>
      <c r="O36" s="2127"/>
      <c r="P36" s="2128"/>
      <c r="Q36" s="2191"/>
      <c r="R36" s="2192"/>
      <c r="S36" s="2192"/>
    </row>
    <row r="37" spans="1:19" s="43" customFormat="1" ht="10.5" customHeight="1">
      <c r="A37" s="1303" t="s">
        <v>4516</v>
      </c>
      <c r="B37" s="1033" t="s">
        <v>4517</v>
      </c>
      <c r="C37" s="1188"/>
      <c r="D37" s="1304"/>
      <c r="E37" s="1360">
        <f>$O$294</f>
        <v>3</v>
      </c>
      <c r="F37" s="2141" t="str">
        <f>$A$312</f>
        <v xml:space="preserve">According to Georgia DCA's online GIS mapping system (.http://georgia-dca.maps.arcgis.com), there have never been any LIHTC awards within a mile of the development site.  Therefore, Altoview is eligible for three (3) points under Previous Projects (Flexible Pool) since the site is not within a 1-mile radius of a Georgia Housing Credit development that has received an award in the last Six (6) DCA funding cycles.  											</v>
      </c>
      <c r="G37" s="2142"/>
      <c r="H37" s="2142"/>
      <c r="I37" s="2142"/>
      <c r="J37" s="2142"/>
      <c r="K37" s="2142"/>
      <c r="L37" s="2142"/>
      <c r="M37" s="2142"/>
      <c r="N37" s="2143"/>
      <c r="O37" s="2127"/>
      <c r="P37" s="2128"/>
      <c r="Q37" s="2191"/>
      <c r="R37" s="2192"/>
      <c r="S37" s="2192"/>
    </row>
    <row r="38" spans="1:19" s="43" customFormat="1" ht="10.5" customHeight="1">
      <c r="A38" s="1309" t="s">
        <v>4149</v>
      </c>
      <c r="B38" s="1310" t="s">
        <v>4204</v>
      </c>
      <c r="C38" s="1311"/>
      <c r="D38" s="1312"/>
      <c r="E38" s="1431">
        <f>$O$346</f>
        <v>1</v>
      </c>
      <c r="F38" s="2124" t="str">
        <f>$A$358</f>
        <v>Rome Redevleopment Authority has supplied the Applicant with the GICH letter for this community. A support letter as well as a targeted area letter have been included in this application.  Member of the GICH team is also one of our quarterback club.</v>
      </c>
      <c r="G38" s="2125"/>
      <c r="H38" s="2125"/>
      <c r="I38" s="2125"/>
      <c r="J38" s="2125"/>
      <c r="K38" s="2125"/>
      <c r="L38" s="2125"/>
      <c r="M38" s="2125"/>
      <c r="N38" s="2126"/>
      <c r="O38" s="2127"/>
      <c r="P38" s="2128"/>
      <c r="Q38" s="2191"/>
      <c r="R38" s="2192"/>
      <c r="S38" s="2192"/>
    </row>
    <row r="39" spans="1:19" s="43" customFormat="1" ht="10.5" customHeight="1">
      <c r="A39" s="1303" t="s">
        <v>4150</v>
      </c>
      <c r="B39" s="1033" t="s">
        <v>4205</v>
      </c>
      <c r="C39" s="1188"/>
      <c r="D39" s="1304"/>
      <c r="E39" s="1359">
        <f>$O$362</f>
        <v>1</v>
      </c>
      <c r="F39" s="2121" t="str">
        <f>$A$392</f>
        <v>Altoview Terrace, LP will execute a 70 year ground lease at receipt of tax credit award.  See attached documents in site control.</v>
      </c>
      <c r="G39" s="2122"/>
      <c r="H39" s="2122"/>
      <c r="I39" s="2122"/>
      <c r="J39" s="2122"/>
      <c r="K39" s="2122"/>
      <c r="L39" s="2122"/>
      <c r="M39" s="2122"/>
      <c r="N39" s="2123"/>
      <c r="O39" s="2127"/>
      <c r="P39" s="2128"/>
      <c r="Q39" s="2191"/>
      <c r="R39" s="2192"/>
      <c r="S39" s="2192"/>
    </row>
    <row r="40" spans="1:19" s="43" customFormat="1" ht="10.5" customHeight="1">
      <c r="A40" s="1303" t="s">
        <v>4148</v>
      </c>
      <c r="B40" s="1033" t="s">
        <v>4206</v>
      </c>
      <c r="C40" s="1188"/>
      <c r="D40" s="1304"/>
      <c r="E40" s="1359">
        <f>$O$396</f>
        <v>3</v>
      </c>
      <c r="F40" s="2121" t="str">
        <f>$A$410</f>
        <v xml:space="preserve">We have set aside 15% (10) of the units for Integrated Supportive Housing Targeted Population Preference units. Eventhough there is RAD on all units, NWGHA is commiting project based vouchers for minimum of 10 years, to cover the resdients portion of the rent. The rent rate will be the same and these units are included in the breakdown of rents above. </v>
      </c>
      <c r="G40" s="2122"/>
      <c r="H40" s="2122"/>
      <c r="I40" s="2122"/>
      <c r="J40" s="2122"/>
      <c r="K40" s="2122"/>
      <c r="L40" s="2122"/>
      <c r="M40" s="2122"/>
      <c r="N40" s="2123"/>
      <c r="O40" s="2127"/>
      <c r="P40" s="2128"/>
      <c r="Q40" s="2191"/>
      <c r="R40" s="2192"/>
      <c r="S40" s="2192"/>
    </row>
    <row r="41" spans="1:19" s="43" customFormat="1" ht="10.5" customHeight="1">
      <c r="A41" s="1305" t="s">
        <v>4151</v>
      </c>
      <c r="B41" s="1306" t="s">
        <v>4207</v>
      </c>
      <c r="C41" s="1307"/>
      <c r="D41" s="1308"/>
      <c r="E41" s="1361">
        <f>$O$414</f>
        <v>0</v>
      </c>
      <c r="F41" s="2133" t="str">
        <f>$A$429</f>
        <v>There are no qualifying builings on site that would accommodate Historic Preservation efforts.</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94"/>
      <c r="P42" s="3"/>
    </row>
    <row r="43" spans="1:19" s="105" customFormat="1" ht="12" customHeight="1" thickBot="1">
      <c r="A43" s="158" t="s">
        <v>748</v>
      </c>
      <c r="B43" s="109" t="s">
        <v>3613</v>
      </c>
      <c r="E43" s="58"/>
      <c r="G43" s="222"/>
      <c r="H43" s="53"/>
      <c r="I43" s="46" t="s">
        <v>3511</v>
      </c>
      <c r="M43" s="941">
        <v>3</v>
      </c>
      <c r="N43" s="7"/>
      <c r="O43" s="1194">
        <f>IF(AND(O47&gt;0,O51&gt;0),"AorB?",MIN($M$43,O47+O51))</f>
        <v>3</v>
      </c>
      <c r="P43" s="1194">
        <f>IF(AND(P47&gt;0,P51&gt;0),"AorB?",MIN($M$43,P47+P51))</f>
        <v>0</v>
      </c>
      <c r="Q43" s="112" t="s">
        <v>443</v>
      </c>
      <c r="R43" s="391" t="str">
        <f>IF(OR($O43=$M43,$O43=0,$O43=""),"","* * Check Score! * *")</f>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3614</v>
      </c>
      <c r="I45" s="2139"/>
      <c r="J45" s="966">
        <f>'Part VI-Revenues &amp; Expenses'!$O$60</f>
        <v>66</v>
      </c>
      <c r="K45" s="965"/>
      <c r="M45" s="941"/>
      <c r="N45" s="7"/>
      <c r="Q45" s="7"/>
      <c r="R45" s="391"/>
    </row>
    <row r="46" spans="1:19" s="105" customFormat="1" ht="13.5" customHeight="1">
      <c r="A46" s="143"/>
      <c r="B46" s="2140" t="s">
        <v>3615</v>
      </c>
      <c r="C46" s="2140"/>
      <c r="D46" s="2140"/>
      <c r="E46" s="2140"/>
      <c r="F46" s="2140"/>
      <c r="G46" s="934"/>
      <c r="H46" s="1093" t="s">
        <v>3616</v>
      </c>
      <c r="I46" s="1093" t="s">
        <v>3617</v>
      </c>
      <c r="J46" s="934"/>
      <c r="K46" s="1919" t="s">
        <v>3394</v>
      </c>
      <c r="L46" s="1919"/>
      <c r="M46" s="941"/>
      <c r="N46" s="7"/>
      <c r="Q46" s="7"/>
      <c r="R46" s="391"/>
    </row>
    <row r="47" spans="1:19" s="105" customFormat="1" ht="13.5" customHeight="1">
      <c r="B47" s="2140"/>
      <c r="C47" s="2140"/>
      <c r="D47" s="2140"/>
      <c r="E47" s="2140"/>
      <c r="F47" s="2140"/>
      <c r="G47" s="1917" t="s">
        <v>3741</v>
      </c>
      <c r="H47" s="1917"/>
      <c r="I47" s="1917"/>
      <c r="J47" s="1917"/>
      <c r="K47" s="969" t="s">
        <v>3616</v>
      </c>
      <c r="L47" s="969" t="s">
        <v>3617</v>
      </c>
      <c r="M47" s="955">
        <v>2</v>
      </c>
      <c r="N47" s="404" t="s">
        <v>1999</v>
      </c>
      <c r="O47" s="972">
        <f>SUM(O48:O49)</f>
        <v>0</v>
      </c>
      <c r="P47" s="972">
        <f>SUM(P48:P49)</f>
        <v>0</v>
      </c>
    </row>
    <row r="48" spans="1:19" s="441" customFormat="1" ht="13.5" customHeight="1">
      <c r="A48" s="440"/>
      <c r="B48" s="611" t="s">
        <v>2002</v>
      </c>
      <c r="C48" s="612">
        <v>0.15</v>
      </c>
      <c r="D48" s="144" t="s">
        <v>3393</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3364</v>
      </c>
      <c r="B49" s="611" t="s">
        <v>2004</v>
      </c>
      <c r="C49" s="612">
        <v>0.2</v>
      </c>
      <c r="D49" s="144" t="s">
        <v>3393</v>
      </c>
      <c r="H49" s="2926">
        <v>0</v>
      </c>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2004</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3674</v>
      </c>
      <c r="E51" s="442"/>
      <c r="H51" s="1917" t="s">
        <v>3676</v>
      </c>
      <c r="I51" s="1917"/>
      <c r="M51" s="955">
        <v>3</v>
      </c>
      <c r="N51" s="166" t="s">
        <v>2001</v>
      </c>
      <c r="O51" s="972">
        <f>IF(AND(O52="Yes", O53="Yes"),$M$51,0)</f>
        <v>3</v>
      </c>
      <c r="P51" s="972">
        <f>IF(AND(P52="Yes", P53="Yes"),$M$51,0)</f>
        <v>0</v>
      </c>
    </row>
    <row r="52" spans="1:18" s="441" customFormat="1" ht="13.5" customHeight="1">
      <c r="A52" s="440"/>
      <c r="B52" s="611" t="s">
        <v>2002</v>
      </c>
      <c r="C52" s="612">
        <v>0.3</v>
      </c>
      <c r="D52" s="144" t="s">
        <v>3675</v>
      </c>
      <c r="E52" s="442"/>
      <c r="F52" s="938"/>
      <c r="H52" s="2927">
        <v>66</v>
      </c>
      <c r="I52" s="1349"/>
      <c r="J52" s="923"/>
      <c r="K52" s="993">
        <f>IF(OR('Part VI-Revenues &amp; Expenses'!$O$60="", 'Part VI-Revenues &amp; Expenses'!$O$60=0),0,H52/'Part VI-Revenues &amp; Expenses'!$O$60)</f>
        <v>1</v>
      </c>
      <c r="L52" s="993">
        <f>IF(OR('Part VI-Revenues &amp; Expenses'!$O$60="", 'Part VI-Revenues &amp; Expenses'!$O$60=0),0,I52/'Part VI-Revenues &amp; Expenses'!$O$60)</f>
        <v>0</v>
      </c>
      <c r="M52" s="1123"/>
      <c r="N52" s="404" t="s">
        <v>2002</v>
      </c>
      <c r="O52" s="967" t="str">
        <f>IF(K52 &gt;= $C$52,"Yes","No")</f>
        <v>Yes</v>
      </c>
      <c r="P52" s="967" t="str">
        <f>IF(L52 &gt;= $C$52,"Yes","No")</f>
        <v>No</v>
      </c>
    </row>
    <row r="53" spans="1:18" s="441" customFormat="1" ht="13.5" customHeight="1">
      <c r="A53" s="619"/>
      <c r="B53" s="611" t="s">
        <v>2004</v>
      </c>
      <c r="C53" s="938" t="s">
        <v>3990</v>
      </c>
      <c r="E53" s="1006"/>
      <c r="F53" s="938"/>
      <c r="I53" s="970"/>
      <c r="J53" s="970"/>
      <c r="K53" s="970"/>
      <c r="L53" s="970"/>
      <c r="M53" s="970"/>
      <c r="N53" s="404" t="s">
        <v>2004</v>
      </c>
      <c r="O53" s="2928" t="s">
        <v>3009</v>
      </c>
      <c r="P53" s="563"/>
    </row>
    <row r="54" spans="1:18" s="44" customFormat="1" ht="10.5" customHeight="1">
      <c r="A54" s="43"/>
      <c r="B54" s="100" t="s">
        <v>1880</v>
      </c>
      <c r="C54" s="441"/>
      <c r="D54" s="88"/>
      <c r="E54" s="1599"/>
      <c r="F54" s="1599"/>
      <c r="G54" s="1599"/>
      <c r="H54" s="1599"/>
      <c r="I54" s="1599"/>
      <c r="J54" s="1599"/>
      <c r="K54" s="1599"/>
      <c r="L54" s="1599"/>
      <c r="M54" s="1599"/>
      <c r="N54" s="77"/>
      <c r="O54" s="73"/>
      <c r="P54" s="1591"/>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4144</v>
      </c>
      <c r="D57" s="42"/>
      <c r="I57" s="1866" t="s">
        <v>3794</v>
      </c>
      <c r="J57" s="1866"/>
      <c r="K57" s="1866"/>
      <c r="L57" s="1095"/>
      <c r="M57" s="1591">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94"/>
      <c r="P58" s="3"/>
    </row>
    <row r="59" spans="1:18" s="44" customFormat="1" ht="12" customHeight="1">
      <c r="A59" s="143"/>
      <c r="B59" s="56" t="s">
        <v>3883</v>
      </c>
      <c r="D59" s="34"/>
      <c r="N59" s="484"/>
      <c r="O59" s="2929" t="s">
        <v>3009</v>
      </c>
      <c r="P59" s="561"/>
    </row>
    <row r="60" spans="1:18" s="44" customFormat="1" ht="12" customHeight="1">
      <c r="A60" s="143" t="s">
        <v>1999</v>
      </c>
      <c r="B60" s="172" t="s">
        <v>1888</v>
      </c>
      <c r="C60" s="4"/>
      <c r="D60" s="4"/>
      <c r="F60" s="307"/>
      <c r="G60" s="179" t="s">
        <v>2736</v>
      </c>
      <c r="I60" s="2163" t="s">
        <v>4228</v>
      </c>
      <c r="J60" s="2163"/>
      <c r="K60" s="2163"/>
      <c r="L60" s="2163"/>
      <c r="M60" s="75">
        <v>10</v>
      </c>
      <c r="N60" s="181" t="s">
        <v>1999</v>
      </c>
      <c r="O60" s="2930">
        <v>10</v>
      </c>
      <c r="P60" s="1076"/>
      <c r="Q60" s="1090" t="str">
        <f>IF(OR($O60=$M60,$O60=0,$O60=""),"","*CHECK!*")</f>
        <v/>
      </c>
      <c r="R60" s="1244" t="s">
        <v>2724</v>
      </c>
    </row>
    <row r="61" spans="1:18" s="44" customFormat="1" ht="12.6" customHeight="1">
      <c r="A61" s="143" t="s">
        <v>2001</v>
      </c>
      <c r="B61" s="172" t="s">
        <v>3872</v>
      </c>
      <c r="D61" s="42"/>
      <c r="F61" s="407"/>
      <c r="G61" s="179" t="s">
        <v>4022</v>
      </c>
      <c r="I61" s="2163"/>
      <c r="J61" s="2163"/>
      <c r="K61" s="2163"/>
      <c r="L61" s="2163"/>
      <c r="M61" s="1596" t="s">
        <v>1250</v>
      </c>
      <c r="N61" s="484" t="s">
        <v>2001</v>
      </c>
      <c r="O61" s="2931">
        <v>0</v>
      </c>
      <c r="P61" s="1218"/>
      <c r="R61" s="1244" t="s">
        <v>2724</v>
      </c>
    </row>
    <row r="62" spans="1:18" s="44" customFormat="1" ht="11.25" customHeight="1" thickBot="1">
      <c r="A62" s="43"/>
      <c r="B62" s="1332" t="s">
        <v>3779</v>
      </c>
      <c r="C62" s="43"/>
      <c r="D62" s="49"/>
      <c r="E62" s="49"/>
      <c r="F62" s="49"/>
      <c r="G62" s="49"/>
      <c r="H62" s="37"/>
      <c r="I62" s="2194"/>
      <c r="J62" s="2194"/>
      <c r="K62" s="2194"/>
      <c r="L62" s="2194"/>
      <c r="M62" s="47"/>
      <c r="N62" s="63"/>
      <c r="O62" s="3"/>
      <c r="P62" s="1594"/>
    </row>
    <row r="63" spans="1:18" s="44" customFormat="1" ht="45.95" customHeight="1" thickTop="1" thickBot="1">
      <c r="A63" s="2932" t="s">
        <v>4749</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9"/>
      <c r="F64" s="1599"/>
      <c r="G64" s="1599"/>
      <c r="H64" s="1599"/>
      <c r="I64" s="1599"/>
      <c r="J64" s="1599"/>
      <c r="K64" s="1599"/>
      <c r="L64" s="1599"/>
      <c r="M64" s="1599"/>
      <c r="N64" s="77"/>
      <c r="O64" s="73"/>
      <c r="P64" s="1591"/>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91">
        <v>6</v>
      </c>
      <c r="N67" s="484"/>
      <c r="O67" s="1194">
        <f>IF($J$68="Flexible",MIN($M67,MAX(O80,O84)),IF(AND($J$68="Rural",O89&gt;0),MIN($M89,O89),0))</f>
        <v>3</v>
      </c>
      <c r="P67" s="1194">
        <f>IF($J$68="Flexible",MIN($M67,MAX(P80,P84)),IF(AND($J$68="Rural",P89&gt;0),MIN($M89,P89),0))</f>
        <v>0</v>
      </c>
      <c r="Q67" s="112" t="s">
        <v>443</v>
      </c>
      <c r="R67" s="1985" t="s">
        <v>4134</v>
      </c>
      <c r="S67" s="1985"/>
      <c r="T67" s="1985"/>
      <c r="U67" s="1985"/>
    </row>
    <row r="68" spans="1:21" s="44" customFormat="1" ht="17.25" customHeight="1">
      <c r="A68" s="158"/>
      <c r="B68" s="113" t="s">
        <v>3993</v>
      </c>
      <c r="D68" s="42"/>
      <c r="H68" s="172" t="s">
        <v>2811</v>
      </c>
      <c r="I68" s="539"/>
      <c r="J68" s="537" t="str">
        <f>'Part I-Project Information'!$H$100</f>
        <v>Flexible</v>
      </c>
      <c r="K68" s="49"/>
      <c r="M68" s="1591"/>
      <c r="N68" s="484"/>
      <c r="O68" s="1085" t="s">
        <v>3619</v>
      </c>
      <c r="P68" s="1085" t="s">
        <v>3620</v>
      </c>
      <c r="Q68" s="112"/>
      <c r="R68" s="1985"/>
      <c r="S68" s="1985"/>
      <c r="T68" s="1985"/>
      <c r="U68" s="1985"/>
    </row>
    <row r="69" spans="1:21" s="44" customFormat="1" ht="11.25" customHeight="1">
      <c r="A69" s="158"/>
      <c r="B69" s="499" t="s">
        <v>2002</v>
      </c>
      <c r="C69" s="56" t="s">
        <v>3618</v>
      </c>
      <c r="D69" s="42"/>
      <c r="H69" s="46"/>
      <c r="I69" s="50"/>
      <c r="J69" s="49"/>
      <c r="K69" s="49"/>
      <c r="M69" s="1591"/>
      <c r="N69" s="484"/>
      <c r="O69" s="2929" t="s">
        <v>3009</v>
      </c>
      <c r="P69" s="561"/>
      <c r="Q69" s="112"/>
      <c r="R69" s="1985"/>
      <c r="S69" s="1985"/>
      <c r="T69" s="1985"/>
      <c r="U69" s="1985"/>
    </row>
    <row r="70" spans="1:21" s="44" customFormat="1" ht="11.25" customHeight="1">
      <c r="A70" s="158"/>
      <c r="B70" s="499" t="s">
        <v>2004</v>
      </c>
      <c r="C70" s="56" t="s">
        <v>3991</v>
      </c>
      <c r="D70" s="42"/>
      <c r="H70" s="46"/>
      <c r="I70" s="50"/>
      <c r="J70" s="49"/>
      <c r="K70" s="49"/>
      <c r="N70" s="484"/>
      <c r="O70" s="2935" t="s">
        <v>3009</v>
      </c>
      <c r="P70" s="562"/>
      <c r="Q70" s="112"/>
      <c r="R70" s="1985"/>
      <c r="S70" s="1985"/>
      <c r="T70" s="1985"/>
      <c r="U70" s="1985"/>
    </row>
    <row r="71" spans="1:21" s="44" customFormat="1" ht="11.25" customHeight="1">
      <c r="A71" s="158"/>
      <c r="B71" s="499" t="s">
        <v>2551</v>
      </c>
      <c r="C71" s="56" t="s">
        <v>3992</v>
      </c>
      <c r="D71" s="42"/>
      <c r="H71" s="46"/>
      <c r="I71" s="50"/>
      <c r="J71" s="49"/>
      <c r="K71" s="49"/>
      <c r="N71" s="484"/>
      <c r="O71" s="2928" t="s">
        <v>3009</v>
      </c>
      <c r="P71" s="563"/>
      <c r="Q71" s="112"/>
      <c r="R71" s="1985"/>
      <c r="S71" s="1985"/>
      <c r="T71" s="1985"/>
      <c r="U71" s="1985"/>
    </row>
    <row r="72" spans="1:21" s="44" customFormat="1" ht="3" customHeight="1">
      <c r="A72" s="158"/>
      <c r="B72" s="108"/>
      <c r="D72" s="42"/>
      <c r="H72" s="46"/>
      <c r="I72" s="50"/>
      <c r="J72" s="49"/>
      <c r="K72" s="49"/>
      <c r="M72" s="1591"/>
      <c r="N72" s="484"/>
      <c r="O72" s="3"/>
      <c r="P72" s="3"/>
      <c r="Q72" s="112"/>
      <c r="R72" s="1985"/>
      <c r="S72" s="1985"/>
      <c r="T72" s="1985"/>
      <c r="U72" s="1985"/>
    </row>
    <row r="73" spans="1:21" s="44" customFormat="1" ht="13.5" customHeight="1">
      <c r="A73" s="158"/>
      <c r="B73" s="113" t="s">
        <v>4000</v>
      </c>
      <c r="D73" s="42"/>
      <c r="F73" s="2197" t="s">
        <v>3742</v>
      </c>
      <c r="G73" s="2197"/>
      <c r="H73" s="2197"/>
      <c r="I73" s="2197"/>
      <c r="J73" s="2197" t="s">
        <v>3743</v>
      </c>
      <c r="K73" s="2197"/>
      <c r="L73" s="2197"/>
      <c r="M73" s="2197"/>
      <c r="N73" s="484"/>
      <c r="O73" s="2198" t="s">
        <v>4141</v>
      </c>
      <c r="P73" s="2199"/>
      <c r="Q73" s="112"/>
      <c r="R73" s="1985"/>
      <c r="S73" s="1985"/>
      <c r="T73" s="1985"/>
      <c r="U73" s="1985"/>
    </row>
    <row r="74" spans="1:21" s="44" customFormat="1" ht="12.75" customHeight="1">
      <c r="A74" s="158"/>
      <c r="C74" s="512" t="s">
        <v>3999</v>
      </c>
      <c r="D74" s="649"/>
      <c r="E74" s="278"/>
      <c r="F74" s="2936">
        <v>34.235461999999998</v>
      </c>
      <c r="G74" s="2937"/>
      <c r="H74" s="2010"/>
      <c r="I74" s="2011"/>
      <c r="J74" s="2936">
        <v>-85.166060000000002</v>
      </c>
      <c r="K74" s="2937"/>
      <c r="L74" s="2010"/>
      <c r="M74" s="2011"/>
      <c r="N74" s="484"/>
      <c r="Q74" s="112"/>
      <c r="R74" s="1985"/>
      <c r="S74" s="1985"/>
      <c r="T74" s="1985"/>
      <c r="U74" s="1985"/>
    </row>
    <row r="75" spans="1:21" s="44" customFormat="1" ht="12.75" customHeight="1">
      <c r="B75" s="1187"/>
      <c r="D75" s="1272" t="s">
        <v>4001</v>
      </c>
      <c r="E75" s="278"/>
      <c r="F75" s="2938">
        <v>34.235157000000001</v>
      </c>
      <c r="G75" s="2939"/>
      <c r="H75" s="2206"/>
      <c r="I75" s="2207"/>
      <c r="J75" s="2938">
        <v>-85.167231999999998</v>
      </c>
      <c r="K75" s="2939"/>
      <c r="L75" s="2206"/>
      <c r="M75" s="2207"/>
      <c r="N75" s="484"/>
      <c r="O75" s="2940">
        <v>0.01</v>
      </c>
      <c r="P75" s="1281"/>
      <c r="Q75" s="112"/>
      <c r="R75" s="1985"/>
      <c r="S75" s="1985"/>
      <c r="T75" s="1985"/>
      <c r="U75" s="1985"/>
    </row>
    <row r="76" spans="1:21" s="44" customFormat="1" ht="12.75" customHeight="1">
      <c r="A76" s="2007" t="s">
        <v>4191</v>
      </c>
      <c r="B76" s="2007"/>
      <c r="C76" s="512" t="s">
        <v>4142</v>
      </c>
      <c r="D76" s="649"/>
      <c r="E76" s="278"/>
      <c r="F76" s="2941"/>
      <c r="G76" s="2942"/>
      <c r="H76" s="2187"/>
      <c r="I76" s="2188"/>
      <c r="J76" s="2941"/>
      <c r="K76" s="2942"/>
      <c r="L76" s="2187"/>
      <c r="M76" s="2188"/>
      <c r="N76" s="484"/>
      <c r="O76" s="2943"/>
      <c r="P76" s="1280"/>
      <c r="Q76" s="112"/>
      <c r="R76" s="1985"/>
      <c r="S76" s="1985"/>
      <c r="T76" s="1985"/>
      <c r="U76" s="1985"/>
    </row>
    <row r="77" spans="1:21" s="44" customFormat="1" ht="12.75" customHeight="1">
      <c r="A77" s="2007"/>
      <c r="B77" s="2007"/>
      <c r="D77" s="1272" t="s">
        <v>4140</v>
      </c>
      <c r="E77" s="278"/>
      <c r="F77" s="2944"/>
      <c r="G77" s="2945"/>
      <c r="H77" s="2189"/>
      <c r="I77" s="2190"/>
      <c r="J77" s="2944"/>
      <c r="K77" s="2945"/>
      <c r="L77" s="2189"/>
      <c r="M77" s="2190"/>
      <c r="N77" s="484"/>
      <c r="O77" s="2946">
        <v>0.01</v>
      </c>
      <c r="P77" s="1279"/>
      <c r="Q77" s="112"/>
      <c r="R77" s="1985"/>
      <c r="S77" s="1985"/>
      <c r="T77" s="1985"/>
      <c r="U77" s="1985"/>
    </row>
    <row r="78" spans="1:21" s="44" customFormat="1" ht="3" customHeight="1">
      <c r="A78" s="158"/>
      <c r="B78" s="108"/>
      <c r="D78" s="42"/>
      <c r="H78" s="46"/>
      <c r="I78" s="50"/>
      <c r="J78" s="49"/>
      <c r="K78" s="49"/>
      <c r="M78" s="1591"/>
      <c r="N78" s="484"/>
      <c r="O78" s="3"/>
      <c r="P78" s="3"/>
      <c r="Q78" s="112"/>
      <c r="R78" s="1219"/>
      <c r="S78" s="1219"/>
      <c r="T78" s="1219"/>
      <c r="U78" s="1219"/>
    </row>
    <row r="79" spans="1:21" s="44" customFormat="1" ht="12.6" customHeight="1">
      <c r="A79" s="538" t="s">
        <v>2802</v>
      </c>
      <c r="B79" s="108"/>
      <c r="D79" s="42"/>
      <c r="F79" s="62" t="s">
        <v>3780</v>
      </c>
      <c r="M79" s="1591"/>
      <c r="N79" s="1591"/>
      <c r="O79" s="1591"/>
      <c r="P79" s="1591"/>
      <c r="Q79" s="112"/>
      <c r="R79" s="1219"/>
      <c r="S79" s="1219"/>
      <c r="T79" s="1219"/>
      <c r="U79" s="1219"/>
    </row>
    <row r="80" spans="1:21" s="44" customFormat="1" ht="12.6" customHeight="1">
      <c r="A80" s="148" t="s">
        <v>1999</v>
      </c>
      <c r="B80" s="172" t="s">
        <v>3772</v>
      </c>
      <c r="D80" s="42"/>
      <c r="F80" s="46" t="s">
        <v>3885</v>
      </c>
      <c r="I80" s="2200" t="s">
        <v>4138</v>
      </c>
      <c r="J80" s="2200"/>
      <c r="K80" s="2200"/>
      <c r="L80" s="2200"/>
      <c r="M80" s="1591">
        <v>6</v>
      </c>
      <c r="N80" s="404" t="s">
        <v>1999</v>
      </c>
      <c r="O80" s="1088">
        <f>IF($J$68="Flexible",MIN($M80,O81+O82+O83),0)</f>
        <v>0</v>
      </c>
      <c r="P80" s="1088">
        <f>IF($J$68="Flexible",MIN($M80,P81+P82+P83),0)</f>
        <v>0</v>
      </c>
      <c r="Q80" s="112"/>
    </row>
    <row r="81" spans="1:18" s="427" customFormat="1" ht="23.25" customHeight="1">
      <c r="B81" s="456" t="s">
        <v>2002</v>
      </c>
      <c r="C81" s="1893" t="s">
        <v>3994</v>
      </c>
      <c r="D81" s="1893"/>
      <c r="E81" s="1893"/>
      <c r="F81" s="1893"/>
      <c r="G81" s="1893"/>
      <c r="H81" s="1893"/>
      <c r="I81" s="2200"/>
      <c r="J81" s="2200"/>
      <c r="K81" s="2200"/>
      <c r="L81" s="2200"/>
      <c r="M81" s="534">
        <v>5</v>
      </c>
      <c r="N81" s="499" t="s">
        <v>2002</v>
      </c>
      <c r="O81" s="2947"/>
      <c r="P81" s="913"/>
      <c r="Q81" s="1090" t="str">
        <f>IF(OR($O81=$M81,$O81=0,$O81=""),"","*CHECK!*")</f>
        <v/>
      </c>
      <c r="R81" s="1244" t="s">
        <v>2724</v>
      </c>
    </row>
    <row r="82" spans="1:18" s="427" customFormat="1" ht="12" customHeight="1">
      <c r="A82" s="619" t="s">
        <v>1365</v>
      </c>
      <c r="B82" s="456" t="s">
        <v>2004</v>
      </c>
      <c r="C82" s="405" t="s">
        <v>3995</v>
      </c>
      <c r="D82" s="405"/>
      <c r="E82" s="405"/>
      <c r="F82" s="405"/>
      <c r="G82" s="405"/>
      <c r="H82" s="405"/>
      <c r="I82" s="2200"/>
      <c r="J82" s="2200"/>
      <c r="K82" s="2200"/>
      <c r="L82" s="2200"/>
      <c r="M82" s="534">
        <v>4</v>
      </c>
      <c r="N82" s="499" t="s">
        <v>2004</v>
      </c>
      <c r="O82" s="2930"/>
      <c r="P82" s="1076"/>
      <c r="Q82" s="1090" t="str">
        <f t="shared" ref="Q82:Q83" si="0">IF(OR($O82=$M82,$O82=0,$O82=""),"","*CHECK!*")</f>
        <v/>
      </c>
      <c r="R82" s="1244" t="s">
        <v>2724</v>
      </c>
    </row>
    <row r="83" spans="1:18" s="427" customFormat="1" ht="12" customHeight="1">
      <c r="B83" s="456" t="s">
        <v>2551</v>
      </c>
      <c r="C83" s="405" t="s">
        <v>3773</v>
      </c>
      <c r="D83" s="405"/>
      <c r="E83" s="405"/>
      <c r="F83" s="405"/>
      <c r="G83" s="484" t="s">
        <v>4139</v>
      </c>
      <c r="H83" s="1278" t="str">
        <f>'Part I-Project Information'!$H$78</f>
        <v>Family</v>
      </c>
      <c r="I83" s="2948" t="s">
        <v>4681</v>
      </c>
      <c r="J83" s="2949"/>
      <c r="K83" s="2949"/>
      <c r="L83" s="2950"/>
      <c r="M83" s="534">
        <v>1</v>
      </c>
      <c r="N83" s="499" t="s">
        <v>2551</v>
      </c>
      <c r="O83" s="2931"/>
      <c r="P83" s="1218"/>
      <c r="Q83" s="1090" t="str">
        <f t="shared" si="0"/>
        <v/>
      </c>
      <c r="R83" s="1244" t="s">
        <v>2724</v>
      </c>
    </row>
    <row r="84" spans="1:18" s="427" customFormat="1" ht="12" customHeight="1">
      <c r="A84" s="148" t="s">
        <v>2001</v>
      </c>
      <c r="B84" s="1243" t="s">
        <v>3774</v>
      </c>
      <c r="C84" s="677"/>
      <c r="D84" s="677"/>
      <c r="E84" s="677"/>
      <c r="F84" s="1213" t="s">
        <v>3884</v>
      </c>
      <c r="I84" s="2951"/>
      <c r="J84" s="2952"/>
      <c r="K84" s="2952"/>
      <c r="L84" s="2953"/>
      <c r="M84" s="1034">
        <v>3</v>
      </c>
      <c r="N84" s="166" t="s">
        <v>2001</v>
      </c>
      <c r="O84" s="1088">
        <f>IF($J$68="Flexible",MIN($M84,O85+O86+O87),0)</f>
        <v>3</v>
      </c>
      <c r="P84" s="1088">
        <f>IF($J$68="Flexible",MIN($M84,P85+P86+P87),0)</f>
        <v>0</v>
      </c>
      <c r="Q84" s="535"/>
      <c r="R84" s="403"/>
    </row>
    <row r="85" spans="1:18" s="427" customFormat="1" ht="12" customHeight="1">
      <c r="A85" s="143"/>
      <c r="B85" s="456" t="s">
        <v>2002</v>
      </c>
      <c r="C85" s="2008" t="s">
        <v>3996</v>
      </c>
      <c r="D85" s="2008"/>
      <c r="E85" s="2008"/>
      <c r="F85" s="2008"/>
      <c r="G85" s="2008"/>
      <c r="H85" s="2009"/>
      <c r="I85" s="2954" t="s">
        <v>4679</v>
      </c>
      <c r="J85" s="2955"/>
      <c r="K85" s="2955"/>
      <c r="L85" s="2956"/>
      <c r="M85" s="534">
        <v>3</v>
      </c>
      <c r="N85" s="499" t="s">
        <v>2002</v>
      </c>
      <c r="O85" s="2947">
        <v>3</v>
      </c>
      <c r="P85" s="913"/>
      <c r="Q85" s="1090" t="str">
        <f>IF(OR($O85=$M85,$O85=0,$O85=""),"","*CHECK!*")</f>
        <v/>
      </c>
      <c r="R85" s="1244" t="s">
        <v>2724</v>
      </c>
    </row>
    <row r="86" spans="1:18" s="44" customFormat="1" ht="12" customHeight="1">
      <c r="A86" s="1214" t="s">
        <v>1365</v>
      </c>
      <c r="B86" s="456" t="s">
        <v>2004</v>
      </c>
      <c r="C86" s="2008" t="s">
        <v>3997</v>
      </c>
      <c r="D86" s="2008"/>
      <c r="E86" s="2008"/>
      <c r="F86" s="2008"/>
      <c r="G86" s="2008"/>
      <c r="H86" s="2009"/>
      <c r="I86" s="2957"/>
      <c r="J86" s="2958"/>
      <c r="K86" s="2958"/>
      <c r="L86" s="2959"/>
      <c r="M86" s="534">
        <v>2</v>
      </c>
      <c r="N86" s="499" t="s">
        <v>2004</v>
      </c>
      <c r="O86" s="2930"/>
      <c r="P86" s="1076"/>
      <c r="Q86" s="1090" t="str">
        <f t="shared" ref="Q86:Q87" si="1">IF(OR($O86=$M86,$O86=0,$O86=""),"","*CHECK!*")</f>
        <v/>
      </c>
      <c r="R86" s="1244" t="s">
        <v>2724</v>
      </c>
    </row>
    <row r="87" spans="1:18" s="44" customFormat="1" ht="14.25" customHeight="1">
      <c r="A87" s="1214" t="s">
        <v>1365</v>
      </c>
      <c r="B87" s="456" t="s">
        <v>2551</v>
      </c>
      <c r="C87" s="1893" t="s">
        <v>3998</v>
      </c>
      <c r="D87" s="1893"/>
      <c r="E87" s="1893"/>
      <c r="F87" s="1893"/>
      <c r="G87" s="1893"/>
      <c r="H87" s="1899"/>
      <c r="I87" s="2954" t="s">
        <v>4680</v>
      </c>
      <c r="J87" s="2955"/>
      <c r="K87" s="2955"/>
      <c r="L87" s="2956"/>
      <c r="M87" s="534">
        <v>1</v>
      </c>
      <c r="N87" s="499" t="s">
        <v>2551</v>
      </c>
      <c r="O87" s="2931"/>
      <c r="P87" s="1218"/>
      <c r="Q87" s="1090" t="str">
        <f t="shared" si="1"/>
        <v/>
      </c>
      <c r="R87" s="1244" t="s">
        <v>2724</v>
      </c>
    </row>
    <row r="88" spans="1:18" s="44" customFormat="1" ht="12.6" customHeight="1">
      <c r="A88" s="538" t="s">
        <v>2804</v>
      </c>
      <c r="B88" s="172"/>
      <c r="E88" s="42"/>
      <c r="I88" s="2960"/>
      <c r="J88" s="2961"/>
      <c r="K88" s="2961"/>
      <c r="L88" s="2962"/>
      <c r="M88" s="75"/>
      <c r="N88" s="75"/>
      <c r="O88" s="75"/>
      <c r="P88" s="75"/>
      <c r="Q88" s="391"/>
      <c r="R88" s="391"/>
    </row>
    <row r="89" spans="1:18" s="105" customFormat="1" ht="12" customHeight="1">
      <c r="A89" s="143"/>
      <c r="B89" s="456" t="s">
        <v>1236</v>
      </c>
      <c r="C89" s="172" t="s">
        <v>3621</v>
      </c>
      <c r="D89" s="172"/>
      <c r="E89" s="172"/>
      <c r="F89" s="172"/>
      <c r="G89" s="172"/>
      <c r="H89" s="172"/>
      <c r="I89" s="172"/>
      <c r="J89" s="172"/>
      <c r="K89" s="172"/>
      <c r="L89" s="172"/>
      <c r="M89" s="75">
        <v>2</v>
      </c>
      <c r="N89" s="499" t="s">
        <v>1236</v>
      </c>
      <c r="O89" s="2963"/>
      <c r="P89" s="911"/>
      <c r="Q89" s="1090" t="str">
        <f>IF(OR($O89=$M89,$O89=0,$O89=""),"","*CHECK!*")</f>
        <v/>
      </c>
      <c r="R89" s="1244" t="s">
        <v>2724</v>
      </c>
    </row>
    <row r="90" spans="1:18" s="44" customFormat="1" ht="12.6" customHeight="1">
      <c r="A90" s="37" t="s">
        <v>4143</v>
      </c>
      <c r="B90" s="172"/>
      <c r="E90" s="42"/>
      <c r="K90" s="49"/>
      <c r="M90" s="75"/>
      <c r="N90" s="75"/>
      <c r="O90" s="75"/>
      <c r="P90" s="75"/>
      <c r="Q90" s="391"/>
      <c r="R90" s="391"/>
    </row>
    <row r="91" spans="1:18" s="105" customFormat="1" ht="11.45" customHeight="1">
      <c r="A91" s="43"/>
      <c r="B91" s="100" t="s">
        <v>1880</v>
      </c>
      <c r="C91" s="43"/>
      <c r="D91" s="100"/>
      <c r="E91" s="1601"/>
      <c r="F91" s="1601"/>
      <c r="G91" s="1601"/>
      <c r="H91" s="1601"/>
      <c r="I91" s="1601"/>
      <c r="J91" s="1601"/>
      <c r="K91" s="1601"/>
      <c r="L91" s="1601"/>
      <c r="M91" s="1601"/>
      <c r="N91" s="96"/>
      <c r="O91" s="925"/>
      <c r="P91" s="1591"/>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91">
        <v>3</v>
      </c>
      <c r="N94" s="410"/>
      <c r="O94" s="1194">
        <f>IF(SUM(O102:O105)&gt;$M$94,"???",SUM(O102:O105))</f>
        <v>3</v>
      </c>
      <c r="P94" s="1194">
        <f>IF(SUM(P102:P105)&gt;$M$94,"???",SUM(P102:P105))</f>
        <v>0</v>
      </c>
      <c r="Q94" s="112" t="s">
        <v>443</v>
      </c>
    </row>
    <row r="95" spans="1:18" s="44" customFormat="1" ht="13.5" customHeight="1">
      <c r="B95" s="2182" t="s">
        <v>4006</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4015</v>
      </c>
      <c r="J96" s="2965"/>
      <c r="K96" s="2965"/>
      <c r="L96" s="2966"/>
      <c r="O96" s="2117"/>
      <c r="P96" s="2117"/>
    </row>
    <row r="97" spans="1:18" s="44" customFormat="1" ht="13.5" customHeight="1">
      <c r="B97" s="172" t="s">
        <v>2811</v>
      </c>
      <c r="G97" s="42"/>
      <c r="H97" s="42"/>
      <c r="I97" s="1215" t="str">
        <f>'Part I-Project Information'!$H$100</f>
        <v>Flexible</v>
      </c>
      <c r="K97" s="28"/>
      <c r="M97" s="1591"/>
      <c r="N97" s="410"/>
      <c r="O97" s="2117"/>
      <c r="P97" s="2117"/>
    </row>
    <row r="98" spans="1:18" s="44" customFormat="1" ht="13.5" customHeight="1">
      <c r="B98" s="172" t="s">
        <v>4003</v>
      </c>
      <c r="G98" s="42"/>
      <c r="H98" s="42"/>
      <c r="I98" s="654"/>
      <c r="K98" s="28"/>
      <c r="M98" s="1591"/>
      <c r="N98" s="410"/>
      <c r="O98" s="2117"/>
      <c r="P98" s="2117"/>
    </row>
    <row r="99" spans="1:18" s="1190" customFormat="1" ht="13.5" customHeight="1">
      <c r="C99" s="1186" t="s">
        <v>4008</v>
      </c>
      <c r="I99" s="2967">
        <v>45</v>
      </c>
      <c r="J99" s="555"/>
      <c r="K99" s="403"/>
      <c r="O99" s="2117"/>
      <c r="P99" s="2117"/>
    </row>
    <row r="100" spans="1:18" s="1190" customFormat="1" ht="13.5" customHeight="1">
      <c r="C100" s="1186" t="s">
        <v>4009</v>
      </c>
      <c r="I100" s="2968">
        <v>66</v>
      </c>
      <c r="J100" s="557"/>
      <c r="K100" s="403"/>
      <c r="O100" s="2184" t="s">
        <v>4017</v>
      </c>
      <c r="P100" s="2184"/>
    </row>
    <row r="101" spans="1:18" s="44" customFormat="1" ht="5.25" customHeight="1">
      <c r="A101" s="158"/>
      <c r="B101" s="89"/>
      <c r="G101" s="42"/>
      <c r="H101" s="42"/>
      <c r="I101" s="654"/>
      <c r="K101" s="28"/>
      <c r="M101" s="1591"/>
      <c r="N101" s="1591"/>
      <c r="O101" s="1591"/>
      <c r="P101" s="1591"/>
      <c r="Q101" s="112"/>
    </row>
    <row r="102" spans="1:18" ht="11.45" customHeight="1">
      <c r="A102" s="143" t="s">
        <v>1999</v>
      </c>
      <c r="B102" s="184" t="s">
        <v>3900</v>
      </c>
      <c r="D102" s="34"/>
      <c r="K102" s="2185" t="str">
        <f>IF(OR(AND(O102&gt;0,O103&gt;0),AND(O103&gt;0,O104&gt;0),AND(O102&gt;0,O104&gt;0)),"Choose A, B, or C.  See instructions.",IF(AND(O104&gt;0,O105&gt;0),"Choose A or B when choosing D.  See instructions.",""))</f>
        <v/>
      </c>
      <c r="L102" s="2185"/>
      <c r="M102" s="534">
        <v>2</v>
      </c>
      <c r="N102" s="484" t="s">
        <v>1999</v>
      </c>
      <c r="O102" s="2947"/>
      <c r="P102" s="913"/>
      <c r="Q102" s="1090" t="str">
        <f>IF(OR($O102=$M102,$O102=0,$O102=""),"","*CHECK!*")</f>
        <v/>
      </c>
      <c r="R102" s="1244" t="s">
        <v>2724</v>
      </c>
    </row>
    <row r="103" spans="1:18" ht="11.45" customHeight="1">
      <c r="A103" s="143" t="s">
        <v>2001</v>
      </c>
      <c r="B103" s="184" t="s">
        <v>312</v>
      </c>
      <c r="D103" s="34"/>
      <c r="E103" s="34"/>
      <c r="K103" s="2185"/>
      <c r="L103" s="2185"/>
      <c r="M103" s="534">
        <v>1</v>
      </c>
      <c r="N103" s="484" t="s">
        <v>2001</v>
      </c>
      <c r="O103" s="2930"/>
      <c r="P103" s="1076"/>
      <c r="Q103" s="1090" t="str">
        <f t="shared" ref="Q103:Q105" si="2">IF(OR($O103=$M103,$O103=0,$O103=""),"","*CHECK!*")</f>
        <v/>
      </c>
      <c r="R103" s="1244" t="s">
        <v>2724</v>
      </c>
    </row>
    <row r="104" spans="1:18" ht="11.45" customHeight="1">
      <c r="A104" s="143" t="s">
        <v>757</v>
      </c>
      <c r="B104" s="184" t="s">
        <v>3901</v>
      </c>
      <c r="D104" s="34"/>
      <c r="E104" s="34"/>
      <c r="F104" s="34"/>
      <c r="K104" s="2185"/>
      <c r="L104" s="2185"/>
      <c r="M104" s="534">
        <v>3</v>
      </c>
      <c r="N104" s="484" t="s">
        <v>757</v>
      </c>
      <c r="O104" s="2930">
        <v>3</v>
      </c>
      <c r="P104" s="1076"/>
      <c r="Q104" s="1090" t="str">
        <f t="shared" si="2"/>
        <v/>
      </c>
      <c r="R104" s="1244" t="s">
        <v>2724</v>
      </c>
    </row>
    <row r="105" spans="1:18" ht="11.45" customHeight="1">
      <c r="A105" s="143" t="s">
        <v>2131</v>
      </c>
      <c r="B105" s="184" t="s">
        <v>3803</v>
      </c>
      <c r="D105" s="34"/>
      <c r="E105" s="34"/>
      <c r="F105" s="139" t="s">
        <v>4019</v>
      </c>
      <c r="J105" s="2969" t="s">
        <v>4018</v>
      </c>
      <c r="K105" s="2185"/>
      <c r="L105" s="2185"/>
      <c r="M105" s="534">
        <v>1</v>
      </c>
      <c r="N105" s="484" t="s">
        <v>2131</v>
      </c>
      <c r="O105" s="2931"/>
      <c r="P105" s="1218"/>
      <c r="Q105" s="1090" t="str">
        <f t="shared" si="2"/>
        <v/>
      </c>
      <c r="R105" s="1244" t="s">
        <v>2724</v>
      </c>
    </row>
    <row r="106" spans="1:18" s="105" customFormat="1" ht="11.45" customHeight="1" thickBot="1">
      <c r="A106" s="43"/>
      <c r="B106" s="1332" t="s">
        <v>3779</v>
      </c>
      <c r="C106" s="43"/>
      <c r="D106" s="49"/>
      <c r="E106" s="49"/>
      <c r="F106" s="49"/>
      <c r="G106" s="49"/>
      <c r="K106" s="37"/>
      <c r="M106" s="47"/>
      <c r="N106" s="6"/>
      <c r="O106" s="3"/>
      <c r="P106" s="1591"/>
    </row>
    <row r="107" spans="1:18" s="44" customFormat="1" ht="42" customHeight="1" thickTop="1" thickBot="1">
      <c r="A107" s="2970" t="s">
        <v>4673</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9"/>
      <c r="F108" s="1599"/>
      <c r="G108" s="1599"/>
      <c r="H108" s="1599"/>
      <c r="I108" s="1599"/>
      <c r="J108" s="1599"/>
      <c r="K108" s="1599"/>
      <c r="L108" s="1599"/>
      <c r="M108" s="1599"/>
      <c r="N108" s="77"/>
      <c r="O108" s="73"/>
      <c r="P108" s="1591"/>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94"/>
      <c r="P110" s="3"/>
    </row>
    <row r="111" spans="1:18" s="44" customFormat="1" ht="12.75" customHeight="1" thickBot="1">
      <c r="A111" s="158" t="s">
        <v>535</v>
      </c>
      <c r="B111" s="109" t="s">
        <v>4020</v>
      </c>
      <c r="D111" s="40"/>
      <c r="E111" s="37"/>
      <c r="F111" s="941"/>
      <c r="G111" s="941"/>
      <c r="H111" s="941"/>
      <c r="I111" s="62" t="s">
        <v>3780</v>
      </c>
      <c r="J111" s="956"/>
      <c r="K111" s="956"/>
      <c r="L111" s="956"/>
      <c r="M111" s="1591">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94"/>
      <c r="P112" s="3"/>
    </row>
    <row r="113" spans="1:20" s="44" customFormat="1" ht="12" customHeight="1" thickBot="1">
      <c r="A113" s="185" t="s">
        <v>1999</v>
      </c>
      <c r="B113" s="921" t="s">
        <v>4021</v>
      </c>
      <c r="C113" s="95"/>
      <c r="D113" s="119"/>
      <c r="E113" s="430" t="s">
        <v>4146</v>
      </c>
      <c r="G113" s="116"/>
      <c r="I113" s="484" t="s">
        <v>4139</v>
      </c>
      <c r="J113" s="1278" t="str">
        <f>'Part I-Project Information'!$H$78</f>
        <v>Family</v>
      </c>
      <c r="K113" s="42"/>
      <c r="L113" s="391" t="str">
        <f>IF(OR($O113=$M113,$O113=0,$O113=""),"","* * Check Score! * *")</f>
        <v/>
      </c>
      <c r="M113" s="75">
        <v>3</v>
      </c>
      <c r="N113" s="484" t="s">
        <v>1999</v>
      </c>
      <c r="O113" s="2973">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94"/>
      <c r="P114" s="3"/>
    </row>
    <row r="115" spans="1:20" s="44" customFormat="1" ht="12" customHeight="1">
      <c r="A115" s="185" t="s">
        <v>2001</v>
      </c>
      <c r="B115" s="921" t="s">
        <v>4023</v>
      </c>
      <c r="C115" s="95"/>
      <c r="D115" s="1191"/>
      <c r="E115" s="1430" t="s">
        <v>4255</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4176</v>
      </c>
      <c r="C116" s="956"/>
      <c r="D116" s="1352"/>
      <c r="E116" s="1352"/>
      <c r="F116" s="1352"/>
      <c r="H116" s="2974" t="s">
        <v>1784</v>
      </c>
      <c r="I116" s="1352"/>
      <c r="J116" s="1352"/>
      <c r="K116" s="1352"/>
      <c r="L116" s="1352"/>
      <c r="M116" s="1600"/>
      <c r="N116" s="181"/>
      <c r="Q116" s="1169"/>
      <c r="R116" s="1169"/>
      <c r="S116" s="1169"/>
      <c r="T116" s="1169"/>
    </row>
    <row r="117" spans="1:20" s="37" customFormat="1" ht="10.5" customHeight="1">
      <c r="A117" s="65"/>
      <c r="C117" s="1291" t="s">
        <v>4177</v>
      </c>
      <c r="D117" s="2975"/>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94"/>
      <c r="P118" s="3"/>
      <c r="Q118" s="1169"/>
      <c r="R118" s="1169"/>
      <c r="S118" s="1169"/>
      <c r="T118" s="1169"/>
    </row>
    <row r="119" spans="1:20" s="105" customFormat="1" ht="11.25" customHeight="1" thickBot="1">
      <c r="A119" s="185"/>
      <c r="B119" s="942" t="s">
        <v>2002</v>
      </c>
      <c r="C119" s="172" t="s">
        <v>4024</v>
      </c>
      <c r="D119" s="95"/>
      <c r="F119" s="53"/>
      <c r="G119" s="53"/>
      <c r="H119" s="95"/>
      <c r="I119" s="95"/>
      <c r="J119" s="95"/>
      <c r="K119" s="95"/>
      <c r="L119" s="391" t="str">
        <f>IF(OR($O119=$M119,$O119=0,$O119=""),"","* * Check Score! * *")</f>
        <v/>
      </c>
      <c r="M119" s="1123">
        <v>2</v>
      </c>
      <c r="N119" s="1189" t="s">
        <v>2002</v>
      </c>
      <c r="O119" s="2973"/>
      <c r="P119" s="1231"/>
      <c r="Q119" s="1090" t="str">
        <f>IF(OR($O119=$M119,$O119=0,$O119=""),"","*CHECK!*")</f>
        <v/>
      </c>
      <c r="R119" s="1244" t="s">
        <v>2724</v>
      </c>
      <c r="S119" s="1169"/>
      <c r="T119" s="1169"/>
    </row>
    <row r="120" spans="1:20" s="105" customFormat="1" ht="10.5" customHeight="1">
      <c r="A120" s="185"/>
      <c r="B120" s="942"/>
      <c r="C120" s="53" t="s">
        <v>4025</v>
      </c>
      <c r="D120" s="95"/>
      <c r="E120" s="53"/>
      <c r="F120" s="53"/>
      <c r="G120" s="53"/>
      <c r="H120" s="95"/>
      <c r="I120" s="95"/>
      <c r="J120" s="95"/>
      <c r="K120" s="95"/>
      <c r="L120" s="95"/>
      <c r="M120" s="1123"/>
      <c r="N120" s="1123"/>
      <c r="O120" s="2978"/>
      <c r="P120" s="566"/>
      <c r="Q120" s="1169"/>
      <c r="R120" s="1169"/>
      <c r="S120" s="1169"/>
      <c r="T120" s="1169"/>
    </row>
    <row r="121" spans="1:20" s="105" customFormat="1" ht="10.5" customHeight="1">
      <c r="A121" s="185"/>
      <c r="B121" s="942"/>
      <c r="C121" s="53" t="s">
        <v>4026</v>
      </c>
      <c r="D121" s="179" t="s">
        <v>4147</v>
      </c>
      <c r="F121" s="53"/>
      <c r="G121" s="53"/>
      <c r="H121" s="2979"/>
      <c r="I121" s="2979"/>
      <c r="J121" s="2979"/>
      <c r="K121" s="2979"/>
      <c r="L121" s="2979"/>
      <c r="M121" s="2979"/>
      <c r="N121" s="2979"/>
      <c r="O121" s="2979"/>
      <c r="P121" s="2979"/>
      <c r="Q121" s="1169"/>
      <c r="R121" s="1169"/>
      <c r="S121" s="1169"/>
      <c r="T121" s="1169"/>
    </row>
    <row r="122" spans="1:20" s="105" customFormat="1" ht="10.5" customHeight="1">
      <c r="A122" s="185"/>
      <c r="B122" s="53"/>
      <c r="C122" s="37" t="s">
        <v>4028</v>
      </c>
      <c r="D122" s="95"/>
      <c r="E122" s="53"/>
      <c r="F122" s="53"/>
      <c r="G122" s="53"/>
      <c r="H122" s="95"/>
      <c r="I122" s="95"/>
      <c r="J122" s="95"/>
      <c r="K122" s="95"/>
      <c r="L122" s="95"/>
      <c r="M122" s="445"/>
      <c r="N122" s="1102" t="s">
        <v>3808</v>
      </c>
      <c r="O122" s="2980"/>
      <c r="P122" s="1005"/>
      <c r="Q122" s="1169"/>
      <c r="R122" s="1169"/>
      <c r="S122" s="1169"/>
      <c r="T122" s="1169"/>
    </row>
    <row r="123" spans="1:20" s="37" customFormat="1" ht="10.5" customHeight="1">
      <c r="A123" s="65"/>
      <c r="B123" s="389"/>
      <c r="C123" s="37" t="s">
        <v>4029</v>
      </c>
      <c r="D123" s="53"/>
      <c r="E123" s="53"/>
      <c r="F123" s="53"/>
      <c r="G123" s="53"/>
      <c r="H123" s="53"/>
      <c r="I123" s="53"/>
      <c r="J123" s="53"/>
      <c r="K123" s="53"/>
      <c r="L123" s="53"/>
      <c r="M123" s="1600"/>
      <c r="N123" s="401" t="s">
        <v>3809</v>
      </c>
      <c r="O123" s="2928"/>
      <c r="P123" s="563"/>
      <c r="Q123" s="1169"/>
      <c r="R123" s="1169"/>
      <c r="S123" s="1169"/>
      <c r="T123" s="1169"/>
    </row>
    <row r="124" spans="1:20" s="56" customFormat="1" ht="10.5" customHeight="1">
      <c r="A124" s="65"/>
      <c r="C124" s="56" t="s">
        <v>4174</v>
      </c>
      <c r="D124" s="430"/>
      <c r="E124" s="53"/>
      <c r="F124" s="53"/>
      <c r="G124" s="53"/>
      <c r="H124" s="430"/>
      <c r="J124" s="430"/>
      <c r="L124" s="1902" t="s">
        <v>3845</v>
      </c>
      <c r="M124" s="1902"/>
      <c r="N124" s="1902"/>
      <c r="O124" s="2181" t="s">
        <v>3844</v>
      </c>
      <c r="P124" s="2181"/>
      <c r="Q124" s="53"/>
    </row>
    <row r="125" spans="1:20" s="56" customFormat="1" ht="10.5" customHeight="1">
      <c r="A125" s="65"/>
      <c r="B125" s="390"/>
      <c r="C125" s="2981"/>
      <c r="D125" s="2982"/>
      <c r="E125" s="2982"/>
      <c r="F125" s="2982"/>
      <c r="G125" s="2982"/>
      <c r="H125" s="2982"/>
      <c r="I125" s="2982"/>
      <c r="J125" s="2982"/>
      <c r="K125" s="2983"/>
      <c r="L125" s="2984" t="s">
        <v>3726</v>
      </c>
      <c r="M125" s="2984"/>
      <c r="N125" s="2984"/>
      <c r="O125" s="2985"/>
      <c r="P125" s="2985"/>
      <c r="Q125" s="1207" t="str">
        <f>IF(O125&gt;15, "Too much!","")</f>
        <v/>
      </c>
    </row>
    <row r="126" spans="1:20" s="56" customFormat="1" ht="10.5" customHeight="1">
      <c r="A126" s="65"/>
      <c r="B126" s="402"/>
      <c r="C126" s="2986"/>
      <c r="D126" s="2987"/>
      <c r="E126" s="2987"/>
      <c r="F126" s="2987"/>
      <c r="G126" s="2987"/>
      <c r="H126" s="2987"/>
      <c r="I126" s="2987"/>
      <c r="J126" s="2987"/>
      <c r="K126" s="2988"/>
      <c r="L126" s="2989" t="s">
        <v>3726</v>
      </c>
      <c r="M126" s="2989"/>
      <c r="N126" s="2989"/>
      <c r="O126" s="2990"/>
      <c r="P126" s="2990"/>
      <c r="Q126" s="1207" t="str">
        <f t="shared" ref="Q126:Q128" si="3">IF(O126&gt;15, "Too much!","")</f>
        <v/>
      </c>
    </row>
    <row r="127" spans="1:20" s="56" customFormat="1" ht="10.5" customHeight="1">
      <c r="A127" s="65"/>
      <c r="B127" s="390"/>
      <c r="C127" s="2986"/>
      <c r="D127" s="2987"/>
      <c r="E127" s="2987"/>
      <c r="F127" s="2987"/>
      <c r="G127" s="2987"/>
      <c r="H127" s="2987"/>
      <c r="I127" s="2987"/>
      <c r="J127" s="2987"/>
      <c r="K127" s="2988"/>
      <c r="L127" s="2989" t="s">
        <v>3726</v>
      </c>
      <c r="M127" s="2989"/>
      <c r="N127" s="2989"/>
      <c r="O127" s="2990"/>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3726</v>
      </c>
      <c r="M128" s="2994"/>
      <c r="N128" s="2994"/>
      <c r="O128" s="2995"/>
      <c r="P128" s="2995"/>
      <c r="Q128" s="1207" t="str">
        <f t="shared" si="3"/>
        <v/>
      </c>
    </row>
    <row r="129" spans="1:21" s="105" customFormat="1" ht="10.5" customHeight="1">
      <c r="B129" s="942"/>
      <c r="C129" s="53" t="s">
        <v>4027</v>
      </c>
      <c r="D129" s="37" t="s">
        <v>4030</v>
      </c>
      <c r="E129" s="53"/>
      <c r="F129" s="53"/>
      <c r="G129" s="53"/>
      <c r="H129" s="95"/>
      <c r="I129" s="95"/>
      <c r="J129" s="95"/>
      <c r="K129" s="95"/>
      <c r="L129" s="95"/>
      <c r="M129" s="95"/>
      <c r="N129" s="1102" t="s">
        <v>3808</v>
      </c>
      <c r="O129" s="2929"/>
      <c r="P129" s="561"/>
      <c r="Q129" s="517"/>
      <c r="R129" s="56"/>
      <c r="S129" s="56"/>
      <c r="T129" s="56"/>
      <c r="U129" s="56"/>
    </row>
    <row r="130" spans="1:21" s="105" customFormat="1" ht="10.5" customHeight="1">
      <c r="A130" s="185"/>
      <c r="B130" s="53"/>
      <c r="D130" s="37" t="s">
        <v>4031</v>
      </c>
      <c r="E130" s="53"/>
      <c r="F130" s="53"/>
      <c r="G130" s="53"/>
      <c r="H130" s="95"/>
      <c r="I130" s="95"/>
      <c r="J130" s="95"/>
      <c r="K130" s="95"/>
      <c r="L130" s="95"/>
      <c r="M130" s="445"/>
      <c r="N130" s="401" t="s">
        <v>3809</v>
      </c>
      <c r="O130" s="2928"/>
      <c r="P130" s="563"/>
      <c r="Q130" s="517"/>
      <c r="R130" s="56"/>
      <c r="S130" s="56"/>
      <c r="T130" s="56"/>
      <c r="U130" s="56"/>
    </row>
    <row r="131" spans="1:21" s="37" customFormat="1" ht="10.5" customHeight="1">
      <c r="A131" s="65"/>
      <c r="B131" s="389"/>
      <c r="D131" s="56" t="s">
        <v>4179</v>
      </c>
      <c r="E131" s="53"/>
      <c r="F131" s="53"/>
      <c r="G131" s="53"/>
      <c r="H131" s="53"/>
      <c r="I131" s="53"/>
      <c r="J131" s="53"/>
      <c r="K131" s="53"/>
      <c r="L131" s="53"/>
      <c r="M131" s="1600"/>
      <c r="Q131" s="53"/>
      <c r="R131" s="56"/>
      <c r="S131" s="56"/>
      <c r="T131" s="56"/>
      <c r="U131" s="56"/>
    </row>
    <row r="132" spans="1:21" s="56" customFormat="1" ht="10.5" customHeight="1">
      <c r="A132" s="65"/>
      <c r="B132" s="65"/>
      <c r="C132" s="956" t="s">
        <v>4208</v>
      </c>
      <c r="D132" s="65"/>
      <c r="E132" s="65"/>
      <c r="F132" s="65"/>
      <c r="G132" s="2929"/>
      <c r="H132" s="561"/>
      <c r="I132" s="956" t="s">
        <v>4211</v>
      </c>
      <c r="L132" s="65"/>
      <c r="M132" s="65"/>
      <c r="N132" s="65"/>
      <c r="O132" s="2929"/>
      <c r="P132" s="561"/>
      <c r="Q132" s="53"/>
    </row>
    <row r="133" spans="1:21" s="56" customFormat="1" ht="10.5" customHeight="1">
      <c r="A133" s="65"/>
      <c r="B133" s="65"/>
      <c r="C133" s="956" t="s">
        <v>4541</v>
      </c>
      <c r="D133" s="65"/>
      <c r="E133" s="65"/>
      <c r="F133" s="65"/>
      <c r="G133" s="2935"/>
      <c r="H133" s="562"/>
      <c r="I133" s="53" t="s">
        <v>4212</v>
      </c>
      <c r="L133" s="65"/>
      <c r="M133" s="65"/>
      <c r="N133" s="65"/>
      <c r="O133" s="2935"/>
      <c r="P133" s="562"/>
      <c r="Q133" s="53"/>
    </row>
    <row r="134" spans="1:21" s="56" customFormat="1" ht="10.5" customHeight="1">
      <c r="A134" s="65"/>
      <c r="B134" s="65"/>
      <c r="C134" s="956" t="s">
        <v>4210</v>
      </c>
      <c r="D134" s="65"/>
      <c r="E134" s="65"/>
      <c r="F134" s="65"/>
      <c r="G134" s="2935"/>
      <c r="H134" s="562"/>
      <c r="I134" s="956" t="s">
        <v>4213</v>
      </c>
      <c r="L134" s="65"/>
      <c r="M134" s="65"/>
      <c r="N134" s="65"/>
      <c r="O134" s="2935"/>
      <c r="P134" s="562"/>
      <c r="Q134" s="53"/>
    </row>
    <row r="135" spans="1:21" s="56" customFormat="1" ht="10.5" customHeight="1">
      <c r="A135" s="65"/>
      <c r="B135" s="65"/>
      <c r="C135" s="2996" t="s">
        <v>4214</v>
      </c>
      <c r="D135" s="2997"/>
      <c r="E135" s="2997"/>
      <c r="F135" s="2998"/>
      <c r="G135" s="2928"/>
      <c r="H135" s="1292"/>
      <c r="I135" s="2996" t="s">
        <v>4215</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3846</v>
      </c>
      <c r="D137" s="144"/>
      <c r="F137" s="144"/>
      <c r="G137" s="144"/>
      <c r="H137" s="144"/>
      <c r="I137" s="144"/>
      <c r="J137" s="144"/>
      <c r="K137" s="144"/>
      <c r="L137" s="391" t="str">
        <f>IF(OR($O137=$M137,$O137=0,$O137=""),"","* * Check Score! * *")</f>
        <v/>
      </c>
      <c r="M137" s="628">
        <v>1</v>
      </c>
      <c r="N137" s="1189" t="s">
        <v>2004</v>
      </c>
      <c r="O137" s="2973"/>
      <c r="P137" s="1231"/>
      <c r="Q137" s="1090" t="str">
        <f>IF(OR($O137=$M137,$O137=0,$O137=""),"","*CHECK!*")</f>
        <v/>
      </c>
      <c r="R137" s="1244" t="s">
        <v>2724</v>
      </c>
      <c r="S137" s="1169"/>
      <c r="T137" s="1169"/>
      <c r="U137" s="1169"/>
    </row>
    <row r="138" spans="1:21" s="37" customFormat="1" ht="10.5" customHeight="1">
      <c r="A138" s="65"/>
      <c r="C138" s="53" t="s">
        <v>4032</v>
      </c>
      <c r="D138" s="1352"/>
      <c r="E138" s="1352"/>
      <c r="F138" s="1352"/>
      <c r="G138" s="1352"/>
      <c r="H138" s="1352"/>
      <c r="I138" s="1352"/>
      <c r="J138" s="1352"/>
      <c r="K138" s="1352"/>
      <c r="L138" s="1352"/>
      <c r="M138" s="1600"/>
      <c r="N138" s="53"/>
      <c r="O138" s="2978"/>
      <c r="P138" s="566"/>
      <c r="Q138" s="53"/>
      <c r="R138" s="1169"/>
      <c r="S138" s="1169"/>
      <c r="T138" s="1169"/>
      <c r="U138" s="1169"/>
    </row>
    <row r="139" spans="1:21" s="37" customFormat="1" ht="10.5" customHeight="1">
      <c r="A139" s="65"/>
      <c r="B139" s="942"/>
      <c r="C139" s="53" t="s">
        <v>4033</v>
      </c>
      <c r="D139" s="1352"/>
      <c r="E139" s="1352"/>
      <c r="F139" s="1352"/>
      <c r="G139" s="956" t="s">
        <v>4034</v>
      </c>
      <c r="I139" s="1352"/>
      <c r="J139" s="1352"/>
      <c r="K139" s="1352"/>
      <c r="L139" s="1352"/>
      <c r="M139" s="67" t="s">
        <v>2451</v>
      </c>
      <c r="N139" s="401" t="s">
        <v>3808</v>
      </c>
      <c r="O139" s="2980"/>
      <c r="P139" s="1005"/>
      <c r="Q139" s="53"/>
      <c r="R139" s="1169"/>
      <c r="S139" s="1169"/>
      <c r="T139" s="1169"/>
      <c r="U139" s="1169"/>
    </row>
    <row r="140" spans="1:21" s="37" customFormat="1" ht="10.5" customHeight="1">
      <c r="A140" s="65"/>
      <c r="B140" s="389"/>
      <c r="D140" s="1352"/>
      <c r="E140" s="1352"/>
      <c r="F140" s="1352"/>
      <c r="G140" s="956" t="s">
        <v>4035</v>
      </c>
      <c r="I140" s="1352"/>
      <c r="J140" s="1352"/>
      <c r="K140" s="1352"/>
      <c r="L140" s="1352"/>
      <c r="M140" s="1600"/>
      <c r="N140" s="1102" t="s">
        <v>3809</v>
      </c>
      <c r="O140" s="2935"/>
      <c r="P140" s="562"/>
      <c r="Q140" s="53"/>
      <c r="R140" s="1169"/>
      <c r="S140" s="1169"/>
      <c r="T140" s="1169"/>
      <c r="U140" s="1169"/>
    </row>
    <row r="141" spans="1:21" s="37" customFormat="1" ht="10.5" customHeight="1">
      <c r="A141" s="67"/>
      <c r="B141" s="389"/>
      <c r="D141" s="1352"/>
      <c r="E141" s="1352"/>
      <c r="F141" s="1352"/>
      <c r="G141" s="956" t="s">
        <v>4036</v>
      </c>
      <c r="I141" s="1352"/>
      <c r="J141" s="1352"/>
      <c r="K141" s="1352"/>
      <c r="L141" s="1352"/>
      <c r="M141" s="1600"/>
      <c r="N141" s="401" t="s">
        <v>3810</v>
      </c>
      <c r="O141" s="2935"/>
      <c r="P141" s="562"/>
      <c r="Q141" s="53"/>
      <c r="R141" s="1169"/>
      <c r="S141" s="1169"/>
      <c r="T141" s="1169"/>
      <c r="U141" s="1169"/>
    </row>
    <row r="142" spans="1:21" s="37" customFormat="1" ht="10.5" customHeight="1">
      <c r="A142" s="65"/>
      <c r="B142" s="389"/>
      <c r="D142" s="1352"/>
      <c r="E142" s="1352"/>
      <c r="F142" s="1352"/>
      <c r="G142" s="956" t="s">
        <v>4037</v>
      </c>
      <c r="I142" s="1352"/>
      <c r="J142" s="1352"/>
      <c r="K142" s="1352"/>
      <c r="L142" s="1352"/>
      <c r="M142" s="1600"/>
      <c r="N142" s="401" t="s">
        <v>3812</v>
      </c>
      <c r="O142" s="2935"/>
      <c r="P142" s="562"/>
      <c r="Q142" s="53"/>
      <c r="R142" s="1169"/>
      <c r="S142" s="1169"/>
      <c r="T142" s="1169"/>
      <c r="U142" s="1169"/>
    </row>
    <row r="143" spans="1:21" s="37" customFormat="1" ht="10.5" customHeight="1">
      <c r="A143" s="65"/>
      <c r="B143" s="389"/>
      <c r="D143" s="1352"/>
      <c r="E143" s="1352"/>
      <c r="F143" s="1352"/>
      <c r="G143" s="956" t="s">
        <v>4038</v>
      </c>
      <c r="I143" s="1352"/>
      <c r="J143" s="1352"/>
      <c r="K143" s="1352"/>
      <c r="L143" s="1352"/>
      <c r="M143" s="1600"/>
      <c r="N143" s="1102" t="s">
        <v>3813</v>
      </c>
      <c r="O143" s="2928"/>
      <c r="P143" s="563"/>
      <c r="Q143" s="53"/>
    </row>
    <row r="144" spans="1:21" s="37" customFormat="1" ht="10.5" customHeight="1">
      <c r="A144" s="65"/>
      <c r="B144" s="942"/>
      <c r="C144" s="956" t="s">
        <v>4178</v>
      </c>
      <c r="D144" s="1352"/>
      <c r="E144" s="1352"/>
      <c r="F144" s="1352"/>
      <c r="G144" s="1352"/>
      <c r="H144" s="1352"/>
      <c r="I144" s="1352"/>
      <c r="J144" s="1352"/>
      <c r="K144" s="1352"/>
      <c r="L144" s="1352"/>
      <c r="M144" s="67"/>
      <c r="N144" s="67" t="s">
        <v>2452</v>
      </c>
      <c r="O144" s="2999"/>
      <c r="P144" s="560"/>
      <c r="Q144" s="53"/>
    </row>
    <row r="145" spans="1:18" s="56" customFormat="1" ht="10.5" customHeight="1">
      <c r="A145" s="65"/>
      <c r="B145" s="456"/>
      <c r="C145" s="56" t="s">
        <v>3861</v>
      </c>
      <c r="D145" s="430"/>
      <c r="E145" s="53"/>
      <c r="F145" s="53"/>
      <c r="G145" s="56" t="s">
        <v>4180</v>
      </c>
      <c r="H145" s="430"/>
      <c r="M145" s="59"/>
      <c r="N145" s="59"/>
      <c r="O145" s="59"/>
      <c r="P145" s="59"/>
      <c r="Q145" s="53"/>
    </row>
    <row r="146" spans="1:18" s="56" customFormat="1" ht="10.5" customHeight="1">
      <c r="A146" s="65"/>
      <c r="B146" s="390"/>
      <c r="C146" s="2981"/>
      <c r="D146" s="2982"/>
      <c r="E146" s="2982"/>
      <c r="F146" s="2983"/>
      <c r="G146" s="3000"/>
      <c r="H146" s="2982"/>
      <c r="I146" s="2982"/>
      <c r="J146" s="2982"/>
      <c r="K146" s="2982"/>
      <c r="L146" s="2982"/>
      <c r="M146" s="2982"/>
      <c r="N146" s="2982"/>
      <c r="O146" s="2982"/>
      <c r="P146" s="2983"/>
      <c r="Q146" s="53"/>
    </row>
    <row r="147" spans="1:18" s="56" customFormat="1" ht="10.5" customHeight="1">
      <c r="A147" s="65"/>
      <c r="B147" s="402"/>
      <c r="C147" s="2986"/>
      <c r="D147" s="2987"/>
      <c r="E147" s="2987"/>
      <c r="F147" s="2988"/>
      <c r="G147" s="2986"/>
      <c r="H147" s="2987"/>
      <c r="I147" s="2987"/>
      <c r="J147" s="2987"/>
      <c r="K147" s="2987"/>
      <c r="L147" s="2987"/>
      <c r="M147" s="2987"/>
      <c r="N147" s="2987"/>
      <c r="O147" s="2987"/>
      <c r="P147" s="2988"/>
      <c r="Q147" s="53"/>
    </row>
    <row r="148" spans="1:18" s="56" customFormat="1" ht="10.5" customHeight="1">
      <c r="A148" s="2140" t="s">
        <v>4216</v>
      </c>
      <c r="B148" s="2140"/>
      <c r="C148" s="2986"/>
      <c r="D148" s="2987"/>
      <c r="E148" s="2987"/>
      <c r="F148" s="2988"/>
      <c r="G148" s="2986"/>
      <c r="H148" s="2987"/>
      <c r="I148" s="2987"/>
      <c r="J148" s="2987"/>
      <c r="K148" s="2987"/>
      <c r="L148" s="2987"/>
      <c r="M148" s="2987"/>
      <c r="N148" s="2987"/>
      <c r="O148" s="2987"/>
      <c r="P148" s="2988"/>
      <c r="Q148" s="53"/>
    </row>
    <row r="149" spans="1:18" s="56" customFormat="1" ht="10.5" customHeight="1">
      <c r="A149" s="2140"/>
      <c r="B149" s="2140"/>
      <c r="C149" s="2991"/>
      <c r="D149" s="2992"/>
      <c r="E149" s="2992"/>
      <c r="F149" s="2993"/>
      <c r="G149" s="2991"/>
      <c r="H149" s="2992"/>
      <c r="I149" s="2992"/>
      <c r="J149" s="2992"/>
      <c r="K149" s="2992"/>
      <c r="L149" s="2992"/>
      <c r="M149" s="2992"/>
      <c r="N149" s="2992"/>
      <c r="O149" s="2992"/>
      <c r="P149" s="2993"/>
      <c r="Q149" s="53"/>
    </row>
    <row r="150" spans="1:18" s="44" customFormat="1" ht="4.5" customHeight="1">
      <c r="A150" s="2183"/>
      <c r="B150" s="2183"/>
      <c r="C150" s="101"/>
      <c r="D150" s="88"/>
      <c r="E150" s="102"/>
      <c r="F150" s="1599"/>
      <c r="G150" s="1599"/>
      <c r="H150" s="1599"/>
      <c r="I150" s="1599"/>
      <c r="J150" s="1599"/>
      <c r="K150" s="1599"/>
      <c r="L150" s="1599"/>
      <c r="M150" s="1599"/>
      <c r="N150" s="77"/>
      <c r="O150" s="73"/>
      <c r="P150" s="1591"/>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9"/>
      <c r="D152" s="1599"/>
      <c r="E152" s="1599"/>
      <c r="F152" s="1599"/>
      <c r="G152" s="1599"/>
      <c r="H152" s="1599"/>
      <c r="I152" s="1599"/>
      <c r="J152" s="1599"/>
      <c r="K152" s="1599"/>
      <c r="L152" s="1599"/>
      <c r="M152" s="1599"/>
      <c r="N152" s="77"/>
      <c r="O152" s="73"/>
      <c r="P152" s="941"/>
    </row>
    <row r="153" spans="1:18" s="44" customFormat="1" ht="13.5" customHeight="1" thickBot="1">
      <c r="A153" s="158" t="s">
        <v>780</v>
      </c>
      <c r="B153" s="109" t="s">
        <v>4002</v>
      </c>
      <c r="C153" s="1599"/>
      <c r="D153" s="1599"/>
      <c r="E153" s="1599"/>
      <c r="F153" s="1599"/>
      <c r="G153" s="1599"/>
      <c r="H153" s="1599"/>
      <c r="I153" s="1599"/>
      <c r="J153" s="1599"/>
      <c r="K153" s="1599"/>
      <c r="L153" s="1599"/>
      <c r="M153" s="941">
        <v>5</v>
      </c>
      <c r="N153" s="77"/>
      <c r="O153" s="1194">
        <f>O155+O171</f>
        <v>3</v>
      </c>
      <c r="P153" s="1194">
        <f>P155+P171</f>
        <v>0</v>
      </c>
      <c r="Q153" s="112" t="s">
        <v>443</v>
      </c>
    </row>
    <row r="154" spans="1:18" s="44" customFormat="1" ht="9" customHeight="1">
      <c r="A154" s="43"/>
      <c r="C154" s="1599"/>
      <c r="D154" s="1599"/>
      <c r="E154" s="1599"/>
      <c r="F154" s="1599"/>
      <c r="G154" s="1599"/>
      <c r="H154" s="1599"/>
      <c r="I154" s="1599"/>
      <c r="J154" s="1599"/>
      <c r="K154" s="1599"/>
      <c r="L154" s="1599"/>
      <c r="M154" s="1599"/>
      <c r="N154" s="77"/>
      <c r="O154" s="73"/>
      <c r="P154" s="941"/>
    </row>
    <row r="155" spans="1:18" s="105" customFormat="1" ht="13.5" customHeight="1">
      <c r="A155" s="185" t="s">
        <v>1999</v>
      </c>
      <c r="B155" s="10" t="s">
        <v>4042</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3855</v>
      </c>
      <c r="C156" s="443"/>
      <c r="D156" s="443"/>
      <c r="E156" s="443"/>
      <c r="F156" s="443"/>
      <c r="G156" s="443"/>
      <c r="H156" s="443"/>
      <c r="I156" s="443"/>
      <c r="J156" s="443"/>
      <c r="K156" s="443"/>
      <c r="L156" s="443"/>
      <c r="M156" s="443"/>
      <c r="N156" s="443"/>
      <c r="O156" s="3001" t="s">
        <v>3009</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4218</v>
      </c>
      <c r="C158" s="2019"/>
      <c r="D158" s="2019"/>
      <c r="E158" s="53" t="s">
        <v>3852</v>
      </c>
      <c r="F158" s="105"/>
      <c r="G158" s="53"/>
      <c r="H158" s="105"/>
      <c r="I158" s="2975" t="s">
        <v>4682</v>
      </c>
      <c r="J158" s="2976"/>
      <c r="K158" s="2976"/>
      <c r="L158" s="2977"/>
    </row>
    <row r="159" spans="1:18" s="44" customFormat="1" ht="11.25" customHeight="1">
      <c r="A159" s="143"/>
      <c r="B159" s="2019"/>
      <c r="C159" s="2019"/>
      <c r="D159" s="2019"/>
      <c r="E159" s="41" t="s">
        <v>3854</v>
      </c>
      <c r="F159" s="391"/>
      <c r="G159" s="105"/>
      <c r="H159" s="105"/>
      <c r="I159" s="41"/>
      <c r="J159" s="1611"/>
      <c r="K159" s="1611"/>
      <c r="L159" s="1611"/>
      <c r="M159" s="105"/>
      <c r="N159" s="1222"/>
      <c r="O159" s="3001"/>
      <c r="P159" s="559"/>
      <c r="Q159" s="138"/>
    </row>
    <row r="160" spans="1:18" s="44" customFormat="1" ht="12" customHeight="1">
      <c r="A160" s="43"/>
      <c r="C160" s="1599"/>
      <c r="D160" s="1599"/>
      <c r="E160" s="53" t="s">
        <v>2922</v>
      </c>
      <c r="F160" s="2201" t="str">
        <f>'Part I-Project Information'!$H$78</f>
        <v>Family</v>
      </c>
      <c r="G160" s="2201"/>
      <c r="I160" s="1599"/>
      <c r="J160" s="1599"/>
      <c r="K160" s="1599"/>
      <c r="L160" s="1599"/>
      <c r="M160" s="1599"/>
      <c r="N160" s="77"/>
      <c r="O160" s="73"/>
      <c r="P160" s="941"/>
    </row>
    <row r="161" spans="1:24" s="44" customFormat="1" ht="13.5" customHeight="1">
      <c r="A161" s="143"/>
      <c r="B161" s="579"/>
      <c r="C161" s="578"/>
      <c r="D161" s="578"/>
      <c r="E161" s="1354"/>
      <c r="H161" s="2032" t="s">
        <v>3850</v>
      </c>
      <c r="I161" s="2202" t="s">
        <v>3895</v>
      </c>
      <c r="J161" s="2203"/>
      <c r="K161" s="2203"/>
      <c r="L161" s="2204"/>
      <c r="M161" s="2034" t="s">
        <v>3849</v>
      </c>
      <c r="N161" s="2034"/>
      <c r="O161" s="2034" t="s">
        <v>3853</v>
      </c>
      <c r="P161" s="2034"/>
      <c r="Q161" s="138"/>
    </row>
    <row r="162" spans="1:24" s="44" customFormat="1" ht="13.5" customHeight="1">
      <c r="A162" s="143"/>
      <c r="B162" s="584" t="s">
        <v>3847</v>
      </c>
      <c r="C162" s="1611"/>
      <c r="D162" s="2035" t="s">
        <v>3851</v>
      </c>
      <c r="E162" s="2035"/>
      <c r="F162" s="2035"/>
      <c r="G162" s="1615" t="s">
        <v>3418</v>
      </c>
      <c r="H162" s="2033"/>
      <c r="I162" s="544">
        <v>2014</v>
      </c>
      <c r="J162" s="544">
        <v>2015</v>
      </c>
      <c r="K162" s="544">
        <v>2016</v>
      </c>
      <c r="L162" s="544">
        <v>2017</v>
      </c>
      <c r="M162" s="2034"/>
      <c r="N162" s="2034"/>
      <c r="O162" s="2034"/>
      <c r="P162" s="2034"/>
      <c r="Q162" s="2193" t="s">
        <v>3848</v>
      </c>
      <c r="R162" s="2193"/>
    </row>
    <row r="163" spans="1:24" s="44" customFormat="1" ht="13.5" customHeight="1">
      <c r="A163" s="390" t="s">
        <v>2451</v>
      </c>
      <c r="B163" s="626" t="s">
        <v>4041</v>
      </c>
      <c r="D163" s="3002" t="s">
        <v>4683</v>
      </c>
      <c r="E163" s="3003"/>
      <c r="F163" s="3004"/>
      <c r="G163" s="3005" t="s">
        <v>4684</v>
      </c>
      <c r="H163" s="3006" t="s">
        <v>3012</v>
      </c>
      <c r="I163" s="3007"/>
      <c r="J163" s="3008">
        <v>80.7</v>
      </c>
      <c r="K163" s="3008">
        <v>75.400000000000006</v>
      </c>
      <c r="L163" s="3009">
        <v>82</v>
      </c>
      <c r="M163" s="2030">
        <f>IF(I163+J163+K163+L163=0,"",AVERAGE(I163,J163,K163,L163))</f>
        <v>79.366666666666674</v>
      </c>
      <c r="N163" s="2031"/>
      <c r="O163" s="662" t="str">
        <f>IF(M163="","",IF(M163&gt;Q163,"Yes",IF(M163&lt;Q163,"No","")))</f>
        <v>Yes</v>
      </c>
      <c r="Q163" s="2078">
        <v>73.400000000000006</v>
      </c>
      <c r="R163" s="2079"/>
      <c r="S163" s="55"/>
    </row>
    <row r="164" spans="1:24" s="44" customFormat="1" ht="13.5" customHeight="1">
      <c r="A164" s="402" t="s">
        <v>2452</v>
      </c>
      <c r="B164" s="626" t="s">
        <v>4217</v>
      </c>
      <c r="D164" s="3010" t="s">
        <v>4685</v>
      </c>
      <c r="E164" s="3011"/>
      <c r="F164" s="3012"/>
      <c r="G164" s="3013" t="s">
        <v>4688</v>
      </c>
      <c r="H164" s="3014" t="s">
        <v>3012</v>
      </c>
      <c r="I164" s="3015"/>
      <c r="J164" s="3016">
        <v>77.8</v>
      </c>
      <c r="K164" s="3016">
        <v>70</v>
      </c>
      <c r="L164" s="3017">
        <v>68.099999999999994</v>
      </c>
      <c r="M164" s="2028">
        <f>IF(I164+J164+K164+L164=0,"",AVERAGE(I164,J164,K164,L164))</f>
        <v>71.966666666666669</v>
      </c>
      <c r="N164" s="2029"/>
      <c r="O164" s="663" t="str">
        <f>IF(M164="","",IF(M164&gt;Q164,"Yes",IF(M164&lt;Q164,"No","")))</f>
        <v>No</v>
      </c>
      <c r="Q164" s="2078">
        <v>72.099999999999994</v>
      </c>
      <c r="R164" s="2079"/>
      <c r="S164" s="55"/>
    </row>
    <row r="165" spans="1:24" s="44" customFormat="1" ht="13.5" customHeight="1">
      <c r="A165" s="390" t="s">
        <v>2453</v>
      </c>
      <c r="B165" s="626" t="s">
        <v>4039</v>
      </c>
      <c r="D165" s="3018" t="s">
        <v>4686</v>
      </c>
      <c r="E165" s="3019"/>
      <c r="F165" s="3020"/>
      <c r="G165" s="3021" t="s">
        <v>4687</v>
      </c>
      <c r="H165" s="3022" t="s">
        <v>3012</v>
      </c>
      <c r="I165" s="3023"/>
      <c r="J165" s="3024">
        <v>76.599999999999994</v>
      </c>
      <c r="K165" s="3024">
        <v>77.8</v>
      </c>
      <c r="L165" s="3025">
        <v>74.900000000000006</v>
      </c>
      <c r="M165" s="2026">
        <f>IF(I165+J165+K165+L165=0,"",AVERAGE(I165,J165,K165,L165))</f>
        <v>76.433333333333323</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2454</v>
      </c>
      <c r="B167" s="1032" t="s">
        <v>4041</v>
      </c>
      <c r="D167" s="443" t="str">
        <f>IF(D163="","",D163)</f>
        <v>East Central Elementary</v>
      </c>
      <c r="G167" s="544" t="str">
        <f t="shared" ref="G167:H169" si="4">IF(G163="","",G163)</f>
        <v>Pk-06</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4040</v>
      </c>
      <c r="D168" s="443" t="str">
        <f>IF(D164="","",D164)</f>
        <v>Rome Middle School</v>
      </c>
      <c r="G168" s="544" t="str">
        <f t="shared" si="4"/>
        <v>7-8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4039</v>
      </c>
      <c r="D169" s="443" t="str">
        <f>IF(D165="","",D165)</f>
        <v>Rome High School</v>
      </c>
      <c r="G169" s="544" t="str">
        <f t="shared" si="4"/>
        <v>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9"/>
      <c r="D170" s="1599"/>
      <c r="E170" s="1599"/>
      <c r="F170" s="1599"/>
      <c r="G170" s="1599"/>
      <c r="H170" s="1599"/>
      <c r="I170" s="1599"/>
      <c r="J170" s="1599"/>
      <c r="K170" s="1599"/>
      <c r="L170" s="1599"/>
      <c r="M170" s="1599"/>
      <c r="N170" s="77"/>
      <c r="O170" s="73"/>
      <c r="P170" s="941"/>
    </row>
    <row r="171" spans="1:24" s="105" customFormat="1" ht="13.5" customHeight="1" thickBot="1">
      <c r="A171" s="185" t="s">
        <v>2001</v>
      </c>
      <c r="B171" s="10" t="s">
        <v>4043</v>
      </c>
      <c r="C171" s="95"/>
      <c r="D171" s="1191"/>
      <c r="E171" s="1191"/>
      <c r="F171" s="62" t="s">
        <v>3411</v>
      </c>
      <c r="H171" s="41" t="s">
        <v>3896</v>
      </c>
      <c r="M171" s="445">
        <v>2</v>
      </c>
      <c r="N171" s="181"/>
      <c r="O171" s="1194" t="str">
        <f>IF(AND(I180="Yes",I181="Yes"),$H$181,IF(AND(I180="Yes",I181="No"),$H$180,0))</f>
        <v>2.</v>
      </c>
      <c r="P171" s="1194">
        <f>IF(AND(J180="Yes",J181="Yes"),$H$181,IF(AND(J180="Yes",J181="No"),$H$180,0))</f>
        <v>0</v>
      </c>
      <c r="Q171" s="112"/>
      <c r="R171" s="1192"/>
    </row>
    <row r="172" spans="1:24" s="56" customFormat="1" ht="15" customHeight="1">
      <c r="E172" s="2046" t="s">
        <v>4220</v>
      </c>
      <c r="F172" s="2046" t="s">
        <v>3684</v>
      </c>
      <c r="G172" s="2048" t="s">
        <v>3419</v>
      </c>
      <c r="H172" s="2048"/>
      <c r="I172" s="2048"/>
      <c r="J172" s="2048"/>
      <c r="K172" s="2048"/>
      <c r="L172" s="2048"/>
      <c r="M172" s="2048"/>
      <c r="N172" s="2048"/>
      <c r="P172" s="1224"/>
      <c r="R172" s="430" t="s">
        <v>2849</v>
      </c>
      <c r="T172" s="2042" t="str">
        <f>'Part I-Project Information'!$F$38</f>
        <v>Rome</v>
      </c>
      <c r="U172" s="2043"/>
      <c r="V172" s="2043"/>
      <c r="W172" s="2043"/>
      <c r="X172" s="2044"/>
    </row>
    <row r="173" spans="1:24" s="56" customFormat="1" ht="13.5" customHeight="1">
      <c r="A173" s="48"/>
      <c r="B173" s="2056" t="s">
        <v>4046</v>
      </c>
      <c r="C173" s="2056"/>
      <c r="D173" s="2056"/>
      <c r="E173" s="2186"/>
      <c r="F173" s="2186"/>
      <c r="G173" s="2047" t="s">
        <v>4045</v>
      </c>
      <c r="H173" s="2047"/>
      <c r="I173" s="2047"/>
      <c r="J173" s="2047"/>
      <c r="K173" s="2047"/>
      <c r="L173" s="2047"/>
      <c r="M173" s="2047"/>
      <c r="N173" s="2047"/>
      <c r="O173" s="2046" t="s">
        <v>3685</v>
      </c>
      <c r="P173" s="2046"/>
      <c r="R173" s="59" t="s">
        <v>2850</v>
      </c>
      <c r="T173" s="2039" t="str">
        <f>'Part I-Project Information'!$J$39</f>
        <v>Floyd</v>
      </c>
      <c r="U173" s="2040"/>
      <c r="V173" s="2040"/>
      <c r="W173" s="2040"/>
      <c r="X173" s="2041"/>
    </row>
    <row r="174" spans="1:24" s="56" customFormat="1" ht="13.5" customHeight="1">
      <c r="A174" s="48"/>
      <c r="B174" s="2052" t="s">
        <v>3856</v>
      </c>
      <c r="C174" s="2052"/>
      <c r="D174" s="2052"/>
      <c r="E174" s="1613">
        <v>3000</v>
      </c>
      <c r="F174" s="1613">
        <v>6000</v>
      </c>
      <c r="G174" s="2045">
        <v>15000</v>
      </c>
      <c r="H174" s="2045"/>
      <c r="I174" s="2045"/>
      <c r="J174" s="2045"/>
      <c r="K174" s="2045"/>
      <c r="L174" s="2045"/>
      <c r="M174" s="2045"/>
      <c r="N174" s="2045"/>
      <c r="O174" s="2045">
        <v>20000</v>
      </c>
      <c r="P174" s="2045"/>
      <c r="R174" s="443" t="s">
        <v>2851</v>
      </c>
      <c r="T174" s="2039" t="str">
        <f>'Part I-Project Information'!$O$40</f>
        <v>Rome</v>
      </c>
      <c r="U174" s="2040"/>
      <c r="V174" s="2040"/>
      <c r="W174" s="2040"/>
      <c r="X174" s="2041"/>
    </row>
    <row r="175" spans="1:24" s="37" customFormat="1" ht="13.5" customHeight="1">
      <c r="A175" s="48"/>
      <c r="B175" s="2082" t="s">
        <v>4044</v>
      </c>
      <c r="C175" s="2082"/>
      <c r="D175" s="2082"/>
      <c r="E175" s="1614">
        <v>4500</v>
      </c>
      <c r="F175" s="1614">
        <v>9000</v>
      </c>
      <c r="G175" s="2025">
        <v>22500</v>
      </c>
      <c r="H175" s="2025"/>
      <c r="I175" s="2025"/>
      <c r="J175" s="2025"/>
      <c r="K175" s="2025"/>
      <c r="L175" s="2025"/>
      <c r="M175" s="2025"/>
      <c r="N175" s="2025"/>
      <c r="O175" s="2025">
        <v>30000</v>
      </c>
      <c r="P175" s="2025"/>
      <c r="R175" s="41" t="s">
        <v>3889</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3890</v>
      </c>
      <c r="E177" s="958"/>
      <c r="F177" s="958"/>
      <c r="G177" s="958"/>
      <c r="I177" s="3026">
        <v>6000</v>
      </c>
      <c r="J177" s="1256"/>
      <c r="R177" s="56" t="s">
        <v>3650</v>
      </c>
      <c r="T177" s="2053" t="str">
        <f>'Part I-Project Information'!$K$40</f>
        <v>Urban</v>
      </c>
      <c r="U177" s="2054"/>
      <c r="V177" s="2054"/>
      <c r="W177" s="2054"/>
      <c r="X177" s="2055"/>
    </row>
    <row r="178" spans="1:24" s="56" customFormat="1" ht="13.5" customHeight="1">
      <c r="A178" s="961"/>
      <c r="B178" s="443" t="s">
        <v>3649</v>
      </c>
      <c r="H178" s="960" t="str">
        <f>IF(I178&lt;I177,"Threshold not met!","")</f>
        <v/>
      </c>
      <c r="I178" s="3027">
        <v>11890</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4047</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3913</v>
      </c>
      <c r="D182" s="1354"/>
      <c r="E182" s="1354"/>
      <c r="F182" s="1354"/>
      <c r="G182" s="1225"/>
      <c r="I182" s="1275">
        <f>IF(I178="",0,(I178/I177) - 1)</f>
        <v>0.98166666666666669</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3779</v>
      </c>
      <c r="C184" s="43"/>
      <c r="D184" s="49"/>
      <c r="E184" s="49"/>
      <c r="F184" s="49"/>
      <c r="G184" s="49"/>
      <c r="H184" s="37"/>
      <c r="I184" s="37"/>
      <c r="J184" s="37"/>
      <c r="K184" s="37"/>
      <c r="M184" s="47"/>
      <c r="N184" s="63"/>
      <c r="O184" s="3"/>
      <c r="P184" s="1594"/>
    </row>
    <row r="185" spans="1:24" s="44" customFormat="1" ht="21.75" customHeight="1" thickTop="1" thickBot="1">
      <c r="A185" s="2932" t="s">
        <v>4750</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9"/>
      <c r="G186" s="1599"/>
      <c r="H186" s="1599"/>
      <c r="I186" s="1599"/>
      <c r="J186" s="1599"/>
      <c r="K186" s="1599"/>
      <c r="L186" s="1599"/>
      <c r="M186" s="1599"/>
      <c r="N186" s="77"/>
      <c r="O186" s="73"/>
      <c r="P186" s="1591"/>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9"/>
      <c r="D188" s="1599"/>
      <c r="E188" s="1599"/>
      <c r="F188" s="1599"/>
      <c r="G188" s="1599"/>
      <c r="H188" s="1599"/>
      <c r="I188" s="1599"/>
      <c r="J188" s="1599"/>
      <c r="K188" s="1599"/>
      <c r="L188" s="1599"/>
      <c r="M188" s="1599"/>
      <c r="N188" s="77"/>
      <c r="O188" s="73"/>
      <c r="P188" s="941"/>
    </row>
    <row r="189" spans="1:24" s="105" customFormat="1" ht="12.6" customHeight="1" thickBot="1">
      <c r="A189" s="158" t="s">
        <v>294</v>
      </c>
      <c r="B189" s="109" t="s">
        <v>4053</v>
      </c>
      <c r="C189" s="95"/>
      <c r="D189" s="60"/>
      <c r="E189" s="60"/>
      <c r="H189" s="949" t="s">
        <v>4054</v>
      </c>
      <c r="I189" s="1162"/>
      <c r="J189" s="1162"/>
      <c r="K189" s="615"/>
      <c r="L189" s="615"/>
      <c r="M189" s="1591">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4181</v>
      </c>
      <c r="C191" s="172"/>
      <c r="D191" s="172"/>
      <c r="E191" s="179" t="s">
        <v>4230</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21" customHeight="1">
      <c r="B193" s="1102" t="s">
        <v>2451</v>
      </c>
      <c r="C193" s="1942" t="s">
        <v>4182</v>
      </c>
      <c r="D193" s="1942"/>
      <c r="E193" s="1942"/>
      <c r="F193" s="1942"/>
      <c r="G193" s="1942"/>
      <c r="H193" s="1942"/>
      <c r="I193" s="1942"/>
      <c r="J193" s="1102" t="s">
        <v>2451</v>
      </c>
      <c r="K193" s="3028" t="s">
        <v>3009</v>
      </c>
      <c r="L193" s="1343"/>
      <c r="M193" s="3029" t="s">
        <v>4700</v>
      </c>
      <c r="N193" s="3030"/>
      <c r="O193" s="3030"/>
      <c r="P193" s="3031"/>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19" t="s">
        <v>3628</v>
      </c>
      <c r="D195" s="2019"/>
      <c r="E195" s="2019"/>
      <c r="F195" s="2019"/>
      <c r="G195" s="2019"/>
      <c r="J195" s="390" t="s">
        <v>2452</v>
      </c>
      <c r="K195" s="3032" t="s">
        <v>3009</v>
      </c>
      <c r="L195" s="569"/>
      <c r="M195" s="3029" t="s">
        <v>4701</v>
      </c>
      <c r="N195" s="3030"/>
      <c r="O195" s="3030"/>
      <c r="P195" s="3031"/>
    </row>
    <row r="196" spans="1:25" s="406" customFormat="1" ht="10.5" customHeight="1">
      <c r="B196" s="402" t="s">
        <v>2453</v>
      </c>
      <c r="C196" s="1007" t="s">
        <v>2842</v>
      </c>
      <c r="D196" s="1007"/>
      <c r="E196" s="1007"/>
      <c r="F196" s="1007"/>
      <c r="G196" s="1007"/>
      <c r="H196" s="1007"/>
      <c r="J196" s="402" t="s">
        <v>2453</v>
      </c>
      <c r="K196" s="3032" t="s">
        <v>3009</v>
      </c>
      <c r="L196" s="569"/>
      <c r="M196" s="3029" t="s">
        <v>4706</v>
      </c>
      <c r="N196" s="3030"/>
      <c r="O196" s="3030"/>
      <c r="P196" s="3031"/>
    </row>
    <row r="197" spans="1:25" s="406" customFormat="1" ht="10.5" customHeight="1">
      <c r="B197" s="402" t="s">
        <v>2454</v>
      </c>
      <c r="C197" s="1033" t="s">
        <v>4058</v>
      </c>
      <c r="D197" s="144"/>
      <c r="E197" s="144"/>
      <c r="F197" s="144"/>
      <c r="G197" s="144"/>
      <c r="H197" s="144"/>
      <c r="J197" s="402" t="s">
        <v>2454</v>
      </c>
      <c r="K197" s="3032" t="s">
        <v>3009</v>
      </c>
      <c r="L197" s="569"/>
      <c r="M197" s="3029" t="s">
        <v>4708</v>
      </c>
      <c r="N197" s="3030"/>
      <c r="O197" s="3030"/>
      <c r="P197" s="3031"/>
    </row>
    <row r="198" spans="1:25" s="406" customFormat="1" ht="10.5" customHeight="1">
      <c r="B198" s="1102"/>
      <c r="D198" s="144" t="s">
        <v>4227</v>
      </c>
      <c r="E198" s="144"/>
      <c r="H198" s="144"/>
      <c r="J198" s="1102"/>
      <c r="K198" s="3033" t="s">
        <v>3009</v>
      </c>
      <c r="L198" s="571"/>
    </row>
    <row r="199" spans="1:25" s="406" customFormat="1" ht="10.5" customHeight="1">
      <c r="B199" s="402" t="s">
        <v>2455</v>
      </c>
      <c r="C199" s="1007" t="s">
        <v>4048</v>
      </c>
      <c r="D199" s="1007"/>
      <c r="E199" s="1007"/>
      <c r="F199" s="1007"/>
      <c r="G199" s="1007"/>
      <c r="H199" s="1007"/>
      <c r="J199" s="402" t="s">
        <v>2455</v>
      </c>
      <c r="K199" s="3032" t="s">
        <v>3009</v>
      </c>
      <c r="L199" s="569"/>
      <c r="M199" s="3029" t="s">
        <v>4707</v>
      </c>
      <c r="N199" s="3030"/>
      <c r="O199" s="3030"/>
      <c r="P199" s="3031"/>
    </row>
    <row r="200" spans="1:25" s="406" customFormat="1" ht="10.5" customHeight="1">
      <c r="B200" s="1102" t="s">
        <v>2471</v>
      </c>
      <c r="C200" s="1007" t="s">
        <v>2843</v>
      </c>
      <c r="D200" s="1007"/>
      <c r="E200" s="1007"/>
      <c r="F200" s="1007"/>
      <c r="G200" s="1007"/>
      <c r="J200" s="1102" t="s">
        <v>2471</v>
      </c>
      <c r="K200" s="3032" t="s">
        <v>3009</v>
      </c>
      <c r="L200" s="569"/>
      <c r="M200" s="3029" t="s">
        <v>4709</v>
      </c>
      <c r="N200" s="3030"/>
      <c r="O200" s="3030"/>
      <c r="P200" s="3031"/>
    </row>
    <row r="201" spans="1:25" s="406" customFormat="1" ht="10.5" customHeight="1">
      <c r="B201" s="1102" t="s">
        <v>2472</v>
      </c>
      <c r="C201" s="1007" t="s">
        <v>4049</v>
      </c>
      <c r="D201" s="1007"/>
      <c r="E201" s="1007"/>
      <c r="F201" s="1007"/>
      <c r="J201" s="1102" t="s">
        <v>2472</v>
      </c>
      <c r="K201" s="3032" t="s">
        <v>3009</v>
      </c>
      <c r="L201" s="569"/>
    </row>
    <row r="202" spans="1:25" s="406" customFormat="1" ht="10.5" customHeight="1">
      <c r="B202" s="402"/>
      <c r="C202" s="1007"/>
      <c r="D202" s="1096" t="s">
        <v>4050</v>
      </c>
      <c r="E202" s="1007"/>
      <c r="F202" s="3034">
        <v>39965</v>
      </c>
      <c r="G202" s="1345"/>
      <c r="I202" s="1096" t="s">
        <v>4051</v>
      </c>
      <c r="K202" s="3035">
        <v>43243</v>
      </c>
      <c r="L202" s="1344"/>
    </row>
    <row r="203" spans="1:25" s="406" customFormat="1" ht="10.5" customHeight="1">
      <c r="B203" s="1102" t="s">
        <v>2473</v>
      </c>
      <c r="C203" s="1007" t="s">
        <v>3807</v>
      </c>
      <c r="D203" s="1007"/>
      <c r="E203" s="1007"/>
      <c r="F203" s="1007"/>
      <c r="J203" s="1102" t="s">
        <v>2473</v>
      </c>
      <c r="K203" s="3028" t="s">
        <v>3009</v>
      </c>
      <c r="L203" s="1343"/>
    </row>
    <row r="204" spans="1:25" ht="3" customHeight="1">
      <c r="A204" s="532"/>
      <c r="B204" s="495"/>
      <c r="D204" s="614"/>
      <c r="E204" s="495"/>
      <c r="G204" s="623"/>
      <c r="H204" s="624"/>
      <c r="I204" s="448"/>
      <c r="K204" s="910"/>
      <c r="N204" s="28"/>
      <c r="O204" s="28"/>
      <c r="P204" s="28"/>
    </row>
    <row r="205" spans="1:25" ht="51.95" customHeight="1">
      <c r="B205" s="1607" t="s">
        <v>4183</v>
      </c>
      <c r="E205" s="34"/>
      <c r="G205" s="3036" t="s">
        <v>4698</v>
      </c>
      <c r="H205" s="3037"/>
      <c r="I205" s="3037"/>
      <c r="J205" s="3037"/>
      <c r="K205" s="3037"/>
      <c r="L205" s="3037"/>
      <c r="M205" s="3037"/>
      <c r="N205" s="3037"/>
      <c r="O205" s="3037"/>
      <c r="P205" s="3038"/>
      <c r="Q205" s="1192"/>
    </row>
    <row r="206" spans="1:25" ht="3.75" customHeight="1">
      <c r="B206" s="401"/>
      <c r="C206" s="515"/>
      <c r="K206" s="41"/>
      <c r="M206" s="388"/>
      <c r="N206" s="388"/>
      <c r="O206" s="388"/>
      <c r="P206" s="388"/>
    </row>
    <row r="207" spans="1:25" ht="11.25" customHeight="1">
      <c r="A207" s="143" t="s">
        <v>1999</v>
      </c>
      <c r="B207" s="184" t="s">
        <v>4052</v>
      </c>
      <c r="H207" s="164"/>
      <c r="I207" s="164"/>
      <c r="M207" s="445">
        <v>5</v>
      </c>
      <c r="N207" s="48" t="s">
        <v>1999</v>
      </c>
      <c r="O207" s="575">
        <f>SUM(O208:O209)</f>
        <v>5</v>
      </c>
      <c r="P207" s="575">
        <f>SUM(P208:P209)</f>
        <v>0</v>
      </c>
      <c r="Q207" s="1099"/>
      <c r="X207" s="388"/>
      <c r="Y207" s="390"/>
    </row>
    <row r="208" spans="1:25" ht="21.75" customHeight="1">
      <c r="A208" s="532"/>
      <c r="B208" s="621" t="s">
        <v>2002</v>
      </c>
      <c r="C208" s="2019" t="s">
        <v>3806</v>
      </c>
      <c r="D208" s="2019"/>
      <c r="E208" s="2019"/>
      <c r="F208" s="2019"/>
      <c r="G208" s="2019"/>
      <c r="H208" s="2019"/>
      <c r="I208" s="2019"/>
      <c r="J208" s="2019"/>
      <c r="K208" s="2019"/>
      <c r="L208" s="391" t="str">
        <f>IF(OR($O208=$M208,$O208=0,$O208=""),"","* * Check Score! * *")</f>
        <v/>
      </c>
      <c r="M208" s="1242">
        <v>3</v>
      </c>
      <c r="N208" s="499" t="s">
        <v>2002</v>
      </c>
      <c r="O208" s="2947">
        <v>3</v>
      </c>
      <c r="P208" s="913"/>
      <c r="Q208" s="1090" t="str">
        <f>IF(OR($O208=$M208,$O208=0,$O208=""),"","*CHECK!*")</f>
        <v/>
      </c>
      <c r="R208" s="1086" t="s">
        <v>2724</v>
      </c>
    </row>
    <row r="209" spans="1:23" ht="21.75" customHeight="1">
      <c r="A209" s="532"/>
      <c r="B209" s="621" t="s">
        <v>2004</v>
      </c>
      <c r="C209" s="2013" t="s">
        <v>4057</v>
      </c>
      <c r="D209" s="2013"/>
      <c r="E209" s="2013"/>
      <c r="F209" s="2013"/>
      <c r="G209" s="2013"/>
      <c r="H209" s="2013"/>
      <c r="I209" s="2013"/>
      <c r="J209" s="2013"/>
      <c r="K209" s="2013"/>
      <c r="L209" s="391" t="str">
        <f>IF(OR($O209=$M209,$O209=0,$O209=""),"","* * Check Score! * *")</f>
        <v/>
      </c>
      <c r="M209" s="1242">
        <v>2</v>
      </c>
      <c r="N209" s="499" t="s">
        <v>2004</v>
      </c>
      <c r="O209" s="2931">
        <v>2</v>
      </c>
      <c r="P209" s="1218"/>
      <c r="Q209" s="1090" t="str">
        <f>IF(OR($O209=$M209,$O209=0,$O209=""),"","*CHECK!*")</f>
        <v/>
      </c>
      <c r="R209" s="1086" t="s">
        <v>2724</v>
      </c>
    </row>
    <row r="210" spans="1:23" ht="10.5" customHeight="1">
      <c r="A210" s="532"/>
      <c r="B210" s="495"/>
      <c r="C210" s="495" t="s">
        <v>3805</v>
      </c>
      <c r="D210" s="164"/>
      <c r="E210" s="453" t="str">
        <f>'Part I-Project Information'!$N$39</f>
        <v>Yes</v>
      </c>
      <c r="G210" s="495" t="s">
        <v>3598</v>
      </c>
      <c r="I210" s="2057" t="str">
        <f>'Part I-Project Information'!$O$38</f>
        <v>13115001600</v>
      </c>
      <c r="J210" s="2057"/>
      <c r="K210" s="448" t="s">
        <v>3395</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4055</v>
      </c>
      <c r="D212" s="34"/>
      <c r="K212" s="1277"/>
      <c r="L212" s="391" t="str">
        <f>IF(OR($O212=$M212,$O212=0,$O212=""),"","* * Check Score! * *")</f>
        <v/>
      </c>
      <c r="M212" s="445">
        <v>2</v>
      </c>
      <c r="N212" s="65" t="s">
        <v>2001</v>
      </c>
      <c r="O212" s="2963">
        <v>2</v>
      </c>
      <c r="P212" s="912"/>
      <c r="Q212" s="1090" t="str">
        <f>IF(OR($O212=$M212,$O212=0,$O212=""),"","*CHECK!*")</f>
        <v/>
      </c>
      <c r="R212" s="1086" t="s">
        <v>2724</v>
      </c>
    </row>
    <row r="213" spans="1:23" s="44" customFormat="1" ht="10.5" customHeight="1">
      <c r="A213" s="143"/>
      <c r="B213" s="37" t="s">
        <v>2811</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3886</v>
      </c>
      <c r="J214" s="3039" t="s">
        <v>4702</v>
      </c>
      <c r="K214" s="3040"/>
      <c r="L214" s="3041"/>
      <c r="V214" s="1169"/>
      <c r="W214" s="1169"/>
    </row>
    <row r="215" spans="1:23" s="44" customFormat="1" ht="10.5" customHeight="1">
      <c r="A215" s="182"/>
      <c r="B215" s="495" t="s">
        <v>3887</v>
      </c>
      <c r="I215" s="960" t="str">
        <f>IF($J$215="Government", "Additional documentation required - see QAP.","")</f>
        <v>Additional documentation required - see QAP.</v>
      </c>
      <c r="J215" s="3042" t="s">
        <v>4689</v>
      </c>
      <c r="K215" s="3043"/>
      <c r="L215" s="3044"/>
      <c r="M215" s="1106" t="s">
        <v>3648</v>
      </c>
      <c r="N215" s="1107"/>
      <c r="O215" s="1107"/>
      <c r="P215" s="1108"/>
      <c r="V215" s="1169"/>
      <c r="W215" s="1169"/>
    </row>
    <row r="216" spans="1:23" ht="10.5" customHeight="1">
      <c r="A216" s="183"/>
      <c r="B216" s="495" t="s">
        <v>4244</v>
      </c>
      <c r="F216" s="1258"/>
      <c r="G216" s="1258"/>
      <c r="H216" s="1258"/>
      <c r="L216" s="2978" t="s">
        <v>3012</v>
      </c>
      <c r="M216" s="3045" t="s">
        <v>4699</v>
      </c>
      <c r="N216" s="3046"/>
      <c r="O216" s="3046"/>
      <c r="P216" s="3047"/>
      <c r="V216" s="1169"/>
      <c r="W216" s="1169"/>
    </row>
    <row r="217" spans="1:23" ht="10.5" customHeight="1">
      <c r="A217" s="183"/>
      <c r="B217" s="405" t="s">
        <v>3816</v>
      </c>
      <c r="G217" s="405"/>
      <c r="J217" s="3048">
        <v>0.2</v>
      </c>
      <c r="K217" s="1317" t="s">
        <v>3815</v>
      </c>
      <c r="L217" s="1258"/>
      <c r="V217" s="1169"/>
      <c r="W217" s="1169"/>
    </row>
    <row r="218" spans="1:23" ht="21.75" customHeight="1">
      <c r="A218" s="2087" t="s">
        <v>4224</v>
      </c>
      <c r="B218" s="2085" t="s">
        <v>4221</v>
      </c>
      <c r="C218" s="2086"/>
      <c r="D218" s="3049" t="s">
        <v>4703</v>
      </c>
      <c r="E218" s="3050"/>
      <c r="F218" s="3050"/>
      <c r="G218" s="3050"/>
      <c r="H218" s="3050"/>
      <c r="I218" s="3050"/>
      <c r="J218" s="3050"/>
      <c r="K218" s="3050"/>
      <c r="L218" s="3050"/>
      <c r="M218" s="3050"/>
      <c r="N218" s="3050"/>
      <c r="O218" s="3050"/>
      <c r="P218" s="3051"/>
      <c r="Q218" s="461"/>
      <c r="V218" s="1169"/>
      <c r="W218" s="1169"/>
    </row>
    <row r="219" spans="1:23" ht="34.5" customHeight="1">
      <c r="A219" s="2088"/>
      <c r="B219" s="2083" t="s">
        <v>4222</v>
      </c>
      <c r="C219" s="2084"/>
      <c r="D219" s="3052" t="s">
        <v>4704</v>
      </c>
      <c r="E219" s="3053"/>
      <c r="F219" s="3053"/>
      <c r="G219" s="3053"/>
      <c r="H219" s="3053"/>
      <c r="I219" s="3053"/>
      <c r="J219" s="3053"/>
      <c r="K219" s="3053"/>
      <c r="L219" s="3053"/>
      <c r="M219" s="3053"/>
      <c r="N219" s="3053"/>
      <c r="O219" s="3053"/>
      <c r="P219" s="3054"/>
      <c r="Q219" s="461"/>
      <c r="V219" s="1169"/>
      <c r="W219" s="1169"/>
    </row>
    <row r="220" spans="1:23" ht="34.5" customHeight="1">
      <c r="A220" s="2089"/>
      <c r="B220" s="2016" t="s">
        <v>4223</v>
      </c>
      <c r="C220" s="2017"/>
      <c r="D220" s="3055" t="s">
        <v>4705</v>
      </c>
      <c r="E220" s="3056"/>
      <c r="F220" s="3056"/>
      <c r="G220" s="3056"/>
      <c r="H220" s="3056"/>
      <c r="I220" s="3056"/>
      <c r="J220" s="3056"/>
      <c r="K220" s="3056"/>
      <c r="L220" s="3056"/>
      <c r="M220" s="3056"/>
      <c r="N220" s="3056"/>
      <c r="O220" s="3056"/>
      <c r="P220" s="3057"/>
      <c r="Q220" s="461"/>
      <c r="V220" s="1169"/>
      <c r="W220" s="1169"/>
    </row>
    <row r="221" spans="1:23" ht="10.5" customHeight="1">
      <c r="B221" s="37" t="s">
        <v>3475</v>
      </c>
      <c r="G221" s="2113" t="s">
        <v>2646</v>
      </c>
      <c r="H221" s="2113"/>
      <c r="J221" s="3058">
        <v>2200000</v>
      </c>
      <c r="K221" s="3059"/>
      <c r="L221" s="2014"/>
      <c r="M221" s="2015"/>
      <c r="V221" s="1169"/>
      <c r="W221" s="1169"/>
    </row>
    <row r="222" spans="1:23" s="44" customFormat="1" ht="10.5" customHeight="1">
      <c r="A222" s="43"/>
      <c r="C222" s="37" t="s">
        <v>3476</v>
      </c>
      <c r="D222" s="1599"/>
      <c r="G222" s="2090">
        <f>'Part IV-A-Uses of Funds'!$G$132</f>
        <v>13480710.35</v>
      </c>
      <c r="H222" s="2091"/>
      <c r="J222" s="2080">
        <f>IF($J221=0,0,$J221/$G$222)</f>
        <v>0.16319614789438749</v>
      </c>
      <c r="K222" s="2081"/>
      <c r="L222" s="2080">
        <f>IF($L221=0,0,$L221/$G$222)</f>
        <v>0</v>
      </c>
      <c r="M222" s="2081"/>
      <c r="V222" s="1169"/>
      <c r="W222" s="1169"/>
    </row>
    <row r="223" spans="1:23" s="105" customFormat="1" ht="10.5" customHeight="1" thickBot="1">
      <c r="A223" s="43"/>
      <c r="B223" s="1332" t="s">
        <v>3779</v>
      </c>
      <c r="C223" s="43"/>
      <c r="D223" s="49"/>
      <c r="E223" s="49"/>
      <c r="F223" s="49"/>
      <c r="G223" s="49"/>
      <c r="H223" s="37"/>
      <c r="I223" s="37"/>
      <c r="J223" s="37"/>
      <c r="K223" s="37"/>
      <c r="M223" s="47"/>
      <c r="N223" s="6"/>
      <c r="O223" s="3"/>
      <c r="P223" s="1591"/>
    </row>
    <row r="224" spans="1:23" s="44" customFormat="1" ht="21.75" customHeight="1" thickTop="1" thickBot="1">
      <c r="A224" s="2932" t="s">
        <v>4751</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601"/>
      <c r="F225" s="1601"/>
      <c r="G225" s="1601"/>
      <c r="H225" s="1601"/>
      <c r="I225" s="1601"/>
      <c r="J225" s="1601"/>
      <c r="K225" s="1601"/>
      <c r="L225" s="1601"/>
      <c r="M225" s="1601"/>
      <c r="N225" s="96"/>
      <c r="O225" s="925"/>
      <c r="P225" s="1591"/>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9"/>
      <c r="D227" s="1599"/>
      <c r="E227" s="1599"/>
      <c r="F227" s="1599"/>
      <c r="G227" s="1599"/>
      <c r="H227" s="1599"/>
      <c r="I227" s="1599"/>
      <c r="J227" s="1599"/>
      <c r="K227" s="1599"/>
      <c r="L227" s="1599"/>
      <c r="M227" s="1599"/>
      <c r="N227" s="77"/>
      <c r="O227" s="73"/>
      <c r="P227" s="941"/>
    </row>
    <row r="228" spans="1:23" s="44" customFormat="1" ht="13.5" customHeight="1" thickBot="1">
      <c r="A228" s="158" t="s">
        <v>428</v>
      </c>
      <c r="B228" s="109" t="s">
        <v>4056</v>
      </c>
      <c r="C228" s="1599"/>
      <c r="D228" s="1599"/>
      <c r="E228" s="1599"/>
      <c r="F228" s="1599"/>
      <c r="G228" s="1599"/>
      <c r="H228" s="1599"/>
      <c r="I228" s="1599"/>
      <c r="J228" s="1599"/>
      <c r="K228" s="1597" t="s">
        <v>3265</v>
      </c>
      <c r="L228" s="1597" t="s">
        <v>258</v>
      </c>
      <c r="M228" s="941">
        <v>3</v>
      </c>
      <c r="N228" s="77"/>
      <c r="O228" s="73"/>
      <c r="P228" s="1231"/>
      <c r="Q228" s="112" t="s">
        <v>443</v>
      </c>
      <c r="R228" s="1086" t="s">
        <v>2724</v>
      </c>
    </row>
    <row r="229" spans="1:23" s="44" customFormat="1" ht="11.25" customHeight="1">
      <c r="A229" s="143"/>
      <c r="B229" s="116" t="s">
        <v>4059</v>
      </c>
      <c r="D229" s="56" t="s">
        <v>4060</v>
      </c>
      <c r="K229" s="1293">
        <f>$O$189</f>
        <v>7</v>
      </c>
      <c r="L229" s="1294">
        <f>$P$189</f>
        <v>0</v>
      </c>
      <c r="N229" s="484" t="s">
        <v>2451</v>
      </c>
      <c r="O229" s="2929" t="s">
        <v>3009</v>
      </c>
      <c r="P229" s="1005"/>
      <c r="R229" s="391"/>
    </row>
    <row r="230" spans="1:23" s="44" customFormat="1" ht="11.25" customHeight="1">
      <c r="A230" s="143"/>
      <c r="D230" s="56" t="s">
        <v>4061</v>
      </c>
      <c r="K230" s="1293">
        <f>$O$111</f>
        <v>3</v>
      </c>
      <c r="L230" s="1294">
        <f>$P$111</f>
        <v>0</v>
      </c>
      <c r="N230" s="484" t="s">
        <v>2452</v>
      </c>
      <c r="O230" s="2935" t="s">
        <v>3009</v>
      </c>
      <c r="P230" s="562"/>
      <c r="R230" s="1169"/>
      <c r="S230" s="1169"/>
    </row>
    <row r="231" spans="1:23" s="44" customFormat="1" ht="11.25" customHeight="1">
      <c r="A231" s="143"/>
      <c r="D231" s="56" t="s">
        <v>4062</v>
      </c>
      <c r="N231" s="484" t="s">
        <v>2453</v>
      </c>
      <c r="O231" s="2928" t="s">
        <v>3009</v>
      </c>
      <c r="P231" s="562"/>
      <c r="R231" s="1169"/>
      <c r="S231" s="1169"/>
    </row>
    <row r="232" spans="1:23" s="44" customFormat="1" ht="11.25" customHeight="1">
      <c r="A232" s="143"/>
      <c r="D232" s="56" t="s">
        <v>4063</v>
      </c>
      <c r="N232" s="484" t="s">
        <v>2454</v>
      </c>
      <c r="O232" s="484"/>
      <c r="P232" s="962"/>
      <c r="R232" s="1169"/>
      <c r="S232" s="1169"/>
    </row>
    <row r="233" spans="1:23" s="44" customFormat="1" ht="11.25" customHeight="1">
      <c r="A233" s="143"/>
      <c r="D233" s="56" t="s">
        <v>4064</v>
      </c>
      <c r="N233" s="484" t="s">
        <v>2455</v>
      </c>
      <c r="O233" s="2999" t="s">
        <v>3012</v>
      </c>
      <c r="P233" s="563"/>
      <c r="R233" s="1169"/>
      <c r="S233" s="1169"/>
    </row>
    <row r="234" spans="1:23" s="44" customFormat="1" ht="3" customHeight="1">
      <c r="A234" s="43"/>
      <c r="C234" s="1599"/>
      <c r="D234" s="1599"/>
      <c r="E234" s="1599"/>
      <c r="F234" s="1599"/>
      <c r="G234" s="1599"/>
      <c r="H234" s="1599"/>
      <c r="I234" s="1599"/>
      <c r="J234" s="1599"/>
      <c r="K234" s="1599"/>
      <c r="L234" s="1599"/>
      <c r="M234" s="1599"/>
      <c r="N234" s="77"/>
      <c r="O234" s="73"/>
      <c r="P234" s="941"/>
    </row>
    <row r="235" spans="1:23" ht="11.45" customHeight="1">
      <c r="A235" s="143" t="s">
        <v>1999</v>
      </c>
      <c r="B235" s="184" t="s">
        <v>4066</v>
      </c>
      <c r="D235" s="34"/>
      <c r="G235" s="495" t="s">
        <v>3811</v>
      </c>
      <c r="N235" s="28"/>
      <c r="O235" s="28"/>
      <c r="P235" s="28"/>
      <c r="Q235" s="1099"/>
    </row>
    <row r="236" spans="1:23" s="34" customFormat="1" ht="10.5" customHeight="1">
      <c r="A236" s="532"/>
      <c r="B236" s="139" t="s">
        <v>3891</v>
      </c>
      <c r="D236" s="3060" t="s">
        <v>4711</v>
      </c>
      <c r="E236" s="3061"/>
      <c r="F236" s="3061"/>
      <c r="G236" s="3062"/>
      <c r="H236" s="3063"/>
      <c r="I236" s="1602" t="s">
        <v>2722</v>
      </c>
      <c r="J236" s="3060" t="s">
        <v>4576</v>
      </c>
      <c r="K236" s="3061"/>
      <c r="L236" s="3061"/>
      <c r="M236" s="3061"/>
      <c r="N236" s="3063"/>
      <c r="O236" s="605"/>
      <c r="P236" s="605"/>
      <c r="Q236" s="1099"/>
    </row>
    <row r="237" spans="1:23" s="34" customFormat="1" ht="10.5" customHeight="1">
      <c r="A237" s="532"/>
      <c r="B237" s="139" t="s">
        <v>2210</v>
      </c>
      <c r="D237" s="3064" t="s">
        <v>4712</v>
      </c>
      <c r="E237" s="3065"/>
      <c r="F237" s="3066"/>
      <c r="G237" s="139" t="s">
        <v>1734</v>
      </c>
      <c r="H237" s="3067">
        <v>7063783940</v>
      </c>
      <c r="I237" s="448" t="s">
        <v>1813</v>
      </c>
      <c r="J237" s="3064" t="s">
        <v>4561</v>
      </c>
      <c r="K237" s="3065"/>
      <c r="L237" s="3065"/>
      <c r="M237" s="3065"/>
      <c r="N237" s="3066"/>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4065</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5"/>
      <c r="B240" s="655"/>
      <c r="C240" s="2012" t="s">
        <v>4076</v>
      </c>
      <c r="D240" s="2012"/>
      <c r="E240" s="2012"/>
      <c r="F240" s="2012"/>
      <c r="G240" s="2012"/>
      <c r="H240" s="2012"/>
      <c r="I240" s="2012"/>
      <c r="J240" s="2012"/>
      <c r="K240" s="2012"/>
      <c r="L240" s="2012"/>
      <c r="N240" s="404" t="s">
        <v>2002</v>
      </c>
      <c r="O240" s="3068" t="s">
        <v>3009</v>
      </c>
      <c r="P240" s="1262"/>
      <c r="Q240" s="1096"/>
      <c r="R240" s="28"/>
      <c r="S240" s="1177"/>
      <c r="V240" s="1169"/>
      <c r="W240" s="1169"/>
    </row>
    <row r="241" spans="1:23" s="34" customFormat="1" ht="10.5" customHeight="1">
      <c r="A241" s="532"/>
      <c r="B241" s="484" t="s">
        <v>2451</v>
      </c>
      <c r="C241" s="139" t="s">
        <v>4067</v>
      </c>
      <c r="D241" s="3069" t="s">
        <v>4713</v>
      </c>
      <c r="E241" s="3070"/>
      <c r="F241" s="3070"/>
      <c r="G241" s="3061"/>
      <c r="H241" s="3071"/>
      <c r="I241" s="1602" t="s">
        <v>2722</v>
      </c>
      <c r="J241" s="3069" t="s">
        <v>4714</v>
      </c>
      <c r="K241" s="3070"/>
      <c r="L241" s="3070"/>
      <c r="M241" s="3070"/>
      <c r="N241" s="3071"/>
      <c r="O241" s="2114" t="s">
        <v>4069</v>
      </c>
      <c r="P241" s="2115"/>
      <c r="Q241" s="1096"/>
      <c r="R241" s="28"/>
      <c r="V241" s="1169"/>
      <c r="W241" s="1169"/>
    </row>
    <row r="242" spans="1:23" s="34" customFormat="1" ht="10.5" customHeight="1">
      <c r="A242" s="532"/>
      <c r="C242" s="1179" t="s">
        <v>2210</v>
      </c>
      <c r="D242" s="3064" t="s">
        <v>4715</v>
      </c>
      <c r="E242" s="3065"/>
      <c r="F242" s="3066"/>
      <c r="G242" s="1260" t="s">
        <v>1734</v>
      </c>
      <c r="H242" s="3067">
        <v>7062957164</v>
      </c>
      <c r="I242" s="1178" t="s">
        <v>1813</v>
      </c>
      <c r="J242" s="3064" t="s">
        <v>4716</v>
      </c>
      <c r="K242" s="3065"/>
      <c r="L242" s="3065"/>
      <c r="M242" s="3065"/>
      <c r="N242" s="3066"/>
      <c r="O242" s="2928" t="s">
        <v>3009</v>
      </c>
      <c r="P242" s="563"/>
      <c r="Q242" s="1096"/>
      <c r="R242" s="28"/>
      <c r="V242" s="1169"/>
      <c r="W242" s="1169"/>
    </row>
    <row r="243" spans="1:23" s="34" customFormat="1" ht="10.5" customHeight="1">
      <c r="A243" s="532"/>
      <c r="B243" s="484" t="s">
        <v>2452</v>
      </c>
      <c r="C243" s="139" t="s">
        <v>4068</v>
      </c>
      <c r="D243" s="3069" t="s">
        <v>4717</v>
      </c>
      <c r="E243" s="3070"/>
      <c r="F243" s="3070"/>
      <c r="G243" s="3061"/>
      <c r="H243" s="3071"/>
      <c r="I243" s="1602" t="s">
        <v>2722</v>
      </c>
      <c r="J243" s="3069" t="s">
        <v>4718</v>
      </c>
      <c r="K243" s="3070"/>
      <c r="L243" s="3070"/>
      <c r="M243" s="3070"/>
      <c r="N243" s="3071"/>
      <c r="O243" s="2114" t="s">
        <v>4069</v>
      </c>
      <c r="P243" s="2115"/>
      <c r="Q243" s="1096"/>
      <c r="R243" s="28"/>
      <c r="V243" s="1169"/>
      <c r="W243" s="1169"/>
    </row>
    <row r="244" spans="1:23" s="34" customFormat="1" ht="10.5" customHeight="1">
      <c r="A244" s="532"/>
      <c r="C244" s="1179" t="s">
        <v>2210</v>
      </c>
      <c r="D244" s="3064" t="s">
        <v>4719</v>
      </c>
      <c r="E244" s="3065"/>
      <c r="F244" s="3066"/>
      <c r="G244" s="1260" t="s">
        <v>1734</v>
      </c>
      <c r="H244" s="3067">
        <v>7062322469</v>
      </c>
      <c r="I244" s="1178" t="s">
        <v>1813</v>
      </c>
      <c r="J244" s="3064" t="s">
        <v>4720</v>
      </c>
      <c r="K244" s="3065"/>
      <c r="L244" s="3065"/>
      <c r="M244" s="3065"/>
      <c r="N244" s="3066"/>
      <c r="O244" s="2928" t="s">
        <v>3009</v>
      </c>
      <c r="P244" s="563"/>
      <c r="Q244" s="1096"/>
      <c r="R244" s="28"/>
      <c r="V244" s="1169"/>
      <c r="W244" s="1169"/>
    </row>
    <row r="245" spans="1:23" ht="11.25" customHeight="1">
      <c r="A245" s="532"/>
      <c r="B245" s="621" t="s">
        <v>2004</v>
      </c>
      <c r="C245" s="1101" t="s">
        <v>4070</v>
      </c>
      <c r="D245" s="1096"/>
      <c r="E245" s="1096"/>
      <c r="F245" s="1096"/>
      <c r="G245" s="495" t="s">
        <v>3811</v>
      </c>
      <c r="H245" s="1096"/>
      <c r="I245" s="1096"/>
      <c r="J245" s="1096"/>
      <c r="K245" s="1096"/>
      <c r="L245" s="1096"/>
      <c r="M245" s="1096"/>
      <c r="N245" s="1096"/>
      <c r="O245" s="540" t="s">
        <v>2527</v>
      </c>
      <c r="P245" s="540" t="s">
        <v>2527</v>
      </c>
      <c r="Q245" s="1096"/>
    </row>
    <row r="246" spans="1:23" ht="21.75" customHeight="1">
      <c r="A246" s="532"/>
      <c r="B246" s="1103"/>
      <c r="C246" s="1942" t="s">
        <v>4185</v>
      </c>
      <c r="D246" s="1942"/>
      <c r="E246" s="1942"/>
      <c r="F246" s="1942"/>
      <c r="G246" s="1942"/>
      <c r="H246" s="1942"/>
      <c r="I246" s="1942"/>
      <c r="J246" s="1942"/>
      <c r="K246" s="1942"/>
      <c r="L246" s="1942"/>
      <c r="M246" s="1942"/>
      <c r="N246" s="404" t="s">
        <v>2004</v>
      </c>
      <c r="O246" s="3068" t="s">
        <v>3009</v>
      </c>
      <c r="P246" s="1262"/>
      <c r="Q246" s="1100"/>
      <c r="V246" s="1169"/>
      <c r="W246" s="1169"/>
    </row>
    <row r="247" spans="1:23" ht="11.25" customHeight="1">
      <c r="A247" s="532"/>
      <c r="B247" s="484" t="s">
        <v>2451</v>
      </c>
      <c r="C247" s="1105" t="s">
        <v>4186</v>
      </c>
      <c r="D247" s="1598"/>
      <c r="E247" s="1598"/>
      <c r="F247" s="1598"/>
      <c r="G247" s="1598"/>
      <c r="H247" s="1598"/>
      <c r="I247" s="1598"/>
      <c r="J247" s="1598"/>
      <c r="K247" s="1598"/>
      <c r="L247" s="1598"/>
      <c r="M247" s="1598"/>
      <c r="N247" s="1598"/>
      <c r="O247" s="1598"/>
      <c r="P247" s="1598"/>
      <c r="Q247" s="1100"/>
      <c r="V247" s="1169"/>
      <c r="W247" s="1169"/>
    </row>
    <row r="248" spans="1:23" ht="10.5" customHeight="1">
      <c r="A248" s="532"/>
      <c r="B248" s="34"/>
      <c r="C248" s="2981" t="s">
        <v>4721</v>
      </c>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t="s">
        <v>4722</v>
      </c>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t="s">
        <v>4723</v>
      </c>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4184</v>
      </c>
      <c r="D251" s="1598"/>
      <c r="E251" s="1598"/>
      <c r="F251" s="1598"/>
      <c r="G251" s="1598"/>
      <c r="H251" s="1598"/>
      <c r="I251" s="1598"/>
      <c r="J251" s="1598"/>
      <c r="K251" s="1598"/>
      <c r="L251" s="2022" t="s">
        <v>4188</v>
      </c>
      <c r="M251" s="2022"/>
      <c r="N251" s="2023" t="s">
        <v>4189</v>
      </c>
      <c r="O251" s="2023"/>
      <c r="P251" s="2023"/>
      <c r="Q251" s="1100"/>
      <c r="V251" s="1169"/>
      <c r="W251" s="1169"/>
    </row>
    <row r="252" spans="1:23" ht="10.5" customHeight="1">
      <c r="A252" s="532"/>
      <c r="B252" s="1103"/>
      <c r="C252" s="2981" t="s">
        <v>4724</v>
      </c>
      <c r="D252" s="2982"/>
      <c r="E252" s="2982"/>
      <c r="F252" s="2982"/>
      <c r="G252" s="2982"/>
      <c r="H252" s="2982"/>
      <c r="I252" s="2982"/>
      <c r="J252" s="2982"/>
      <c r="K252" s="2983"/>
      <c r="L252" s="2981" t="s">
        <v>4725</v>
      </c>
      <c r="M252" s="2983"/>
      <c r="N252" s="2981" t="s">
        <v>4726</v>
      </c>
      <c r="O252" s="2982"/>
      <c r="P252" s="2983"/>
      <c r="Q252" s="1174"/>
      <c r="V252" s="1169"/>
      <c r="W252" s="1169"/>
    </row>
    <row r="253" spans="1:23" ht="10.5" customHeight="1">
      <c r="A253" s="532"/>
      <c r="B253" s="1103"/>
      <c r="C253" s="2986" t="s">
        <v>4727</v>
      </c>
      <c r="D253" s="2987"/>
      <c r="E253" s="2987"/>
      <c r="F253" s="2987"/>
      <c r="G253" s="2987"/>
      <c r="H253" s="2987"/>
      <c r="I253" s="2987"/>
      <c r="J253" s="2987"/>
      <c r="K253" s="2988"/>
      <c r="L253" s="2986" t="s">
        <v>4702</v>
      </c>
      <c r="M253" s="2988"/>
      <c r="N253" s="2986" t="s">
        <v>4726</v>
      </c>
      <c r="O253" s="2987"/>
      <c r="P253" s="2988"/>
      <c r="Q253" s="1100"/>
      <c r="V253" s="1169"/>
      <c r="W253" s="1169"/>
    </row>
    <row r="254" spans="1:23" ht="10.5" customHeight="1">
      <c r="A254" s="532"/>
      <c r="B254" s="1103"/>
      <c r="C254" s="2991" t="s">
        <v>4728</v>
      </c>
      <c r="D254" s="2992"/>
      <c r="E254" s="2992"/>
      <c r="F254" s="2992"/>
      <c r="G254" s="2992"/>
      <c r="H254" s="2992"/>
      <c r="I254" s="2992"/>
      <c r="J254" s="2992"/>
      <c r="K254" s="2993"/>
      <c r="L254" s="2991" t="s">
        <v>4729</v>
      </c>
      <c r="M254" s="2993"/>
      <c r="N254" s="2991" t="s">
        <v>4726</v>
      </c>
      <c r="O254" s="2992"/>
      <c r="P254" s="2993"/>
      <c r="Q254" s="1100"/>
      <c r="V254" s="1169"/>
      <c r="W254" s="1169"/>
    </row>
    <row r="255" spans="1:23" ht="10.5" customHeight="1">
      <c r="A255" s="532"/>
      <c r="B255" s="621" t="s">
        <v>2551</v>
      </c>
      <c r="C255" s="1101" t="s">
        <v>4071</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4075</v>
      </c>
      <c r="D256" s="2012"/>
      <c r="E256" s="2012"/>
      <c r="F256" s="2012"/>
      <c r="G256" s="2012"/>
      <c r="H256" s="2012"/>
      <c r="I256" s="2012"/>
      <c r="J256" s="2012"/>
      <c r="K256" s="2012"/>
      <c r="L256" s="2012"/>
      <c r="M256" s="2012"/>
      <c r="N256" s="404" t="s">
        <v>2551</v>
      </c>
      <c r="O256" s="2999" t="s">
        <v>3009</v>
      </c>
      <c r="P256" s="560"/>
      <c r="Q256" s="1100"/>
      <c r="V256" s="1169"/>
      <c r="W256" s="1169"/>
    </row>
    <row r="257" spans="1:23" ht="10.5" customHeight="1">
      <c r="A257" s="143"/>
      <c r="B257" s="942" t="s">
        <v>1236</v>
      </c>
      <c r="C257" s="618" t="s">
        <v>3814</v>
      </c>
      <c r="D257" s="34"/>
      <c r="N257" s="28"/>
      <c r="O257" s="28"/>
      <c r="P257" s="28"/>
      <c r="Q257" s="117"/>
    </row>
    <row r="258" spans="1:23" s="34" customFormat="1" ht="21.75" customHeight="1">
      <c r="A258" s="532"/>
      <c r="B258" s="1104"/>
      <c r="C258" s="2019" t="s">
        <v>4077</v>
      </c>
      <c r="D258" s="2019"/>
      <c r="E258" s="2019"/>
      <c r="F258" s="2019"/>
      <c r="G258" s="2019"/>
      <c r="H258" s="2019"/>
      <c r="I258" s="2019"/>
      <c r="J258" s="2019"/>
      <c r="K258" s="2019"/>
      <c r="L258" s="2019"/>
      <c r="M258" s="2019"/>
      <c r="N258" s="404" t="s">
        <v>1236</v>
      </c>
      <c r="O258" s="3072" t="s">
        <v>3009</v>
      </c>
      <c r="P258" s="1261"/>
      <c r="Q258" s="1100"/>
      <c r="V258" s="1169"/>
      <c r="W258" s="1169"/>
    </row>
    <row r="259" spans="1:23" s="34" customFormat="1" ht="10.5" customHeight="1">
      <c r="A259" s="532"/>
      <c r="B259" s="401" t="s">
        <v>2451</v>
      </c>
      <c r="C259" s="2012" t="s">
        <v>4078</v>
      </c>
      <c r="D259" s="2012"/>
      <c r="E259" s="2012"/>
      <c r="F259" s="2012"/>
      <c r="G259" s="2012"/>
      <c r="H259" s="2012"/>
      <c r="I259" s="2012"/>
      <c r="J259" s="2012"/>
      <c r="K259" s="2012"/>
      <c r="L259" s="2012"/>
      <c r="M259" s="2012"/>
      <c r="N259" s="401" t="s">
        <v>2451</v>
      </c>
      <c r="O259" s="2935" t="s">
        <v>3009</v>
      </c>
      <c r="P259" s="562"/>
      <c r="Q259" s="1100"/>
      <c r="V259" s="1169"/>
      <c r="W259" s="1169"/>
    </row>
    <row r="260" spans="1:23" s="34" customFormat="1" ht="10.5" customHeight="1">
      <c r="A260" s="532"/>
      <c r="B260" s="401" t="s">
        <v>2452</v>
      </c>
      <c r="C260" s="2012" t="s">
        <v>4079</v>
      </c>
      <c r="D260" s="2012"/>
      <c r="E260" s="2012"/>
      <c r="F260" s="2012"/>
      <c r="G260" s="2012"/>
      <c r="H260" s="2012"/>
      <c r="I260" s="2012"/>
      <c r="J260" s="2012"/>
      <c r="K260" s="2012"/>
      <c r="L260" s="2012"/>
      <c r="M260" s="2012"/>
      <c r="N260" s="401" t="s">
        <v>2452</v>
      </c>
      <c r="O260" s="2928" t="s">
        <v>3009</v>
      </c>
      <c r="P260" s="563"/>
      <c r="Q260" s="1100"/>
      <c r="V260" s="1169"/>
      <c r="W260" s="1169"/>
    </row>
    <row r="261" spans="1:23" ht="1.5" customHeight="1">
      <c r="B261" s="390"/>
      <c r="C261" s="446"/>
      <c r="G261" s="495"/>
      <c r="H261" s="164"/>
      <c r="L261" s="1609"/>
      <c r="M261" s="1609"/>
      <c r="N261" s="28"/>
      <c r="O261" s="28"/>
      <c r="P261" s="28"/>
      <c r="Q261" s="1100"/>
      <c r="V261" s="1169"/>
      <c r="W261" s="1169"/>
    </row>
    <row r="262" spans="1:23" ht="11.45" customHeight="1">
      <c r="A262" s="143" t="s">
        <v>2001</v>
      </c>
      <c r="B262" s="184" t="s">
        <v>4072</v>
      </c>
      <c r="D262" s="34"/>
      <c r="G262" s="495" t="s">
        <v>3811</v>
      </c>
      <c r="N262" s="28"/>
      <c r="O262" s="540" t="s">
        <v>2527</v>
      </c>
      <c r="P262" s="540" t="s">
        <v>2527</v>
      </c>
      <c r="Q262" s="1099"/>
    </row>
    <row r="263" spans="1:23" ht="21.75" customHeight="1">
      <c r="A263" s="532"/>
      <c r="B263" s="621" t="s">
        <v>2002</v>
      </c>
      <c r="C263" s="1942" t="s">
        <v>4073</v>
      </c>
      <c r="D263" s="1942"/>
      <c r="E263" s="1942"/>
      <c r="F263" s="1942"/>
      <c r="G263" s="1942"/>
      <c r="H263" s="1942"/>
      <c r="I263" s="1942"/>
      <c r="J263" s="1942"/>
      <c r="K263" s="1942"/>
      <c r="L263" s="1942"/>
      <c r="M263" s="1232" t="s">
        <v>2001</v>
      </c>
      <c r="N263" s="404" t="s">
        <v>2002</v>
      </c>
      <c r="O263" s="3072" t="s">
        <v>3009</v>
      </c>
      <c r="P263" s="1261"/>
      <c r="Q263" s="1099"/>
      <c r="V263" s="1169"/>
      <c r="W263" s="1169"/>
    </row>
    <row r="264" spans="1:23" s="34" customFormat="1" ht="10.5" customHeight="1">
      <c r="A264" s="532"/>
      <c r="B264" s="621" t="s">
        <v>2004</v>
      </c>
      <c r="C264" s="448" t="s">
        <v>4074</v>
      </c>
      <c r="D264" s="1041"/>
      <c r="E264" s="1041"/>
      <c r="F264" s="1041"/>
      <c r="G264" s="1041"/>
      <c r="H264" s="1041"/>
      <c r="I264" s="1041"/>
      <c r="J264" s="1041"/>
      <c r="K264" s="1041"/>
      <c r="L264" s="1041"/>
      <c r="M264" s="1041"/>
      <c r="N264" s="404" t="s">
        <v>2004</v>
      </c>
      <c r="O264" s="2928" t="s">
        <v>3009</v>
      </c>
      <c r="P264" s="563"/>
      <c r="Q264" s="1100"/>
      <c r="V264" s="1353"/>
      <c r="W264" s="1353"/>
    </row>
    <row r="265" spans="1:23" s="44" customFormat="1" ht="12" customHeight="1" thickBot="1">
      <c r="A265" s="43"/>
      <c r="B265" s="1332" t="s">
        <v>3779</v>
      </c>
      <c r="C265" s="43"/>
      <c r="D265" s="49"/>
      <c r="E265" s="49"/>
      <c r="F265" s="49"/>
      <c r="G265" s="49"/>
      <c r="H265" s="37"/>
      <c r="I265" s="139"/>
      <c r="M265" s="47"/>
      <c r="N265" s="63"/>
      <c r="O265" s="3"/>
      <c r="P265" s="1594"/>
    </row>
    <row r="266" spans="1:23" s="44" customFormat="1" ht="30" customHeight="1" thickTop="1" thickBot="1">
      <c r="A266" s="2970" t="s">
        <v>4730</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9"/>
      <c r="F267" s="1599"/>
      <c r="G267" s="1599"/>
      <c r="H267" s="1599"/>
      <c r="I267" s="1599"/>
      <c r="J267" s="1599"/>
      <c r="K267" s="1599"/>
      <c r="L267" s="1599"/>
      <c r="M267" s="1599"/>
      <c r="N267" s="77"/>
      <c r="O267" s="73"/>
      <c r="P267" s="1591"/>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4232</v>
      </c>
      <c r="M270" s="1591">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3624</v>
      </c>
      <c r="B272" s="921" t="s">
        <v>3622</v>
      </c>
      <c r="C272" s="95"/>
      <c r="D272" s="60"/>
      <c r="E272" s="60"/>
      <c r="H272" s="179"/>
      <c r="M272" s="1235">
        <v>3</v>
      </c>
      <c r="N272" s="2018" t="s">
        <v>4083</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2"/>
      <c r="B273" s="113" t="s">
        <v>2811</v>
      </c>
      <c r="C273" s="536"/>
      <c r="D273" s="536"/>
      <c r="H273" s="537" t="str">
        <f>'Part I-Project Information'!$H$100</f>
        <v>Flexible</v>
      </c>
      <c r="N273" s="2018"/>
      <c r="O273" s="1297" t="s">
        <v>2527</v>
      </c>
      <c r="P273" s="1297" t="s">
        <v>2527</v>
      </c>
    </row>
    <row r="274" spans="1:21" ht="11.45" customHeight="1">
      <c r="A274" s="2112"/>
      <c r="B274" s="942" t="s">
        <v>2002</v>
      </c>
      <c r="C274" s="454" t="s">
        <v>2702</v>
      </c>
      <c r="E274" s="120"/>
      <c r="M274" s="83"/>
      <c r="N274" s="2018"/>
      <c r="O274" s="2999" t="s">
        <v>4690</v>
      </c>
      <c r="P274" s="560"/>
      <c r="Q274" s="2074" t="str">
        <f>IF(AND(O274="Yes",O277="Yes"),"Only 1 or 4 can be 'Yes'!","")</f>
        <v/>
      </c>
      <c r="R274" s="2074"/>
    </row>
    <row r="275" spans="1:21" ht="11.45" customHeight="1">
      <c r="B275" s="942" t="s">
        <v>2004</v>
      </c>
      <c r="C275" s="454" t="s">
        <v>2756</v>
      </c>
      <c r="G275" s="103" t="s">
        <v>2405</v>
      </c>
      <c r="H275" s="3073" t="s">
        <v>3804</v>
      </c>
      <c r="I275" s="454" t="s">
        <v>2757</v>
      </c>
      <c r="L275" s="139" t="s">
        <v>2755</v>
      </c>
      <c r="M275" s="944" t="str">
        <f>IF(O275&gt;H275,"CHECK ACTUAL PERCENT!!!","")</f>
        <v/>
      </c>
      <c r="N275" s="181" t="s">
        <v>2004</v>
      </c>
      <c r="O275" s="3074"/>
      <c r="P275" s="1287"/>
      <c r="Q275" s="2074"/>
      <c r="R275" s="2074"/>
    </row>
    <row r="276" spans="1:21" ht="11.45" customHeight="1">
      <c r="B276" s="942" t="s">
        <v>2551</v>
      </c>
      <c r="C276" s="430" t="s">
        <v>2406</v>
      </c>
      <c r="E276" s="120"/>
      <c r="G276" s="103" t="s">
        <v>2407</v>
      </c>
      <c r="J276" s="2075" t="s">
        <v>4082</v>
      </c>
      <c r="L276" s="448" t="s">
        <v>2749</v>
      </c>
      <c r="M276" s="34"/>
      <c r="N276" s="181" t="s">
        <v>2551</v>
      </c>
      <c r="O276" s="3075" t="s">
        <v>203</v>
      </c>
      <c r="P276" s="1357" t="s">
        <v>203</v>
      </c>
      <c r="Q276" s="2074"/>
      <c r="R276" s="2074"/>
    </row>
    <row r="277" spans="1:21" s="406" customFormat="1" ht="11.45" customHeight="1">
      <c r="B277" s="621" t="s">
        <v>1236</v>
      </c>
      <c r="C277" s="1942" t="s">
        <v>4081</v>
      </c>
      <c r="D277" s="1942"/>
      <c r="E277" s="1942"/>
      <c r="F277" s="1942"/>
      <c r="G277" s="1942"/>
      <c r="H277" s="1942"/>
      <c r="I277" s="1942"/>
      <c r="J277" s="2077"/>
      <c r="K277" s="2075" t="s">
        <v>4080</v>
      </c>
      <c r="M277" s="1236">
        <v>2</v>
      </c>
      <c r="N277" s="181" t="s">
        <v>1236</v>
      </c>
      <c r="O277" s="3068"/>
      <c r="P277" s="1262"/>
      <c r="Q277" s="2074"/>
      <c r="R277" s="2074"/>
    </row>
    <row r="278" spans="1:21" ht="11.45" customHeight="1">
      <c r="B278" s="389"/>
      <c r="C278" s="1942"/>
      <c r="D278" s="1942"/>
      <c r="E278" s="1942"/>
      <c r="F278" s="1942"/>
      <c r="G278" s="1942"/>
      <c r="H278" s="1942"/>
      <c r="I278" s="1942"/>
      <c r="J278" s="2076"/>
      <c r="K278" s="2076"/>
      <c r="L278" s="2020" t="s">
        <v>4145</v>
      </c>
      <c r="M278" s="2021"/>
      <c r="N278" s="120"/>
    </row>
    <row r="279" spans="1:21" ht="11.45" customHeight="1">
      <c r="B279" s="389"/>
      <c r="C279" s="1942"/>
      <c r="D279" s="1942"/>
      <c r="E279" s="1942"/>
      <c r="F279" s="1942"/>
      <c r="G279" s="1942"/>
      <c r="H279" s="1942"/>
      <c r="I279" s="1942"/>
      <c r="J279" s="3076"/>
      <c r="K279" s="3077"/>
      <c r="L279" s="1233">
        <f>O57</f>
        <v>10</v>
      </c>
      <c r="M279" s="1234">
        <f>P57</f>
        <v>0</v>
      </c>
      <c r="N279" s="28"/>
    </row>
    <row r="280" spans="1:21" ht="11.45" customHeight="1">
      <c r="A280" s="539" t="s">
        <v>757</v>
      </c>
      <c r="B280" s="942" t="s">
        <v>3623</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3627</v>
      </c>
      <c r="C281" s="1290"/>
      <c r="D281" s="1290"/>
      <c r="E281" s="1290"/>
      <c r="F281" s="1290"/>
      <c r="G281" s="1290"/>
      <c r="H281" s="1288"/>
      <c r="I281" s="1288"/>
      <c r="O281" s="3078" t="s">
        <v>203</v>
      </c>
      <c r="P281" s="1289" t="s">
        <v>203</v>
      </c>
    </row>
    <row r="282" spans="1:21" ht="11.45" customHeight="1">
      <c r="A282" s="539" t="s">
        <v>2131</v>
      </c>
      <c r="B282" s="942" t="s">
        <v>3625</v>
      </c>
      <c r="C282" s="430"/>
      <c r="E282" s="120"/>
      <c r="G282" s="495" t="s">
        <v>3626</v>
      </c>
      <c r="H282" s="943">
        <f>'Part VI-Revenues &amp; Expenses'!$O$59</f>
        <v>0</v>
      </c>
      <c r="I282" s="1097" t="s">
        <v>3629</v>
      </c>
      <c r="J282" s="943">
        <f>'Part VI-Revenues &amp; Expenses'!$O$62</f>
        <v>66</v>
      </c>
      <c r="K282" s="1097" t="s">
        <v>3630</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9"/>
      <c r="F283" s="1599"/>
      <c r="G283" s="1599"/>
      <c r="H283" s="1599"/>
      <c r="I283" s="1599"/>
      <c r="J283" s="1599"/>
      <c r="K283" s="1599"/>
      <c r="L283" s="1599"/>
      <c r="M283" s="1599"/>
      <c r="N283" s="77"/>
      <c r="O283" s="73"/>
      <c r="P283" s="1591"/>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94"/>
      <c r="P285" s="3"/>
    </row>
    <row r="286" spans="1:21" s="105" customFormat="1" ht="12.6" customHeight="1" thickBot="1">
      <c r="A286" s="158" t="s">
        <v>365</v>
      </c>
      <c r="B286" s="109" t="s">
        <v>4084</v>
      </c>
      <c r="C286" s="95"/>
      <c r="D286" s="60"/>
      <c r="E286" s="60"/>
      <c r="H286" s="179"/>
      <c r="I286" s="447" t="s">
        <v>3827</v>
      </c>
      <c r="M286" s="1591">
        <v>10</v>
      </c>
      <c r="N286" s="7"/>
      <c r="O286" s="1194">
        <f>IF(OR(O287="Yes",O288="Yes"),$M$286,0)</f>
        <v>0</v>
      </c>
      <c r="P286" s="1194">
        <f>IF(OR(P287="Yes",P288="Yes"),$M$286,0)</f>
        <v>0</v>
      </c>
      <c r="Q286" s="112" t="s">
        <v>443</v>
      </c>
      <c r="R286" s="44"/>
    </row>
    <row r="287" spans="1:21" ht="11.25" customHeight="1">
      <c r="A287" s="1592" t="s">
        <v>1999</v>
      </c>
      <c r="B287" s="1238" t="s">
        <v>3818</v>
      </c>
      <c r="D287" s="655"/>
      <c r="E287" s="655"/>
      <c r="F287" s="655"/>
      <c r="G287" s="655"/>
      <c r="H287" s="655"/>
      <c r="I287" s="655"/>
      <c r="J287" s="655"/>
      <c r="K287" s="655"/>
      <c r="L287" s="1105"/>
      <c r="M287" s="2072" t="str">
        <f>IF(OR(SUM(T287:T288)&gt;1,SUM(U287:U288)&gt;1),"Only one category can be met by other means!","")</f>
        <v/>
      </c>
      <c r="N287" s="484" t="s">
        <v>1999</v>
      </c>
      <c r="O287" s="2929" t="s">
        <v>3012</v>
      </c>
      <c r="P287" s="561"/>
      <c r="U287" s="1355">
        <f>IF(L287="Yes",1,0)</f>
        <v>0</v>
      </c>
    </row>
    <row r="288" spans="1:21" ht="11.25" customHeight="1">
      <c r="A288" s="1592" t="s">
        <v>2001</v>
      </c>
      <c r="B288" s="1238" t="s">
        <v>3819</v>
      </c>
      <c r="D288" s="655"/>
      <c r="L288" s="1105"/>
      <c r="M288" s="2072"/>
      <c r="N288" s="484" t="s">
        <v>2001</v>
      </c>
      <c r="O288" s="2928" t="s">
        <v>3012</v>
      </c>
      <c r="P288" s="563"/>
      <c r="U288" s="1355">
        <f>IF(L288="Yes",1,0)</f>
        <v>0</v>
      </c>
    </row>
    <row r="289" spans="1:27" s="44" customFormat="1" ht="10.5" customHeight="1" thickBot="1">
      <c r="A289" s="43"/>
      <c r="B289" s="1332" t="s">
        <v>3779</v>
      </c>
      <c r="C289" s="43"/>
      <c r="D289" s="49"/>
      <c r="E289" s="49"/>
      <c r="F289" s="49"/>
      <c r="G289" s="49"/>
      <c r="H289" s="37"/>
      <c r="I289" s="37"/>
      <c r="J289" s="37"/>
      <c r="K289" s="37"/>
      <c r="M289" s="47"/>
      <c r="N289" s="63"/>
      <c r="O289" s="3"/>
      <c r="P289" s="1594"/>
    </row>
    <row r="290" spans="1:27" s="44" customFormat="1" ht="21.75" customHeight="1" thickTop="1" thickBot="1">
      <c r="A290" s="2932" t="s">
        <v>4752</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9"/>
      <c r="F291" s="1599"/>
      <c r="G291" s="1599"/>
      <c r="H291" s="1599"/>
      <c r="I291" s="1599"/>
      <c r="J291" s="1599"/>
      <c r="K291" s="1599"/>
      <c r="L291" s="1599"/>
      <c r="M291" s="1599"/>
      <c r="N291" s="77"/>
      <c r="O291" s="73"/>
      <c r="P291" s="1591"/>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94"/>
      <c r="P293" s="3"/>
    </row>
    <row r="294" spans="1:27" s="44" customFormat="1" ht="12" customHeight="1" thickBot="1">
      <c r="A294" s="158" t="s">
        <v>366</v>
      </c>
      <c r="B294" s="108" t="s">
        <v>2475</v>
      </c>
      <c r="D294" s="42"/>
      <c r="E294" s="42"/>
      <c r="F294" s="42"/>
      <c r="H294" s="62" t="s">
        <v>3411</v>
      </c>
      <c r="J294" s="89" t="s">
        <v>2811</v>
      </c>
      <c r="K294" s="49"/>
      <c r="L294" s="654" t="str">
        <f>'Part I-Project Information'!$H$100</f>
        <v>Flexible</v>
      </c>
      <c r="M294" s="1591">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92" t="s">
        <v>1999</v>
      </c>
      <c r="B295" s="184" t="s">
        <v>4085</v>
      </c>
      <c r="D295" s="34"/>
      <c r="E295" s="34"/>
      <c r="F295" s="34"/>
      <c r="H295" s="89" t="s">
        <v>3707</v>
      </c>
      <c r="I295" s="446"/>
      <c r="J295" s="2110" t="str">
        <f>'Part I-Project Information'!$O$34</f>
        <v>No</v>
      </c>
      <c r="K295" s="2110"/>
      <c r="L295" s="995">
        <f>'Part I-Project Information'!$O$35</f>
        <v>0</v>
      </c>
      <c r="M295" s="75">
        <v>3</v>
      </c>
      <c r="N295" s="484" t="s">
        <v>1999</v>
      </c>
      <c r="O295" s="2963"/>
      <c r="P295" s="912"/>
      <c r="Q295" s="1090" t="str">
        <f>IF(OR($O295=$M295,$O295=0,$O295=""),"","*CHECK!*")</f>
        <v/>
      </c>
      <c r="R295" s="1192" t="s">
        <v>2724</v>
      </c>
    </row>
    <row r="296" spans="1:27" s="103" customFormat="1" ht="21.75" customHeight="1">
      <c r="B296" s="621" t="s">
        <v>2002</v>
      </c>
      <c r="C296" s="2019" t="s">
        <v>4245</v>
      </c>
      <c r="D296" s="2019"/>
      <c r="E296" s="2019"/>
      <c r="F296" s="2019"/>
      <c r="G296" s="2019"/>
      <c r="H296" s="2019"/>
      <c r="I296" s="2019"/>
      <c r="J296" s="2019"/>
      <c r="K296" s="2019"/>
      <c r="L296" s="2019"/>
      <c r="M296" s="2019"/>
      <c r="N296" s="404" t="s">
        <v>2002</v>
      </c>
      <c r="O296" s="3079" t="s">
        <v>3012</v>
      </c>
      <c r="P296" s="1241"/>
      <c r="Q296" s="2073" t="s">
        <v>4246</v>
      </c>
      <c r="R296" s="2019"/>
      <c r="S296" s="2019"/>
      <c r="T296" s="2019"/>
      <c r="U296" s="2019"/>
      <c r="V296" s="2019"/>
      <c r="W296" s="2019"/>
      <c r="X296" s="2019"/>
      <c r="Y296" s="2019"/>
      <c r="Z296" s="2019"/>
      <c r="AA296" s="1098"/>
    </row>
    <row r="297" spans="1:27" s="121" customFormat="1" ht="10.5" customHeight="1">
      <c r="B297" s="942"/>
      <c r="C297" s="139" t="s">
        <v>3833</v>
      </c>
      <c r="H297" s="448" t="s">
        <v>2600</v>
      </c>
      <c r="I297" s="3080"/>
      <c r="J297" s="448" t="s">
        <v>2317</v>
      </c>
      <c r="K297" s="3081"/>
      <c r="L297" s="3082"/>
      <c r="M297" s="3082"/>
      <c r="N297" s="3082"/>
      <c r="O297" s="3082"/>
      <c r="P297" s="3083"/>
    </row>
    <row r="298" spans="1:27" s="121" customFormat="1" ht="10.5" customHeight="1">
      <c r="B298" s="942"/>
      <c r="C298" s="139" t="s">
        <v>3888</v>
      </c>
      <c r="H298" s="448" t="s">
        <v>2600</v>
      </c>
      <c r="I298" s="3084"/>
      <c r="J298" s="448" t="s">
        <v>2317</v>
      </c>
      <c r="K298" s="3085"/>
      <c r="L298" s="3086"/>
      <c r="M298" s="3086"/>
      <c r="N298" s="3086"/>
      <c r="O298" s="3086"/>
      <c r="P298" s="3087"/>
    </row>
    <row r="299" spans="1:27" s="121" customFormat="1" ht="10.5" customHeight="1">
      <c r="B299" s="942" t="s">
        <v>2004</v>
      </c>
      <c r="C299" s="121" t="s">
        <v>972</v>
      </c>
      <c r="M299" s="7"/>
      <c r="N299" s="181" t="s">
        <v>2004</v>
      </c>
      <c r="O299" s="2980"/>
      <c r="P299" s="1005"/>
    </row>
    <row r="300" spans="1:27" s="121" customFormat="1" ht="10.5" customHeight="1">
      <c r="B300" s="942" t="s">
        <v>2551</v>
      </c>
      <c r="C300" s="121" t="s">
        <v>973</v>
      </c>
      <c r="M300" s="7"/>
      <c r="N300" s="181" t="s">
        <v>2551</v>
      </c>
      <c r="O300" s="2935"/>
      <c r="P300" s="562"/>
    </row>
    <row r="301" spans="1:27" s="121" customFormat="1" ht="10.5" customHeight="1">
      <c r="A301" s="532"/>
      <c r="B301" s="942" t="s">
        <v>1236</v>
      </c>
      <c r="C301" s="121" t="s">
        <v>974</v>
      </c>
      <c r="M301" s="7"/>
      <c r="N301" s="181" t="s">
        <v>1236</v>
      </c>
      <c r="O301" s="2928"/>
      <c r="P301" s="563"/>
    </row>
    <row r="302" spans="1:27" s="34" customFormat="1" ht="10.5" customHeight="1">
      <c r="A302" s="1592" t="s">
        <v>2001</v>
      </c>
      <c r="B302" s="184" t="s">
        <v>4086</v>
      </c>
      <c r="D302" s="620"/>
      <c r="H302" s="62" t="s">
        <v>3412</v>
      </c>
    </row>
    <row r="303" spans="1:27" s="34" customFormat="1" ht="10.5" customHeight="1">
      <c r="A303" s="1592"/>
      <c r="B303" s="947" t="s">
        <v>3631</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4088</v>
      </c>
      <c r="L304" s="391" t="str">
        <f>IF(OR($O304=$M304,$O304=0,$O304=""),"","* * Check Score! * *")</f>
        <v/>
      </c>
      <c r="M304" s="75">
        <v>3</v>
      </c>
      <c r="N304" s="450" t="s">
        <v>2002</v>
      </c>
      <c r="O304" s="2967">
        <v>3</v>
      </c>
      <c r="P304" s="555"/>
      <c r="Q304" s="1090" t="str">
        <f>IF(OR($O304=$M304,$O304=0,$O304=""),"","*CHECK!*")</f>
        <v/>
      </c>
      <c r="R304" s="1192" t="s">
        <v>2724</v>
      </c>
    </row>
    <row r="305" spans="1:21" ht="10.5" customHeight="1">
      <c r="A305" s="619" t="s">
        <v>1365</v>
      </c>
      <c r="B305" s="621" t="s">
        <v>2004</v>
      </c>
      <c r="C305" s="455" t="s">
        <v>3632</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2724</v>
      </c>
    </row>
    <row r="306" spans="1:21" s="34" customFormat="1" ht="10.5" customHeight="1">
      <c r="A306" s="1592" t="s">
        <v>757</v>
      </c>
      <c r="B306" s="184" t="s">
        <v>4087</v>
      </c>
      <c r="D306" s="620"/>
      <c r="H306" s="62" t="s">
        <v>4090</v>
      </c>
    </row>
    <row r="307" spans="1:21" s="34" customFormat="1" ht="10.5" customHeight="1">
      <c r="A307" s="1592"/>
      <c r="B307" s="947" t="s">
        <v>3634</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3633</v>
      </c>
      <c r="K308" s="2117" t="str">
        <f>IF(OR(AND(O308&gt;0,O310&gt;0), AND(O309&gt;0,O310&gt;0), AND(O308&gt;0,O309&gt;0)),"Choose option 1 or 2 or 3!!!","")</f>
        <v/>
      </c>
      <c r="L308" s="2117"/>
      <c r="M308" s="75">
        <v>4</v>
      </c>
      <c r="N308" s="450" t="s">
        <v>2002</v>
      </c>
      <c r="O308" s="2967"/>
      <c r="P308" s="555"/>
      <c r="Q308" s="1090" t="str">
        <f>IF(OR($O308=$M308,$O308=0,$O308=""),"","*CHECK!*")</f>
        <v/>
      </c>
      <c r="R308" s="1192" t="s">
        <v>2724</v>
      </c>
    </row>
    <row r="309" spans="1:21" ht="10.5" customHeight="1">
      <c r="A309" s="619" t="s">
        <v>1365</v>
      </c>
      <c r="B309" s="621" t="s">
        <v>2004</v>
      </c>
      <c r="C309" s="618" t="s">
        <v>4089</v>
      </c>
      <c r="D309" s="34"/>
      <c r="E309" s="34"/>
      <c r="F309" s="34"/>
      <c r="G309" s="41"/>
      <c r="H309" s="949"/>
      <c r="I309" s="41"/>
      <c r="K309" s="2117"/>
      <c r="L309" s="2117"/>
      <c r="M309" s="83">
        <v>3</v>
      </c>
      <c r="N309" s="948" t="s">
        <v>2004</v>
      </c>
      <c r="O309" s="3088"/>
      <c r="P309" s="556"/>
      <c r="Q309" s="1090" t="str">
        <f t="shared" ref="Q309:Q310" si="5">IF(OR($O309=$M309,$O309=0,$O309=""),"","*CHECK!*")</f>
        <v/>
      </c>
      <c r="R309" s="1192" t="s">
        <v>2724</v>
      </c>
    </row>
    <row r="310" spans="1:21" ht="10.5" customHeight="1">
      <c r="A310" s="619" t="s">
        <v>1365</v>
      </c>
      <c r="B310" s="621" t="s">
        <v>2551</v>
      </c>
      <c r="C310" s="455" t="s">
        <v>3635</v>
      </c>
      <c r="D310" s="34"/>
      <c r="E310" s="34"/>
      <c r="F310" s="34"/>
      <c r="G310" s="41"/>
      <c r="H310" s="62"/>
      <c r="I310" s="41"/>
      <c r="K310" s="2117"/>
      <c r="L310" s="2117"/>
      <c r="M310" s="83">
        <v>2</v>
      </c>
      <c r="N310" s="948" t="s">
        <v>2551</v>
      </c>
      <c r="O310" s="2968"/>
      <c r="P310" s="557"/>
      <c r="Q310" s="1090" t="str">
        <f t="shared" si="5"/>
        <v/>
      </c>
      <c r="R310" s="1192" t="s">
        <v>2724</v>
      </c>
    </row>
    <row r="311" spans="1:21" s="44" customFormat="1" ht="10.5" customHeight="1" thickBot="1">
      <c r="A311" s="43"/>
      <c r="B311" s="1332" t="s">
        <v>3779</v>
      </c>
      <c r="C311" s="43"/>
      <c r="D311" s="49"/>
      <c r="E311" s="49"/>
      <c r="F311" s="49"/>
      <c r="G311" s="49"/>
      <c r="H311" s="37"/>
      <c r="I311" s="37"/>
      <c r="J311" s="37"/>
      <c r="K311" s="37"/>
      <c r="M311" s="47"/>
      <c r="N311" s="63"/>
      <c r="O311" s="3"/>
      <c r="P311" s="1594"/>
    </row>
    <row r="312" spans="1:21" s="44" customFormat="1" ht="21.75" customHeight="1" thickTop="1" thickBot="1">
      <c r="A312" s="2932" t="s">
        <v>4691</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9"/>
      <c r="G313" s="1599"/>
      <c r="H313" s="1599"/>
      <c r="I313" s="1599"/>
      <c r="J313" s="1599"/>
      <c r="K313" s="1599"/>
      <c r="L313" s="1599"/>
      <c r="M313" s="1599"/>
      <c r="N313" s="77"/>
      <c r="O313" s="73"/>
      <c r="P313" s="1591"/>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2844</v>
      </c>
      <c r="C316" s="55"/>
      <c r="D316" s="119"/>
      <c r="E316" s="119"/>
      <c r="F316" s="42"/>
      <c r="H316" s="62" t="s">
        <v>402</v>
      </c>
      <c r="K316" s="49"/>
      <c r="M316" s="1591">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9">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8" t="s">
        <v>3009</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2724</v>
      </c>
      <c r="T319" s="1169"/>
      <c r="U319" s="1169"/>
    </row>
    <row r="320" spans="1:21" s="44" customFormat="1" ht="10.5" customHeight="1">
      <c r="A320" s="143"/>
      <c r="B320" s="956" t="s">
        <v>4091</v>
      </c>
      <c r="D320" s="58"/>
      <c r="H320" s="1600"/>
      <c r="K320" s="53"/>
      <c r="L320" s="105"/>
      <c r="M320" s="7"/>
      <c r="N320" s="484"/>
      <c r="O320" s="2928" t="s">
        <v>3012</v>
      </c>
      <c r="P320" s="563"/>
      <c r="Q320" s="403"/>
      <c r="R320" s="391"/>
      <c r="T320" s="1169"/>
      <c r="U320" s="1169"/>
    </row>
    <row r="321" spans="1:18" s="44" customFormat="1" ht="10.5" customHeight="1">
      <c r="A321" s="43"/>
      <c r="B321" s="88" t="s">
        <v>1880</v>
      </c>
      <c r="C321" s="101"/>
      <c r="D321" s="88"/>
      <c r="E321" s="102"/>
      <c r="F321" s="1599"/>
      <c r="G321" s="1599"/>
      <c r="H321" s="1599"/>
      <c r="I321" s="1599"/>
      <c r="J321" s="1599"/>
      <c r="K321" s="1599"/>
      <c r="L321" s="1599"/>
      <c r="M321" s="1599"/>
      <c r="N321" s="77"/>
      <c r="O321" s="73"/>
      <c r="P321" s="1591"/>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9"/>
      <c r="D323" s="1599"/>
      <c r="E323" s="1599"/>
      <c r="F323" s="1599"/>
      <c r="G323" s="1599"/>
      <c r="H323" s="1599"/>
      <c r="I323" s="1599"/>
      <c r="J323" s="1599"/>
      <c r="K323" s="1599"/>
      <c r="L323" s="1599"/>
      <c r="M323" s="1599"/>
      <c r="N323" s="77"/>
      <c r="O323" s="73"/>
      <c r="P323" s="941"/>
    </row>
    <row r="324" spans="1:18" s="44" customFormat="1" ht="12" customHeight="1" thickBot="1">
      <c r="A324" s="159" t="s">
        <v>2799</v>
      </c>
      <c r="B324" s="109" t="s">
        <v>4092</v>
      </c>
      <c r="C324" s="90"/>
      <c r="D324" s="59"/>
      <c r="E324" s="53"/>
      <c r="G324" s="56"/>
      <c r="M324" s="1591">
        <v>2</v>
      </c>
      <c r="N324" s="6"/>
      <c r="O324" s="6"/>
      <c r="P324" s="1247">
        <f>P325+P330</f>
        <v>0</v>
      </c>
      <c r="Q324" s="112" t="s">
        <v>443</v>
      </c>
    </row>
    <row r="325" spans="1:18" s="44" customFormat="1" ht="12" customHeight="1">
      <c r="A325" s="143" t="s">
        <v>2001</v>
      </c>
      <c r="B325" s="172" t="s">
        <v>4093</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3481</v>
      </c>
      <c r="D326" s="34"/>
      <c r="N326" s="450" t="s">
        <v>2002</v>
      </c>
      <c r="O326" s="2929" t="s">
        <v>4690</v>
      </c>
      <c r="P326" s="561"/>
      <c r="R326" s="391"/>
    </row>
    <row r="327" spans="1:18" s="105" customFormat="1" ht="10.5" customHeight="1">
      <c r="A327" s="143"/>
      <c r="B327" s="389" t="s">
        <v>2004</v>
      </c>
      <c r="C327" s="37" t="s">
        <v>4112</v>
      </c>
      <c r="D327" s="34"/>
      <c r="N327" s="948" t="s">
        <v>2004</v>
      </c>
      <c r="O327" s="2935" t="s">
        <v>4690</v>
      </c>
      <c r="P327" s="562"/>
      <c r="R327" s="391"/>
    </row>
    <row r="328" spans="1:18" s="105" customFormat="1" ht="10.5" customHeight="1">
      <c r="A328" s="143"/>
      <c r="B328" s="389" t="s">
        <v>2551</v>
      </c>
      <c r="C328" s="37" t="s">
        <v>4111</v>
      </c>
      <c r="D328" s="34"/>
      <c r="N328" s="948" t="s">
        <v>2551</v>
      </c>
      <c r="O328" s="2935" t="s">
        <v>4690</v>
      </c>
      <c r="P328" s="562"/>
      <c r="R328" s="391"/>
    </row>
    <row r="329" spans="1:18" s="105" customFormat="1" ht="10.5" customHeight="1">
      <c r="A329" s="143"/>
      <c r="B329" s="389" t="s">
        <v>1236</v>
      </c>
      <c r="C329" s="37" t="s">
        <v>4113</v>
      </c>
      <c r="D329" s="34"/>
      <c r="N329" s="948" t="s">
        <v>1236</v>
      </c>
      <c r="O329" s="2928" t="s">
        <v>4690</v>
      </c>
      <c r="P329" s="563"/>
      <c r="R329" s="391"/>
    </row>
    <row r="330" spans="1:18" s="44" customFormat="1" ht="12" customHeight="1">
      <c r="A330" s="143" t="s">
        <v>1999</v>
      </c>
      <c r="B330" s="172" t="s">
        <v>4094</v>
      </c>
      <c r="C330" s="90"/>
      <c r="D330" s="59"/>
      <c r="E330" s="53"/>
      <c r="G330" s="508" t="str">
        <f>'Part I-Project Information'!E158</f>
        <v>Northwest Georgia Housing Authority</v>
      </c>
      <c r="I330" s="508"/>
      <c r="L330" s="1297"/>
      <c r="M330" s="1297"/>
      <c r="N330" s="6"/>
      <c r="P330" s="558"/>
      <c r="Q330" s="112"/>
    </row>
    <row r="331" spans="1:18" s="105" customFormat="1" ht="10.5" customHeight="1">
      <c r="A331" s="159"/>
      <c r="B331" s="389" t="s">
        <v>2002</v>
      </c>
      <c r="C331" s="37" t="s">
        <v>3481</v>
      </c>
      <c r="D331" s="53"/>
      <c r="E331" s="53"/>
      <c r="M331" s="1591"/>
      <c r="N331" s="450" t="s">
        <v>2002</v>
      </c>
      <c r="O331" s="2929" t="s">
        <v>3009</v>
      </c>
      <c r="P331" s="561"/>
      <c r="Q331" s="112"/>
    </row>
    <row r="332" spans="1:18" s="105" customFormat="1" ht="10.5" customHeight="1">
      <c r="A332" s="143"/>
      <c r="B332" s="389" t="s">
        <v>2004</v>
      </c>
      <c r="C332" s="37" t="s">
        <v>4125</v>
      </c>
      <c r="D332" s="34"/>
      <c r="N332" s="948" t="s">
        <v>2004</v>
      </c>
      <c r="O332" s="2935" t="s">
        <v>3009</v>
      </c>
      <c r="P332" s="562"/>
      <c r="R332" s="391"/>
    </row>
    <row r="333" spans="1:18" s="105" customFormat="1" ht="10.5" customHeight="1">
      <c r="A333" s="143"/>
      <c r="B333" s="389" t="s">
        <v>2551</v>
      </c>
      <c r="C333" s="37" t="s">
        <v>4113</v>
      </c>
      <c r="D333" s="34"/>
      <c r="N333" s="948" t="s">
        <v>2551</v>
      </c>
      <c r="O333" s="2928" t="s">
        <v>3009</v>
      </c>
      <c r="P333" s="563"/>
      <c r="R333" s="391"/>
    </row>
    <row r="334" spans="1:18" s="44" customFormat="1" ht="10.5" customHeight="1">
      <c r="B334" s="88" t="s">
        <v>1880</v>
      </c>
      <c r="C334" s="101"/>
      <c r="D334" s="88"/>
      <c r="E334" s="102"/>
      <c r="F334" s="1599"/>
      <c r="G334" s="1599"/>
      <c r="H334" s="1599"/>
      <c r="I334" s="1599"/>
      <c r="J334" s="1599"/>
      <c r="K334" s="1599"/>
      <c r="L334" s="1599"/>
      <c r="M334" s="1599"/>
      <c r="N334" s="77"/>
      <c r="O334" s="73"/>
      <c r="P334" s="1591"/>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4095</v>
      </c>
      <c r="H337" s="37" t="s">
        <v>3599</v>
      </c>
      <c r="I337" s="1607" t="str">
        <f>'Part I-Project Information'!$H$100</f>
        <v>Flexible</v>
      </c>
      <c r="J337" s="1606"/>
      <c r="L337" s="391" t="str">
        <f>IF(OR($O337=$M337,$O337=0,$O337=""),"","* * Check Score! * *")</f>
        <v/>
      </c>
      <c r="M337" s="1591">
        <v>1</v>
      </c>
      <c r="N337" s="410"/>
      <c r="O337" s="3090">
        <v>0</v>
      </c>
      <c r="P337" s="1250"/>
      <c r="Q337" s="112" t="s">
        <v>443</v>
      </c>
      <c r="R337" s="1192" t="s">
        <v>2724</v>
      </c>
    </row>
    <row r="338" spans="1:18" s="64" customFormat="1" ht="12" customHeight="1">
      <c r="A338" s="1892" t="s">
        <v>4193</v>
      </c>
      <c r="B338" s="1892"/>
      <c r="C338" s="1892"/>
      <c r="D338" s="1892"/>
      <c r="E338" s="1892"/>
      <c r="F338" s="1892"/>
      <c r="G338" s="1892"/>
      <c r="H338" s="1892"/>
      <c r="I338" s="2109" t="s">
        <v>4194</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1">
        <v>1</v>
      </c>
      <c r="J339" s="3091"/>
      <c r="K339" s="3091"/>
      <c r="L339" s="3091">
        <v>3</v>
      </c>
      <c r="M339" s="3091"/>
      <c r="N339" s="3091"/>
      <c r="O339" s="3091"/>
      <c r="P339" s="3091"/>
      <c r="R339" s="391"/>
    </row>
    <row r="340" spans="1:18" s="64" customFormat="1" ht="12" customHeight="1">
      <c r="A340" s="1892"/>
      <c r="B340" s="1892"/>
      <c r="C340" s="1892"/>
      <c r="D340" s="1892"/>
      <c r="E340" s="1892"/>
      <c r="F340" s="1892"/>
      <c r="G340" s="1892"/>
      <c r="H340" s="1892"/>
      <c r="I340" s="3092">
        <v>2</v>
      </c>
      <c r="J340" s="3092"/>
      <c r="K340" s="3092"/>
      <c r="L340" s="3092">
        <v>4</v>
      </c>
      <c r="M340" s="3092"/>
      <c r="N340" s="3092"/>
      <c r="O340" s="3092"/>
      <c r="P340" s="3092"/>
      <c r="R340" s="391"/>
    </row>
    <row r="341" spans="1:18" s="105" customFormat="1" ht="10.5" customHeight="1" thickBot="1">
      <c r="A341" s="43"/>
      <c r="B341" s="1332" t="s">
        <v>3779</v>
      </c>
      <c r="C341" s="43"/>
      <c r="D341" s="49"/>
      <c r="E341" s="49"/>
      <c r="F341" s="49"/>
      <c r="G341" s="49"/>
      <c r="H341" s="37"/>
      <c r="I341" s="37"/>
      <c r="J341" s="37"/>
      <c r="K341" s="37"/>
      <c r="M341" s="47"/>
      <c r="N341" s="6"/>
      <c r="O341" s="3"/>
      <c r="P341" s="1591"/>
    </row>
    <row r="342" spans="1:18" s="44" customFormat="1" ht="21.75" customHeight="1" thickTop="1" thickBot="1">
      <c r="A342" s="2932" t="s">
        <v>4692</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601"/>
      <c r="F343" s="1601"/>
      <c r="G343" s="1601"/>
      <c r="H343" s="1601"/>
      <c r="I343" s="1601"/>
      <c r="J343" s="1601"/>
      <c r="K343" s="1601"/>
      <c r="L343" s="1601"/>
      <c r="M343" s="1601"/>
      <c r="N343" s="96"/>
      <c r="O343" s="925"/>
      <c r="P343" s="1591"/>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9"/>
      <c r="D345" s="1599"/>
      <c r="E345" s="1599"/>
      <c r="F345" s="1599"/>
      <c r="G345" s="1599"/>
      <c r="H345" s="1599"/>
      <c r="I345" s="1599"/>
      <c r="J345" s="1599"/>
      <c r="K345" s="1599"/>
      <c r="L345" s="1599"/>
      <c r="M345" s="1599"/>
      <c r="N345" s="77"/>
      <c r="O345" s="73"/>
      <c r="P345" s="941"/>
    </row>
    <row r="346" spans="1:18" s="44" customFormat="1" ht="12" customHeight="1" thickBot="1">
      <c r="A346" s="158" t="s">
        <v>4149</v>
      </c>
      <c r="B346" s="108" t="s">
        <v>1685</v>
      </c>
      <c r="D346" s="91"/>
      <c r="E346" s="91"/>
      <c r="G346" s="53"/>
      <c r="H346" s="53"/>
      <c r="I346" s="53"/>
      <c r="J346" s="55"/>
      <c r="K346" s="1600"/>
      <c r="L346" s="391"/>
      <c r="M346" s="941">
        <v>2</v>
      </c>
      <c r="N346" s="410"/>
      <c r="O346" s="1249">
        <f>MIN($M$346,O347+O354)</f>
        <v>1</v>
      </c>
      <c r="P346" s="1249">
        <f>MIN($M$346,P347+P354)</f>
        <v>0</v>
      </c>
      <c r="Q346" s="112" t="s">
        <v>443</v>
      </c>
    </row>
    <row r="347" spans="1:18" s="44" customFormat="1" ht="11.25" customHeight="1" thickBot="1">
      <c r="A347" s="143" t="s">
        <v>1999</v>
      </c>
      <c r="B347" s="116" t="s">
        <v>3638</v>
      </c>
      <c r="D347" s="91"/>
      <c r="E347" s="91"/>
      <c r="G347" s="53"/>
      <c r="H347" s="1239"/>
      <c r="L347" s="391" t="str">
        <f>IF(OR($O347=$M347,$O347=0,$O347=""),"","* * Check Score! * *")</f>
        <v/>
      </c>
      <c r="M347" s="445">
        <v>1</v>
      </c>
      <c r="N347" s="410" t="str">
        <f>IF(OR($O347=$M347,$O347=0,$O347=""),"","***")</f>
        <v/>
      </c>
      <c r="O347" s="2973">
        <v>1</v>
      </c>
      <c r="P347" s="1231"/>
      <c r="Q347" s="1090" t="str">
        <f>IF(OR($O347=$M347,$O347=0,$O347=""),"","*CHECK!*")</f>
        <v/>
      </c>
      <c r="R347" s="1192" t="s">
        <v>2724</v>
      </c>
    </row>
    <row r="348" spans="1:18" s="44" customFormat="1" ht="11.25" customHeight="1">
      <c r="B348" s="41" t="s">
        <v>4099</v>
      </c>
      <c r="D348" s="105"/>
      <c r="E348" s="91"/>
      <c r="F348" s="53"/>
      <c r="G348" s="53"/>
      <c r="H348" s="3093" t="s">
        <v>2284</v>
      </c>
      <c r="I348" s="3062"/>
      <c r="J348" s="3062"/>
      <c r="K348" s="3094"/>
      <c r="N348" s="484" t="s">
        <v>1999</v>
      </c>
      <c r="O348" s="1297" t="s">
        <v>2527</v>
      </c>
      <c r="P348" s="1297" t="s">
        <v>2527</v>
      </c>
    </row>
    <row r="349" spans="1:18" s="121" customFormat="1" ht="10.5" customHeight="1">
      <c r="B349" s="450" t="s">
        <v>2002</v>
      </c>
      <c r="C349" s="448" t="s">
        <v>4096</v>
      </c>
      <c r="N349" s="450" t="s">
        <v>2002</v>
      </c>
      <c r="O349" s="2929" t="s">
        <v>3009</v>
      </c>
      <c r="P349" s="561"/>
    </row>
    <row r="350" spans="1:18" s="121" customFormat="1" ht="10.5" customHeight="1">
      <c r="B350" s="450" t="s">
        <v>2004</v>
      </c>
      <c r="C350" s="448" t="s">
        <v>4097</v>
      </c>
      <c r="N350" s="450" t="s">
        <v>2004</v>
      </c>
      <c r="O350" s="2935" t="s">
        <v>3009</v>
      </c>
      <c r="P350" s="562"/>
    </row>
    <row r="351" spans="1:18" s="121" customFormat="1" ht="10.5" customHeight="1">
      <c r="B351" s="450" t="s">
        <v>2551</v>
      </c>
      <c r="C351" s="448" t="s">
        <v>4098</v>
      </c>
      <c r="N351" s="450" t="s">
        <v>2551</v>
      </c>
      <c r="O351" s="2928" t="s">
        <v>3009</v>
      </c>
      <c r="P351" s="563"/>
    </row>
    <row r="352" spans="1:18" s="103" customFormat="1" ht="11.25" customHeight="1">
      <c r="B352" s="186" t="s">
        <v>3639</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2814</v>
      </c>
      <c r="D354" s="34"/>
      <c r="H354" s="2070" t="s">
        <v>3507</v>
      </c>
      <c r="I354" s="2070"/>
      <c r="J354" s="2070"/>
      <c r="K354" s="2070"/>
      <c r="L354" s="2070"/>
      <c r="M354" s="1236">
        <v>1</v>
      </c>
      <c r="N354" s="67" t="s">
        <v>2001</v>
      </c>
      <c r="O354" s="2973"/>
      <c r="P354" s="1231"/>
      <c r="Q354" s="1090" t="str">
        <f>IF(OR($O354=$M354,$O354=0,$O354=""),"","*CHECK!*")</f>
        <v/>
      </c>
      <c r="R354" s="1192" t="s">
        <v>2724</v>
      </c>
    </row>
    <row r="355" spans="1:19" s="34" customFormat="1" ht="10.5" customHeight="1">
      <c r="B355" s="515" t="s">
        <v>2815</v>
      </c>
      <c r="E355" s="620"/>
      <c r="O355" s="2978"/>
      <c r="P355" s="566"/>
      <c r="Q355" s="179"/>
    </row>
    <row r="356" spans="1:19" s="34" customFormat="1" ht="10.5" customHeight="1">
      <c r="A356" s="532"/>
      <c r="B356" s="139" t="s">
        <v>3641</v>
      </c>
      <c r="C356" s="953" t="str">
        <f>'Part I-Project Information'!$F$38</f>
        <v>Rome</v>
      </c>
      <c r="E356" s="139" t="s">
        <v>3506</v>
      </c>
      <c r="F356" s="953" t="str">
        <f>'Part I-Project Information'!$J$39</f>
        <v>Floyd</v>
      </c>
      <c r="H356" s="448" t="s">
        <v>455</v>
      </c>
      <c r="I356" s="910" t="str">
        <f>'Part I-Project Information'!$N$39</f>
        <v>Yes</v>
      </c>
      <c r="K356" s="448" t="s">
        <v>3640</v>
      </c>
      <c r="L356" s="2057" t="str">
        <f>'Part I-Project Information'!$O$38</f>
        <v>13115001600</v>
      </c>
      <c r="M356" s="2057"/>
      <c r="N356" s="2057"/>
      <c r="O356" s="2057"/>
      <c r="P356" s="2057"/>
    </row>
    <row r="357" spans="1:19" s="105" customFormat="1" ht="10.5" customHeight="1" thickBot="1">
      <c r="A357" s="43"/>
      <c r="B357" s="1332" t="s">
        <v>3779</v>
      </c>
      <c r="C357" s="43"/>
      <c r="D357" s="49"/>
      <c r="E357" s="49"/>
      <c r="F357" s="49"/>
      <c r="G357" s="49"/>
      <c r="H357" s="37"/>
      <c r="I357" s="37"/>
      <c r="J357" s="37"/>
      <c r="K357" s="37"/>
      <c r="M357" s="47"/>
      <c r="N357" s="6"/>
      <c r="O357" s="3"/>
      <c r="P357" s="1591"/>
    </row>
    <row r="358" spans="1:19" s="44" customFormat="1" ht="21.75" customHeight="1" thickTop="1" thickBot="1">
      <c r="A358" s="2932" t="s">
        <v>4753</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601"/>
      <c r="F359" s="1601"/>
      <c r="G359" s="1601"/>
      <c r="H359" s="1601"/>
      <c r="I359" s="1601"/>
      <c r="J359" s="1601"/>
      <c r="K359" s="1601"/>
      <c r="L359" s="1601"/>
      <c r="M359" s="1601"/>
      <c r="N359" s="96"/>
      <c r="O359" s="925"/>
      <c r="P359" s="1591"/>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4150</v>
      </c>
      <c r="B362" s="108" t="s">
        <v>4102</v>
      </c>
      <c r="D362" s="91"/>
      <c r="E362" s="91"/>
      <c r="F362" s="53"/>
      <c r="G362" s="53"/>
      <c r="H362" s="172" t="s">
        <v>2811</v>
      </c>
      <c r="J362" s="537" t="str">
        <f>'Part I-Project Information'!$H$100</f>
        <v>Flexible</v>
      </c>
      <c r="L362" s="391" t="str">
        <f>IF(OR($O362=$M362,$O362=$M369,$O362=$M387,$O362=0,$O362=""),"","* * Check Score! * *")</f>
        <v/>
      </c>
      <c r="M362" s="3">
        <v>4</v>
      </c>
      <c r="N362" s="6"/>
      <c r="O362" s="1249">
        <f>O369+O387</f>
        <v>1</v>
      </c>
      <c r="P362" s="1249">
        <f>P369+P387</f>
        <v>0</v>
      </c>
      <c r="Q362" s="112" t="s">
        <v>443</v>
      </c>
    </row>
    <row r="363" spans="1:19" s="44" customFormat="1" ht="10.5" customHeight="1">
      <c r="A363" s="43"/>
      <c r="B363" s="116" t="s">
        <v>2900</v>
      </c>
      <c r="E363" s="91"/>
      <c r="F363" s="53"/>
      <c r="G363" s="53"/>
      <c r="H363" s="53"/>
      <c r="I363" s="53"/>
      <c r="J363" s="55"/>
      <c r="K363" s="61"/>
      <c r="L363" s="57"/>
      <c r="O363" s="540" t="s">
        <v>2527</v>
      </c>
      <c r="P363" s="540" t="s">
        <v>2527</v>
      </c>
    </row>
    <row r="364" spans="1:19" s="103" customFormat="1" ht="10.5" customHeight="1">
      <c r="B364" s="390" t="s">
        <v>2451</v>
      </c>
      <c r="C364" s="446" t="s">
        <v>2845</v>
      </c>
      <c r="E364" s="91"/>
      <c r="F364" s="53"/>
      <c r="G364" s="53"/>
      <c r="H364" s="53"/>
      <c r="I364" s="53"/>
      <c r="J364" s="55"/>
      <c r="K364" s="61"/>
      <c r="L364" s="2071" t="str">
        <f>IF(OR(O364="No",O364="",O365="No",O365="",O366="No",O366="",O367="No",O367=""),"Unmet criterion results in no points!","")</f>
        <v>Unmet criterion results in no points!</v>
      </c>
      <c r="M364" s="2071"/>
      <c r="N364" s="390" t="s">
        <v>2451</v>
      </c>
      <c r="O364" s="2929" t="s">
        <v>3012</v>
      </c>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3836</v>
      </c>
      <c r="L365" s="2071"/>
      <c r="M365" s="2071"/>
      <c r="N365" s="402" t="s">
        <v>2452</v>
      </c>
      <c r="O365" s="2935" t="s">
        <v>3012</v>
      </c>
      <c r="P365" s="562"/>
      <c r="R365" s="2069"/>
      <c r="S365" s="2069"/>
    </row>
    <row r="366" spans="1:19" s="103" customFormat="1" ht="10.5" customHeight="1">
      <c r="B366" s="390" t="s">
        <v>2453</v>
      </c>
      <c r="C366" s="446" t="s">
        <v>3835</v>
      </c>
      <c r="L366" s="2071"/>
      <c r="M366" s="2071"/>
      <c r="N366" s="390" t="s">
        <v>2453</v>
      </c>
      <c r="O366" s="2935" t="s">
        <v>3012</v>
      </c>
      <c r="P366" s="562"/>
      <c r="R366" s="2069"/>
      <c r="S366" s="2069"/>
    </row>
    <row r="367" spans="1:19" s="103" customFormat="1" ht="29.25" customHeight="1">
      <c r="B367" s="402" t="s">
        <v>2454</v>
      </c>
      <c r="C367" s="2012" t="s">
        <v>4103</v>
      </c>
      <c r="D367" s="2012"/>
      <c r="E367" s="2012"/>
      <c r="F367" s="2012"/>
      <c r="G367" s="2012"/>
      <c r="H367" s="2012"/>
      <c r="I367" s="2012"/>
      <c r="J367" s="2012"/>
      <c r="K367" s="2012"/>
      <c r="L367" s="2012"/>
      <c r="M367" s="2012"/>
      <c r="N367" s="402" t="s">
        <v>2454</v>
      </c>
      <c r="O367" s="3095" t="s">
        <v>3012</v>
      </c>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4104</v>
      </c>
      <c r="L369" s="391" t="str">
        <f>IF(OR($O369=$M369,$O369=0,$O369=""),"","* * Check Score! * *")</f>
        <v/>
      </c>
      <c r="M369" s="1236">
        <v>3</v>
      </c>
      <c r="N369" s="484" t="s">
        <v>1999</v>
      </c>
      <c r="O369" s="2963"/>
      <c r="P369" s="912"/>
      <c r="Q369" s="1090" t="str">
        <f>IF(OR($O369=$M369,$O369=0,$O369=""),"","*CHECK!*")</f>
        <v/>
      </c>
      <c r="R369" s="1192" t="s">
        <v>2724</v>
      </c>
    </row>
    <row r="370" spans="1:18" ht="22.5" customHeight="1">
      <c r="A370" s="1124"/>
      <c r="B370" s="456" t="s">
        <v>2002</v>
      </c>
      <c r="C370" s="2019" t="s">
        <v>4105</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3096"/>
      <c r="K371" s="3097"/>
      <c r="L371" s="390" t="s">
        <v>2451</v>
      </c>
      <c r="M371" s="2103"/>
      <c r="N371" s="2104"/>
      <c r="O371" s="2104"/>
      <c r="P371" s="2105"/>
      <c r="R371" s="391"/>
    </row>
    <row r="372" spans="1:18" ht="10.5" customHeight="1">
      <c r="A372" s="183"/>
      <c r="B372" s="402" t="s">
        <v>2452</v>
      </c>
      <c r="C372" s="37" t="s">
        <v>3645</v>
      </c>
      <c r="I372" s="402" t="s">
        <v>2452</v>
      </c>
      <c r="J372" s="3098"/>
      <c r="K372" s="3099"/>
      <c r="L372" s="402" t="s">
        <v>2452</v>
      </c>
      <c r="M372" s="2036"/>
      <c r="N372" s="2037"/>
      <c r="O372" s="2037"/>
      <c r="P372" s="2038"/>
      <c r="R372" s="391"/>
    </row>
    <row r="373" spans="1:18" ht="10.5" customHeight="1">
      <c r="B373" s="390" t="s">
        <v>2453</v>
      </c>
      <c r="C373" s="37" t="s">
        <v>2643</v>
      </c>
      <c r="I373" s="390" t="s">
        <v>2453</v>
      </c>
      <c r="J373" s="3098"/>
      <c r="K373" s="3099"/>
      <c r="L373" s="390" t="s">
        <v>2453</v>
      </c>
      <c r="M373" s="2036"/>
      <c r="N373" s="2037"/>
      <c r="O373" s="2037"/>
      <c r="P373" s="2038"/>
      <c r="R373" s="391"/>
    </row>
    <row r="374" spans="1:18" ht="10.5" customHeight="1">
      <c r="A374" s="183"/>
      <c r="B374" s="390" t="s">
        <v>2454</v>
      </c>
      <c r="C374" s="37" t="s">
        <v>3482</v>
      </c>
      <c r="I374" s="390" t="s">
        <v>2454</v>
      </c>
      <c r="J374" s="3098"/>
      <c r="K374" s="3099"/>
      <c r="L374" s="390" t="s">
        <v>2454</v>
      </c>
      <c r="M374" s="2036"/>
      <c r="N374" s="2037"/>
      <c r="O374" s="2037"/>
      <c r="P374" s="2038"/>
      <c r="R374" s="391"/>
    </row>
    <row r="375" spans="1:18" s="44" customFormat="1" ht="10.5" customHeight="1">
      <c r="A375" s="182"/>
      <c r="B375" s="402" t="s">
        <v>2455</v>
      </c>
      <c r="C375" s="37" t="s">
        <v>2748</v>
      </c>
      <c r="I375" s="402" t="s">
        <v>2455</v>
      </c>
      <c r="J375" s="3098"/>
      <c r="K375" s="3099"/>
      <c r="L375" s="402" t="s">
        <v>2455</v>
      </c>
      <c r="M375" s="2036"/>
      <c r="N375" s="2037"/>
      <c r="O375" s="2037"/>
      <c r="P375" s="2038"/>
      <c r="R375" s="391"/>
    </row>
    <row r="376" spans="1:18" ht="10.5" customHeight="1">
      <c r="B376" s="390" t="s">
        <v>2471</v>
      </c>
      <c r="C376" s="37" t="s">
        <v>1493</v>
      </c>
      <c r="I376" s="390" t="s">
        <v>2471</v>
      </c>
      <c r="J376" s="3098"/>
      <c r="K376" s="3099"/>
      <c r="L376" s="390" t="s">
        <v>2471</v>
      </c>
      <c r="M376" s="2036"/>
      <c r="N376" s="2037"/>
      <c r="O376" s="2037"/>
      <c r="P376" s="2038"/>
      <c r="R376" s="391"/>
    </row>
    <row r="377" spans="1:18" ht="10.5" customHeight="1">
      <c r="A377" s="183"/>
      <c r="B377" s="390" t="s">
        <v>2472</v>
      </c>
      <c r="C377" s="37" t="s">
        <v>3643</v>
      </c>
      <c r="I377" s="390" t="s">
        <v>2472</v>
      </c>
      <c r="J377" s="3098"/>
      <c r="K377" s="3099"/>
      <c r="L377" s="390" t="s">
        <v>2472</v>
      </c>
      <c r="M377" s="2036"/>
      <c r="N377" s="2037"/>
      <c r="O377" s="2037"/>
      <c r="P377" s="2038"/>
      <c r="R377" s="391"/>
    </row>
    <row r="378" spans="1:18" ht="10.5" customHeight="1">
      <c r="A378" s="183"/>
      <c r="B378" s="401" t="s">
        <v>2473</v>
      </c>
      <c r="C378" s="37" t="s">
        <v>4108</v>
      </c>
      <c r="I378" s="401" t="s">
        <v>2473</v>
      </c>
      <c r="J378" s="3098"/>
      <c r="K378" s="3099"/>
      <c r="L378" s="401" t="s">
        <v>2473</v>
      </c>
      <c r="M378" s="2036"/>
      <c r="N378" s="2037"/>
      <c r="O378" s="2037"/>
      <c r="P378" s="2038"/>
      <c r="R378" s="391"/>
    </row>
    <row r="379" spans="1:18" ht="10.5" customHeight="1">
      <c r="B379" s="401" t="s">
        <v>2474</v>
      </c>
      <c r="C379" s="37" t="s">
        <v>3644</v>
      </c>
      <c r="I379" s="401" t="s">
        <v>2474</v>
      </c>
      <c r="J379" s="3098"/>
      <c r="K379" s="3099"/>
      <c r="L379" s="401" t="s">
        <v>2474</v>
      </c>
      <c r="M379" s="2036"/>
      <c r="N379" s="2037"/>
      <c r="O379" s="2037"/>
      <c r="P379" s="2038"/>
      <c r="R379" s="391"/>
    </row>
    <row r="380" spans="1:18" ht="10.5" customHeight="1" thickBot="1">
      <c r="B380" s="401" t="s">
        <v>3646</v>
      </c>
      <c r="C380" s="37" t="s">
        <v>4187</v>
      </c>
      <c r="I380" s="401" t="s">
        <v>3646</v>
      </c>
      <c r="J380" s="3098"/>
      <c r="K380" s="3099"/>
      <c r="L380" s="401" t="s">
        <v>3646</v>
      </c>
      <c r="M380" s="2097"/>
      <c r="N380" s="2098"/>
      <c r="O380" s="2098"/>
      <c r="P380" s="2099"/>
      <c r="R380" s="391"/>
    </row>
    <row r="381" spans="1:18" ht="10.5" customHeight="1" thickBot="1">
      <c r="A381" s="183"/>
      <c r="B381" s="1295" t="s">
        <v>4109</v>
      </c>
      <c r="H381" s="1331" t="s">
        <v>2645</v>
      </c>
      <c r="J381" s="2100">
        <f>SUM(J371:K380)</f>
        <v>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100"/>
      <c r="I383" s="1230"/>
      <c r="J383" s="2065">
        <f>'Part IV-A-Uses of Funds'!$G$132</f>
        <v>13480710.35</v>
      </c>
      <c r="K383" s="2066"/>
      <c r="M383" s="526"/>
      <c r="N383" s="526"/>
      <c r="O383" s="164"/>
      <c r="P383" s="526"/>
    </row>
    <row r="384" spans="1:18" ht="10.5" customHeight="1">
      <c r="A384" s="2024" t="s">
        <v>4301</v>
      </c>
      <c r="B384" s="2024"/>
      <c r="C384" s="2024"/>
      <c r="D384" s="2024"/>
      <c r="E384" s="453" t="s">
        <v>2647</v>
      </c>
      <c r="H384" s="3101"/>
      <c r="I384" s="1230"/>
      <c r="J384" s="2092">
        <f>IF($J383=0,0,$J381/$J383)</f>
        <v>0</v>
      </c>
      <c r="K384" s="2093"/>
      <c r="M384" s="2094">
        <f>IF($J383=0,0,$M381/$J383)</f>
        <v>0</v>
      </c>
      <c r="N384" s="2095"/>
      <c r="O384" s="2095"/>
      <c r="P384" s="2096"/>
    </row>
    <row r="385" spans="1:23" s="44" customFormat="1" ht="10.5" customHeight="1">
      <c r="A385" s="2024"/>
      <c r="B385" s="2024"/>
      <c r="C385" s="2024"/>
      <c r="D385" s="2024"/>
      <c r="E385" s="1160" t="s">
        <v>4300</v>
      </c>
      <c r="H385" s="3102"/>
      <c r="I385" s="1230"/>
      <c r="J385" s="2118">
        <f>IF(L364="", IF($J384&gt;=0.1, 3,IF($J384&gt;=0.05, 2,IF($J384&gt;=0.02,1,0))),0)</f>
        <v>0</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3647</v>
      </c>
      <c r="D387" s="40"/>
      <c r="E387" s="37"/>
      <c r="F387" s="941"/>
      <c r="H387" s="37"/>
      <c r="I387" s="941"/>
      <c r="J387" s="956"/>
      <c r="K387" s="956"/>
      <c r="L387" s="391" t="str">
        <f>IF(OR($O387=$M387,$O387=0,$O387=""),"","* * Check Score! * *")</f>
        <v/>
      </c>
      <c r="M387" s="627">
        <v>1</v>
      </c>
      <c r="N387" s="67" t="s">
        <v>2001</v>
      </c>
      <c r="O387" s="2973">
        <v>1</v>
      </c>
      <c r="P387" s="1231"/>
      <c r="Q387" s="112" t="s">
        <v>443</v>
      </c>
      <c r="R387" s="1192" t="s">
        <v>2724</v>
      </c>
      <c r="V387" s="1169"/>
      <c r="W387" s="1169"/>
    </row>
    <row r="388" spans="1:23" s="44" customFormat="1" ht="22.5" customHeight="1">
      <c r="A388" s="143"/>
      <c r="B388" s="1102" t="s">
        <v>2451</v>
      </c>
      <c r="C388" s="1892" t="s">
        <v>4106</v>
      </c>
      <c r="D388" s="1892"/>
      <c r="E388" s="1892"/>
      <c r="F388" s="1892"/>
      <c r="G388" s="1892"/>
      <c r="H388" s="1892"/>
      <c r="I388" s="1892"/>
      <c r="J388" s="1892"/>
      <c r="K388" s="1892"/>
      <c r="L388" s="1892"/>
      <c r="M388" s="1892"/>
      <c r="N388" s="402" t="s">
        <v>2451</v>
      </c>
      <c r="O388" s="3103" t="s">
        <v>3009</v>
      </c>
      <c r="P388" s="1248"/>
      <c r="V388" s="1169"/>
      <c r="W388" s="1169"/>
    </row>
    <row r="389" spans="1:23" s="44" customFormat="1" ht="10.5" customHeight="1">
      <c r="A389" s="143"/>
      <c r="B389" s="390" t="s">
        <v>2452</v>
      </c>
      <c r="C389" s="53" t="s">
        <v>3828</v>
      </c>
      <c r="D389" s="53"/>
      <c r="E389" s="53"/>
      <c r="F389" s="53"/>
      <c r="G389" s="53"/>
      <c r="H389" s="53"/>
      <c r="I389" s="53"/>
      <c r="J389" s="53"/>
      <c r="K389" s="53"/>
      <c r="M389" s="53"/>
      <c r="N389" s="402" t="s">
        <v>2452</v>
      </c>
      <c r="O389" s="2928" t="s">
        <v>3009</v>
      </c>
      <c r="P389" s="563"/>
      <c r="V389" s="1169"/>
      <c r="W389" s="1169"/>
    </row>
    <row r="390" spans="1:23" ht="10.5" customHeight="1">
      <c r="B390" s="390" t="s">
        <v>2453</v>
      </c>
      <c r="C390" s="446" t="s">
        <v>4107</v>
      </c>
      <c r="N390" s="390" t="s">
        <v>2453</v>
      </c>
      <c r="O390" s="2928" t="s">
        <v>3009</v>
      </c>
      <c r="P390" s="563"/>
    </row>
    <row r="391" spans="1:23" ht="12" customHeight="1" thickBot="1">
      <c r="B391" s="1332" t="s">
        <v>3779</v>
      </c>
    </row>
    <row r="392" spans="1:23" s="44" customFormat="1" ht="21.75" customHeight="1" thickTop="1" thickBot="1">
      <c r="A392" s="2932" t="s">
        <v>4754</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12"/>
      <c r="F393" s="1601"/>
      <c r="G393" s="1601"/>
      <c r="H393" s="1601"/>
      <c r="I393" s="1601"/>
      <c r="J393" s="1601"/>
      <c r="K393" s="1601"/>
      <c r="L393" s="1601"/>
      <c r="M393" s="1601"/>
      <c r="N393" s="96"/>
      <c r="O393" s="925"/>
      <c r="P393" s="1591"/>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9"/>
      <c r="D395" s="1599"/>
      <c r="E395" s="1599"/>
      <c r="F395" s="1599"/>
      <c r="G395" s="1599"/>
      <c r="H395" s="1599"/>
      <c r="I395" s="1599"/>
      <c r="J395" s="1599"/>
      <c r="K395" s="1599"/>
      <c r="L395" s="1599"/>
      <c r="M395" s="1599"/>
      <c r="N395" s="77"/>
      <c r="O395" s="73"/>
      <c r="P395" s="941"/>
    </row>
    <row r="396" spans="1:23" s="44" customFormat="1" ht="12.75" customHeight="1" thickBot="1">
      <c r="A396" s="159" t="s">
        <v>4148</v>
      </c>
      <c r="C396" s="109" t="s">
        <v>2737</v>
      </c>
      <c r="D396" s="59"/>
      <c r="E396" s="53"/>
      <c r="J396" s="62"/>
      <c r="M396" s="1591">
        <v>3</v>
      </c>
      <c r="N396" s="6"/>
      <c r="O396" s="1194">
        <f>MIN($M396,O397+O405)</f>
        <v>3</v>
      </c>
      <c r="P396" s="1247">
        <f>MIN($M396,P397+P405)</f>
        <v>0</v>
      </c>
      <c r="Q396" s="112" t="s">
        <v>443</v>
      </c>
    </row>
    <row r="397" spans="1:23" s="44" customFormat="1" ht="12" customHeight="1">
      <c r="A397" s="143" t="s">
        <v>1999</v>
      </c>
      <c r="B397" s="172" t="s">
        <v>3673</v>
      </c>
      <c r="D397" s="34"/>
      <c r="E397" s="34"/>
      <c r="F397" s="34"/>
      <c r="J397" s="1336" t="s">
        <v>3839</v>
      </c>
      <c r="K397" s="1337"/>
      <c r="L397" s="1125">
        <f>'Part VI-Revenues &amp; Expenses'!$O$62*0.1</f>
        <v>6.6000000000000005</v>
      </c>
      <c r="M397" s="6">
        <v>2</v>
      </c>
      <c r="N397" s="484" t="s">
        <v>1999</v>
      </c>
      <c r="O397" s="1246">
        <f>IF(AND($M$398="",O398="Agree",O401="Yes",O402="Yes",O403="Yes"),$M$397,0)</f>
        <v>0</v>
      </c>
      <c r="P397" s="1246">
        <f>IF(AND(P398="Agree",P401="Yes",P402="Yes",P403="Yes"),$M$397,0)</f>
        <v>0</v>
      </c>
      <c r="Q397" s="403"/>
      <c r="R397" s="112"/>
    </row>
    <row r="398" spans="1:23" s="427" customFormat="1" ht="11.25" customHeight="1">
      <c r="A398" s="148"/>
      <c r="B398" s="456" t="s">
        <v>2002</v>
      </c>
      <c r="C398" s="1893" t="s">
        <v>3838</v>
      </c>
      <c r="D398" s="1893"/>
      <c r="E398" s="1893"/>
      <c r="F398" s="1893"/>
      <c r="G398" s="1893"/>
      <c r="H398" s="1893"/>
      <c r="I398" s="1893"/>
      <c r="J398" s="1338" t="s">
        <v>3841</v>
      </c>
      <c r="K398" s="1334"/>
      <c r="L398" s="1127">
        <f>'Part VI-Revenues &amp; Expenses'!$O$58</f>
        <v>66</v>
      </c>
      <c r="M398" s="2059" t="str">
        <f>IF(L400&lt;L399,"Check 1BR LI count!","")</f>
        <v/>
      </c>
      <c r="N398" s="404" t="s">
        <v>2002</v>
      </c>
      <c r="O398" s="3068"/>
      <c r="P398" s="1262"/>
      <c r="Q398" s="541"/>
      <c r="R398" s="535"/>
    </row>
    <row r="399" spans="1:23" s="427" customFormat="1" ht="11.25" customHeight="1">
      <c r="A399" s="148"/>
      <c r="B399" s="456"/>
      <c r="C399" s="1893"/>
      <c r="D399" s="1893"/>
      <c r="E399" s="1893"/>
      <c r="F399" s="1893"/>
      <c r="G399" s="1893"/>
      <c r="H399" s="1893"/>
      <c r="I399" s="1893"/>
      <c r="J399" s="1338" t="s">
        <v>3842</v>
      </c>
      <c r="K399" s="1335"/>
      <c r="L399" s="1128">
        <f>L398*0.1</f>
        <v>6.6000000000000005</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3843</v>
      </c>
      <c r="K400" s="1340"/>
      <c r="L400" s="1129">
        <f>'Part VI-Revenues &amp; Expenses'!$K$58</f>
        <v>16</v>
      </c>
      <c r="M400" s="2059"/>
      <c r="N400" s="404"/>
      <c r="O400" s="404"/>
      <c r="P400" s="404"/>
      <c r="Q400" s="541"/>
      <c r="R400" s="535"/>
    </row>
    <row r="401" spans="1:18" s="451" customFormat="1" ht="11.25" customHeight="1">
      <c r="A401" s="552"/>
      <c r="B401" s="456" t="s">
        <v>2004</v>
      </c>
      <c r="C401" s="2058" t="s">
        <v>3414</v>
      </c>
      <c r="D401" s="2058"/>
      <c r="E401" s="2058"/>
      <c r="F401" s="2058"/>
      <c r="G401" s="2058"/>
      <c r="H401" s="2058"/>
      <c r="I401" s="2058"/>
      <c r="J401" s="2058"/>
      <c r="K401" s="2058"/>
      <c r="L401" s="2058"/>
      <c r="M401" s="2058"/>
      <c r="N401" s="404" t="s">
        <v>2004</v>
      </c>
      <c r="O401" s="2929"/>
      <c r="P401" s="561"/>
    </row>
    <row r="402" spans="1:18" s="451" customFormat="1" ht="11.25" customHeight="1">
      <c r="A402" s="552"/>
      <c r="B402" s="456" t="s">
        <v>2551</v>
      </c>
      <c r="C402" s="405" t="s">
        <v>3840</v>
      </c>
      <c r="D402" s="405"/>
      <c r="E402" s="405"/>
      <c r="F402" s="405"/>
      <c r="G402" s="405"/>
      <c r="H402" s="405"/>
      <c r="I402" s="405"/>
      <c r="J402" s="405"/>
      <c r="K402" s="405"/>
      <c r="L402" s="405"/>
      <c r="M402" s="405"/>
      <c r="N402" s="404" t="s">
        <v>2551</v>
      </c>
      <c r="O402" s="2935"/>
      <c r="P402" s="562"/>
    </row>
    <row r="403" spans="1:18" s="451" customFormat="1" ht="11.25" customHeight="1">
      <c r="A403" s="552"/>
      <c r="B403" s="456" t="s">
        <v>1236</v>
      </c>
      <c r="C403" s="2058" t="s">
        <v>3837</v>
      </c>
      <c r="D403" s="2058"/>
      <c r="E403" s="2058"/>
      <c r="F403" s="2058"/>
      <c r="G403" s="2058"/>
      <c r="H403" s="2058"/>
      <c r="I403" s="2058"/>
      <c r="J403" s="2058"/>
      <c r="K403" s="2058"/>
      <c r="L403" s="2058"/>
      <c r="M403" s="2058"/>
      <c r="N403" s="404" t="s">
        <v>1236</v>
      </c>
      <c r="O403" s="2928"/>
      <c r="P403" s="563"/>
    </row>
    <row r="404" spans="1:18" s="451" customFormat="1" ht="3" customHeight="1">
      <c r="B404" s="499"/>
      <c r="C404" s="1610"/>
      <c r="D404" s="1610"/>
      <c r="E404" s="1610"/>
      <c r="F404" s="1610"/>
      <c r="G404" s="1610"/>
      <c r="H404" s="1610"/>
      <c r="M404" s="1610"/>
      <c r="N404" s="1610"/>
      <c r="O404" s="1610"/>
      <c r="P404" s="1610"/>
    </row>
    <row r="405" spans="1:18" s="44" customFormat="1" ht="12" customHeight="1">
      <c r="A405" s="143" t="s">
        <v>2001</v>
      </c>
      <c r="B405" s="172" t="s">
        <v>2738</v>
      </c>
      <c r="D405" s="41"/>
      <c r="G405" s="37"/>
      <c r="M405" s="6">
        <v>3</v>
      </c>
      <c r="N405" s="484" t="s">
        <v>2001</v>
      </c>
      <c r="O405" s="1130">
        <f>IF(AND(O406="Agree",O408="Agree",$M$408&gt;=15%),$M$405,0)</f>
        <v>3</v>
      </c>
      <c r="P405" s="1130">
        <f>IF(AND(P406="Agree",P408="Agree",$M$408&gt;=15%),$M$405,0)</f>
        <v>0</v>
      </c>
      <c r="Q405" s="403"/>
      <c r="R405" s="391"/>
    </row>
    <row r="406" spans="1:18" s="427" customFormat="1" ht="22.5" customHeight="1">
      <c r="A406" s="148"/>
      <c r="B406" s="456" t="s">
        <v>2002</v>
      </c>
      <c r="C406" s="1893" t="s">
        <v>3860</v>
      </c>
      <c r="D406" s="1893"/>
      <c r="E406" s="1893"/>
      <c r="F406" s="1893"/>
      <c r="G406" s="1893"/>
      <c r="H406" s="1893"/>
      <c r="I406" s="1893"/>
      <c r="J406" s="1893"/>
      <c r="K406" s="1893"/>
      <c r="L406" s="1893"/>
      <c r="M406" s="622"/>
      <c r="N406" s="404" t="s">
        <v>2002</v>
      </c>
      <c r="O406" s="3068" t="s">
        <v>4627</v>
      </c>
      <c r="P406" s="1262"/>
      <c r="Q406" s="541"/>
      <c r="R406" s="535"/>
    </row>
    <row r="407" spans="1:18" s="427" customFormat="1" ht="11.25" customHeight="1">
      <c r="A407" s="148"/>
      <c r="B407" s="456"/>
      <c r="C407" s="498" t="s">
        <v>3678</v>
      </c>
      <c r="D407" s="1603"/>
      <c r="E407" s="1603"/>
      <c r="F407" s="1603"/>
      <c r="G407" s="3104" t="s">
        <v>4667</v>
      </c>
      <c r="H407" s="3105"/>
      <c r="I407" s="3106"/>
      <c r="J407" s="1369" t="s">
        <v>3679</v>
      </c>
      <c r="L407" s="3107" t="s">
        <v>4676</v>
      </c>
      <c r="M407" s="622"/>
      <c r="N407" s="404"/>
      <c r="O407" s="404"/>
      <c r="P407" s="404"/>
      <c r="Q407" s="541"/>
      <c r="R407" s="535"/>
    </row>
    <row r="408" spans="1:18" s="451" customFormat="1" ht="11.25" customHeight="1">
      <c r="A408" s="552"/>
      <c r="B408" s="456" t="s">
        <v>2004</v>
      </c>
      <c r="C408" s="405" t="s">
        <v>3415</v>
      </c>
      <c r="D408" s="405"/>
      <c r="E408" s="405"/>
      <c r="F408" s="405"/>
      <c r="G408" s="405"/>
      <c r="H408" s="405"/>
      <c r="I408" s="405"/>
      <c r="J408" s="405" t="s">
        <v>3677</v>
      </c>
      <c r="K408" s="405"/>
      <c r="L408" s="3108">
        <v>10</v>
      </c>
      <c r="M408" s="973">
        <f>IF('Part VI-Revenues &amp; Expenses'!$O$62=0,0,L408/'Part VI-Revenues &amp; Expenses'!$O$62)</f>
        <v>0.15151515151515152</v>
      </c>
      <c r="N408" s="404" t="s">
        <v>2004</v>
      </c>
      <c r="O408" s="3068" t="s">
        <v>4627</v>
      </c>
      <c r="P408" s="1262"/>
    </row>
    <row r="409" spans="1:18" s="44" customFormat="1" ht="11.25" customHeight="1" thickBot="1">
      <c r="A409" s="43"/>
      <c r="B409" s="1332" t="s">
        <v>3779</v>
      </c>
      <c r="C409" s="43"/>
      <c r="D409" s="49"/>
      <c r="E409" s="49"/>
      <c r="F409" s="49"/>
      <c r="G409" s="49"/>
      <c r="H409" s="37"/>
      <c r="I409" s="37"/>
      <c r="J409" s="37"/>
      <c r="K409" s="37"/>
      <c r="M409" s="47"/>
      <c r="N409" s="63"/>
      <c r="O409" s="3"/>
      <c r="P409" s="1594"/>
    </row>
    <row r="410" spans="1:18" s="44" customFormat="1" ht="21.75" customHeight="1" thickTop="1" thickBot="1">
      <c r="A410" s="2932" t="s">
        <v>4675</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9"/>
      <c r="G411" s="1599"/>
      <c r="H411" s="1599"/>
      <c r="I411" s="1599"/>
      <c r="J411" s="1599"/>
      <c r="K411" s="1599"/>
      <c r="L411" s="1599"/>
      <c r="M411" s="1599"/>
      <c r="N411" s="77"/>
      <c r="O411" s="73"/>
      <c r="P411" s="1591"/>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9"/>
      <c r="D413" s="1599"/>
      <c r="E413" s="1599"/>
      <c r="F413" s="1599"/>
      <c r="G413" s="1599"/>
      <c r="H413" s="1599"/>
      <c r="I413" s="1599"/>
      <c r="J413" s="1599"/>
      <c r="K413" s="1599"/>
      <c r="L413" s="1599"/>
      <c r="M413" s="1599"/>
      <c r="N413" s="77"/>
      <c r="O413" s="73"/>
      <c r="P413" s="941"/>
    </row>
    <row r="414" spans="1:18" s="44" customFormat="1" ht="13.5" customHeight="1" thickBot="1">
      <c r="A414" s="158" t="s">
        <v>4151</v>
      </c>
      <c r="B414" s="108" t="s">
        <v>2739</v>
      </c>
      <c r="D414" s="41"/>
      <c r="G414" s="62" t="s">
        <v>3411</v>
      </c>
      <c r="J414" s="37" t="s">
        <v>3417</v>
      </c>
      <c r="K414" s="105"/>
      <c r="L414" s="551">
        <f>'Part VI-Revenues &amp; Expenses'!$O$84</f>
        <v>0</v>
      </c>
      <c r="M414" s="1591">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3483</v>
      </c>
      <c r="D416" s="3093" t="s">
        <v>2921</v>
      </c>
      <c r="E416" s="3062"/>
      <c r="F416" s="3062"/>
      <c r="G416" s="3062"/>
      <c r="H416" s="3062"/>
      <c r="I416" s="3094"/>
      <c r="J416" s="405" t="s">
        <v>2848</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3699</v>
      </c>
      <c r="C418" s="405"/>
      <c r="D418" s="405"/>
      <c r="E418" s="405"/>
      <c r="F418" s="405"/>
      <c r="G418" s="405"/>
      <c r="H418" s="405"/>
      <c r="I418" s="405"/>
      <c r="M418" s="428">
        <v>1</v>
      </c>
      <c r="N418" s="166" t="s">
        <v>1999</v>
      </c>
      <c r="O418" s="2963"/>
      <c r="P418" s="912"/>
      <c r="Q418" s="1090" t="str">
        <f>IF(OR($O418=$M418,$O418=0,$O418=""),"","*CHECK!*")</f>
        <v/>
      </c>
      <c r="R418" s="1192" t="s">
        <v>2724</v>
      </c>
    </row>
    <row r="419" spans="1:19" s="427" customFormat="1" ht="12" customHeight="1">
      <c r="A419" s="426"/>
      <c r="B419" s="2008" t="s">
        <v>4247</v>
      </c>
      <c r="C419" s="2008"/>
      <c r="D419" s="2008"/>
      <c r="E419" s="2008"/>
      <c r="F419" s="2008"/>
      <c r="G419" s="2008"/>
      <c r="H419" s="2008"/>
      <c r="I419" s="2008"/>
      <c r="J419" s="2008"/>
      <c r="K419" s="2008"/>
      <c r="L419" s="2008"/>
      <c r="M419" s="1893" t="s">
        <v>4249</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2846</v>
      </c>
      <c r="N421" s="428"/>
      <c r="O421" s="2067">
        <f>'Part VI-Revenues &amp; Expenses'!$O$62</f>
        <v>66</v>
      </c>
      <c r="P421" s="2068"/>
      <c r="Q421" s="179"/>
    </row>
    <row r="422" spans="1:19" s="427" customFormat="1" ht="12" customHeight="1">
      <c r="B422" s="2064"/>
      <c r="C422" s="2064"/>
      <c r="D422" s="2064"/>
      <c r="E422" s="2064"/>
      <c r="F422" s="2064"/>
      <c r="G422" s="2064"/>
      <c r="H422" s="2064"/>
      <c r="I422" s="2064"/>
      <c r="J422" s="2064"/>
      <c r="K422" s="2064"/>
      <c r="L422" s="2064"/>
      <c r="M422" s="550" t="s">
        <v>2847</v>
      </c>
      <c r="N422" s="428"/>
      <c r="O422" s="2060">
        <f>IF(O421=0,0,O420/O421)</f>
        <v>0</v>
      </c>
      <c r="P422" s="2061"/>
      <c r="Q422" s="179"/>
    </row>
    <row r="423" spans="1:19" s="44" customFormat="1" ht="66.75" customHeight="1">
      <c r="A423" s="552"/>
      <c r="B423" s="3109" t="s">
        <v>4254</v>
      </c>
      <c r="C423" s="3110"/>
      <c r="D423" s="3110"/>
      <c r="E423" s="3110"/>
      <c r="F423" s="3110"/>
      <c r="G423" s="3110"/>
      <c r="H423" s="3110"/>
      <c r="I423" s="3110"/>
      <c r="J423" s="3110"/>
      <c r="K423" s="3110"/>
      <c r="L423" s="3110"/>
      <c r="M423" s="3110"/>
      <c r="N423" s="3110"/>
      <c r="O423" s="3110"/>
      <c r="P423" s="3111"/>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4253</v>
      </c>
      <c r="B425" s="994" t="s">
        <v>3377</v>
      </c>
      <c r="C425" s="144"/>
      <c r="D425" s="924"/>
      <c r="H425" s="405"/>
      <c r="M425" s="428">
        <v>1</v>
      </c>
      <c r="N425" s="166" t="s">
        <v>2001</v>
      </c>
      <c r="O425" s="2963"/>
      <c r="P425" s="912"/>
      <c r="Q425" s="1090" t="str">
        <f>IF(OR($O425=$M425,$O425=0,$O425=""),"","*CHECK!*")</f>
        <v/>
      </c>
      <c r="R425" s="1192" t="s">
        <v>2724</v>
      </c>
    </row>
    <row r="426" spans="1:19" s="427" customFormat="1" ht="11.25" customHeight="1">
      <c r="A426" s="553"/>
      <c r="B426" s="1892" t="s">
        <v>4248</v>
      </c>
      <c r="C426" s="1892"/>
      <c r="D426" s="1892"/>
      <c r="E426" s="1892"/>
      <c r="F426" s="1892"/>
      <c r="G426" s="1892"/>
      <c r="H426" s="1892"/>
      <c r="I426" s="1892"/>
      <c r="J426" s="1892"/>
      <c r="K426" s="1892"/>
      <c r="L426" s="1892"/>
      <c r="M426" s="498" t="s">
        <v>2846</v>
      </c>
      <c r="N426" s="428"/>
      <c r="O426" s="2062">
        <f>'Part VI-Revenues &amp; Expenses'!$O$62</f>
        <v>66</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2847</v>
      </c>
      <c r="N427" s="428"/>
      <c r="O427" s="2060">
        <f>IF(O426=0,0,L414/O426)</f>
        <v>0</v>
      </c>
      <c r="P427" s="2061"/>
      <c r="Q427" s="179"/>
    </row>
    <row r="428" spans="1:19" s="44" customFormat="1" ht="11.25" customHeight="1" thickBot="1">
      <c r="A428" s="43"/>
      <c r="B428" s="1332" t="s">
        <v>3779</v>
      </c>
      <c r="C428" s="43"/>
      <c r="D428" s="49"/>
      <c r="E428" s="49"/>
      <c r="F428" s="49"/>
      <c r="G428" s="49"/>
      <c r="H428" s="37"/>
      <c r="I428" s="37"/>
      <c r="J428" s="37"/>
      <c r="K428" s="37"/>
      <c r="M428" s="47"/>
      <c r="N428" s="63"/>
      <c r="O428" s="3"/>
      <c r="P428" s="1594"/>
    </row>
    <row r="429" spans="1:19" s="44" customFormat="1" ht="21.75" customHeight="1" thickTop="1" thickBot="1">
      <c r="A429" s="2932" t="s">
        <v>4755</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9"/>
      <c r="G430" s="1599"/>
      <c r="H430" s="1599"/>
      <c r="I430" s="1599"/>
      <c r="J430" s="1599"/>
      <c r="K430" s="1599"/>
      <c r="L430" s="1599"/>
      <c r="M430" s="1599"/>
      <c r="N430" s="77"/>
      <c r="O430" s="73"/>
      <c r="P430" s="1591"/>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9"/>
      <c r="D432" s="1599"/>
      <c r="E432" s="1599"/>
      <c r="F432" s="1599"/>
      <c r="G432" s="1599"/>
      <c r="H432" s="1599"/>
      <c r="I432" s="1599"/>
      <c r="J432" s="1599"/>
      <c r="K432" s="1599"/>
      <c r="L432" s="1599"/>
      <c r="M432" s="1599"/>
      <c r="N432" s="77"/>
      <c r="O432" s="73"/>
      <c r="P432" s="941"/>
    </row>
    <row r="433" spans="1:18" s="105" customFormat="1" ht="11.25" customHeight="1" thickBot="1">
      <c r="A433" s="159" t="s">
        <v>4152</v>
      </c>
      <c r="B433" s="108" t="s">
        <v>1686</v>
      </c>
      <c r="D433" s="46"/>
      <c r="E433" s="46"/>
      <c r="F433" s="40"/>
      <c r="G433" s="37"/>
      <c r="I433" s="37"/>
      <c r="J433" s="37"/>
      <c r="K433" s="37"/>
      <c r="L433" s="391" t="str">
        <f>IF(OR($O433=$M433,$O433&lt;=0,$O433=""),"","* * Check Score! * *")</f>
        <v/>
      </c>
      <c r="M433" s="1591">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91"/>
      <c r="N434" s="6"/>
      <c r="O434" s="6"/>
      <c r="P434" s="6"/>
      <c r="Q434" s="112"/>
    </row>
    <row r="435" spans="1:18" s="105" customFormat="1" ht="10.5" customHeight="1">
      <c r="A435" s="159"/>
      <c r="B435" s="89" t="s">
        <v>3681</v>
      </c>
      <c r="D435" s="46"/>
      <c r="E435" s="46"/>
      <c r="F435" s="40"/>
      <c r="G435" s="37"/>
      <c r="I435" s="37"/>
      <c r="J435" s="37"/>
      <c r="K435" s="37"/>
      <c r="L435" s="391"/>
      <c r="M435" s="1591"/>
      <c r="N435" s="6"/>
      <c r="O435" s="1259">
        <v>10</v>
      </c>
      <c r="P435" s="1259">
        <v>10</v>
      </c>
      <c r="Q435" s="112"/>
    </row>
    <row r="436" spans="1:18" s="105" customFormat="1" ht="10.5" customHeight="1">
      <c r="A436" s="159"/>
      <c r="B436" s="89" t="s">
        <v>3682</v>
      </c>
      <c r="D436" s="46"/>
      <c r="E436" s="46"/>
      <c r="F436" s="40"/>
      <c r="G436" s="37"/>
      <c r="I436" s="37"/>
      <c r="J436" s="37"/>
      <c r="K436" s="37"/>
      <c r="L436" s="391"/>
      <c r="M436" s="1591"/>
      <c r="N436" s="6"/>
      <c r="O436" s="3112"/>
      <c r="P436" s="1251"/>
      <c r="Q436" s="112"/>
    </row>
    <row r="437" spans="1:18" s="105" customFormat="1" ht="10.5" customHeight="1">
      <c r="A437" s="159"/>
      <c r="B437" s="89" t="s">
        <v>3683</v>
      </c>
      <c r="D437" s="46"/>
      <c r="E437" s="46"/>
      <c r="F437" s="40"/>
      <c r="G437" s="37"/>
      <c r="I437" s="37"/>
      <c r="J437" s="37"/>
      <c r="K437" s="37"/>
      <c r="L437" s="391"/>
      <c r="M437" s="1591"/>
      <c r="N437" s="6"/>
      <c r="O437" s="3113"/>
      <c r="P437" s="557"/>
      <c r="Q437" s="112"/>
    </row>
    <row r="438" spans="1:18" s="105" customFormat="1" ht="10.5" customHeight="1">
      <c r="A438" s="69"/>
      <c r="B438" s="69" t="s">
        <v>1880</v>
      </c>
      <c r="C438" s="51"/>
      <c r="D438" s="69"/>
      <c r="E438" s="1601"/>
      <c r="F438" s="1601"/>
      <c r="G438" s="1601"/>
      <c r="H438" s="1601"/>
      <c r="I438" s="1601"/>
      <c r="J438" s="1601"/>
      <c r="K438" s="1601"/>
      <c r="L438" s="1601"/>
      <c r="M438" s="1601"/>
      <c r="N438" s="96"/>
      <c r="O438" s="925"/>
      <c r="P438" s="1591"/>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9"/>
      <c r="D440" s="1599"/>
      <c r="E440" s="1599"/>
      <c r="F440" s="1599"/>
      <c r="G440" s="1599"/>
      <c r="H440" s="1599"/>
      <c r="I440" s="1599"/>
      <c r="J440" s="1599"/>
      <c r="K440" s="1599"/>
      <c r="L440" s="1599"/>
      <c r="M440" s="1599"/>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61</v>
      </c>
      <c r="P441" s="1245">
        <f>P8+P43+P57+P67+P94+P111+P153+P189+P228+P270+P286+P294+P316+P324+P337+P346+P362+P396+P414+P433</f>
        <v>20</v>
      </c>
    </row>
    <row r="442" spans="1:18" s="43" customFormat="1" ht="11.25" customHeight="1" thickTop="1">
      <c r="A442" s="55"/>
      <c r="B442" s="70"/>
      <c r="C442" s="55"/>
      <c r="D442" s="36"/>
      <c r="E442" s="36"/>
      <c r="F442" s="72"/>
      <c r="G442" s="72"/>
      <c r="H442" s="172" t="s">
        <v>4242</v>
      </c>
      <c r="J442" s="71"/>
      <c r="K442" s="71"/>
      <c r="L442" s="44"/>
      <c r="M442" s="36"/>
      <c r="N442" s="1591"/>
      <c r="O442" s="1591"/>
      <c r="P442" s="482">
        <f>P228</f>
        <v>0</v>
      </c>
    </row>
    <row r="443" spans="1:18" s="43" customFormat="1" ht="11.25" customHeight="1">
      <c r="A443" s="55"/>
      <c r="B443" s="70"/>
      <c r="C443" s="55"/>
      <c r="D443" s="36"/>
      <c r="E443" s="36"/>
      <c r="F443" s="72"/>
      <c r="G443" s="72"/>
      <c r="H443" s="172" t="s">
        <v>4243</v>
      </c>
      <c r="J443" s="71"/>
      <c r="K443" s="71"/>
      <c r="L443" s="44"/>
      <c r="M443" s="36"/>
      <c r="N443" s="1591"/>
      <c r="O443" s="482"/>
      <c r="P443" s="482">
        <f>P324</f>
        <v>0</v>
      </c>
    </row>
    <row r="444" spans="1:18" s="44" customFormat="1" ht="11.25" customHeight="1">
      <c r="A444" s="43"/>
      <c r="D444" s="40"/>
      <c r="E444" s="37"/>
      <c r="F444" s="941"/>
      <c r="H444" s="172" t="s">
        <v>4251</v>
      </c>
      <c r="I444" s="941"/>
      <c r="J444" s="956"/>
      <c r="K444" s="956"/>
      <c r="L444" s="956"/>
      <c r="M444" s="61"/>
      <c r="N444" s="941"/>
      <c r="O444" s="1594"/>
      <c r="P444" s="1259">
        <f>P441-P442-P443</f>
        <v>20</v>
      </c>
    </row>
    <row r="445" spans="1:18" s="164" customFormat="1" ht="4.5" customHeight="1">
      <c r="A445" s="55"/>
      <c r="B445" s="70"/>
      <c r="C445" s="55"/>
      <c r="D445" s="152"/>
      <c r="E445" s="152"/>
      <c r="F445" s="41"/>
      <c r="G445" s="41"/>
      <c r="H445" s="72"/>
      <c r="I445" s="72"/>
      <c r="J445" s="500"/>
      <c r="K445" s="500"/>
      <c r="L445" s="44"/>
      <c r="M445" s="152"/>
      <c r="N445" s="1591"/>
      <c r="O445" s="1591"/>
      <c r="P445" s="3"/>
    </row>
    <row r="446" spans="1:18" s="44" customFormat="1" ht="27.75" customHeight="1">
      <c r="A446" s="2111" t="s">
        <v>3713</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4" t="s">
        <v>4710</v>
      </c>
      <c r="B447" s="3115"/>
      <c r="C447" s="3115"/>
      <c r="D447" s="3115"/>
      <c r="E447" s="3115"/>
      <c r="F447" s="3115"/>
      <c r="G447" s="3115"/>
      <c r="H447" s="3115"/>
      <c r="I447" s="3115"/>
      <c r="J447" s="3115"/>
      <c r="K447" s="3115"/>
      <c r="L447" s="3115"/>
      <c r="M447" s="3115"/>
      <c r="N447" s="3115"/>
      <c r="O447" s="3115"/>
      <c r="P447" s="3116"/>
      <c r="Q447" s="461" t="s">
        <v>1266</v>
      </c>
      <c r="R447" s="462"/>
    </row>
    <row r="448" spans="1:18" s="164" customFormat="1">
      <c r="N448" s="124"/>
      <c r="O448" s="1589"/>
      <c r="P448" s="1589"/>
    </row>
    <row r="449" spans="3:19" s="164" customFormat="1">
      <c r="N449" s="124"/>
      <c r="O449" s="1589"/>
      <c r="P449" s="1589"/>
      <c r="Q449" s="503"/>
      <c r="R449" s="503"/>
      <c r="S449" s="503"/>
    </row>
    <row r="450" spans="3:19" s="164" customFormat="1">
      <c r="N450" s="124"/>
      <c r="O450" s="1589"/>
      <c r="P450" s="1589"/>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3435</v>
      </c>
      <c r="K470" s="469"/>
      <c r="L470" s="469"/>
      <c r="M470" s="469"/>
      <c r="N470" s="470"/>
      <c r="O470" s="1322" t="s">
        <v>3793</v>
      </c>
      <c r="P470" s="1318"/>
      <c r="Q470" s="1228"/>
    </row>
    <row r="471" spans="3:17" s="503" customFormat="1">
      <c r="C471" s="1229" t="s">
        <v>1401</v>
      </c>
      <c r="D471" s="469"/>
      <c r="E471" s="469"/>
      <c r="F471" s="469"/>
      <c r="G471" s="469"/>
      <c r="H471" s="469"/>
      <c r="I471" s="469"/>
      <c r="J471" s="1319" t="s">
        <v>3436</v>
      </c>
      <c r="K471" s="469"/>
      <c r="L471" s="469"/>
      <c r="M471" s="469"/>
      <c r="N471" s="470"/>
      <c r="O471" s="1318"/>
      <c r="P471" s="1318"/>
      <c r="Q471" s="1228"/>
    </row>
    <row r="472" spans="3:17" s="503" customFormat="1">
      <c r="C472" s="1229" t="s">
        <v>2298</v>
      </c>
      <c r="D472" s="469"/>
      <c r="E472" s="469"/>
      <c r="F472" s="469"/>
      <c r="G472" s="469"/>
      <c r="H472" s="469"/>
      <c r="I472" s="469"/>
      <c r="J472" s="469" t="s">
        <v>3420</v>
      </c>
      <c r="K472" s="469"/>
      <c r="L472" s="469"/>
      <c r="M472" s="469"/>
      <c r="N472" s="470"/>
      <c r="O472" s="1318">
        <v>2</v>
      </c>
      <c r="P472" s="1318"/>
      <c r="Q472" s="1228"/>
    </row>
    <row r="473" spans="3:17" s="503" customFormat="1">
      <c r="C473" s="469"/>
      <c r="D473" s="469"/>
      <c r="E473" s="469"/>
      <c r="F473" s="469"/>
      <c r="G473" s="469"/>
      <c r="H473" s="469"/>
      <c r="I473" s="469"/>
      <c r="J473" s="469" t="s">
        <v>3421</v>
      </c>
      <c r="K473" s="469"/>
      <c r="L473" s="469"/>
      <c r="M473" s="469"/>
      <c r="N473" s="470"/>
      <c r="O473" s="1318">
        <v>2</v>
      </c>
      <c r="P473" s="1318"/>
      <c r="Q473" s="1228"/>
    </row>
    <row r="474" spans="3:17" s="503" customFormat="1">
      <c r="C474" s="469"/>
      <c r="D474" s="469"/>
      <c r="E474" s="469"/>
      <c r="F474" s="469"/>
      <c r="G474" s="469"/>
      <c r="H474" s="469"/>
      <c r="I474" s="469"/>
      <c r="J474" s="469" t="s">
        <v>3422</v>
      </c>
      <c r="K474" s="469"/>
      <c r="L474" s="469"/>
      <c r="M474" s="469"/>
      <c r="N474" s="470"/>
      <c r="O474" s="1318">
        <v>2</v>
      </c>
      <c r="P474" s="1318"/>
      <c r="Q474" s="1228"/>
    </row>
    <row r="475" spans="3:17" s="503" customFormat="1">
      <c r="C475" s="469" t="s">
        <v>2803</v>
      </c>
      <c r="D475" s="469"/>
      <c r="E475" s="469"/>
      <c r="F475" s="469"/>
      <c r="G475" s="1323" t="s">
        <v>1515</v>
      </c>
      <c r="H475" s="1324"/>
      <c r="I475" s="1323"/>
      <c r="J475" s="469" t="s">
        <v>3423</v>
      </c>
      <c r="K475" s="469"/>
      <c r="L475" s="1323"/>
      <c r="M475" s="469"/>
      <c r="N475" s="470"/>
      <c r="O475" s="1318">
        <v>2</v>
      </c>
      <c r="P475" s="1318"/>
      <c r="Q475" s="1228"/>
    </row>
    <row r="476" spans="3:17" s="503" customFormat="1">
      <c r="C476" s="1325" t="s">
        <v>2805</v>
      </c>
      <c r="D476" s="469"/>
      <c r="E476" s="469"/>
      <c r="F476" s="469"/>
      <c r="G476" s="1326" t="s">
        <v>2539</v>
      </c>
      <c r="H476" s="1324"/>
      <c r="I476" s="1326"/>
      <c r="J476" s="469" t="s">
        <v>3791</v>
      </c>
      <c r="K476" s="469"/>
      <c r="L476" s="1326"/>
      <c r="M476" s="469"/>
      <c r="N476" s="470"/>
      <c r="O476" s="1318">
        <v>2</v>
      </c>
      <c r="P476" s="1318"/>
      <c r="Q476" s="1228"/>
    </row>
    <row r="477" spans="3:17" s="503" customFormat="1">
      <c r="C477" s="1325" t="s">
        <v>2806</v>
      </c>
      <c r="D477" s="469"/>
      <c r="E477" s="469"/>
      <c r="F477" s="469"/>
      <c r="G477" s="1326" t="s">
        <v>1795</v>
      </c>
      <c r="H477" s="1324"/>
      <c r="I477" s="1327"/>
      <c r="J477" s="1324" t="s">
        <v>3424</v>
      </c>
      <c r="K477" s="469"/>
      <c r="L477" s="1327"/>
      <c r="M477" s="469"/>
      <c r="N477" s="470"/>
      <c r="O477" s="1318">
        <v>1</v>
      </c>
      <c r="P477" s="1318"/>
      <c r="Q477" s="1228"/>
    </row>
    <row r="478" spans="3:17" s="503" customFormat="1">
      <c r="C478" s="1325" t="s">
        <v>2807</v>
      </c>
      <c r="D478" s="469"/>
      <c r="E478" s="469"/>
      <c r="F478" s="469"/>
      <c r="G478" s="1326" t="s">
        <v>1649</v>
      </c>
      <c r="H478" s="1324"/>
      <c r="I478" s="1327"/>
      <c r="J478" s="1324" t="s">
        <v>3425</v>
      </c>
      <c r="K478" s="469"/>
      <c r="L478" s="1327"/>
      <c r="M478" s="469"/>
      <c r="N478" s="470"/>
      <c r="O478" s="1318">
        <v>1</v>
      </c>
      <c r="P478" s="1318"/>
      <c r="Q478" s="1228"/>
    </row>
    <row r="479" spans="3:17" s="503" customFormat="1">
      <c r="C479" s="1325" t="s">
        <v>2808</v>
      </c>
      <c r="D479" s="469"/>
      <c r="E479" s="469"/>
      <c r="F479" s="469"/>
      <c r="G479" s="1326" t="s">
        <v>1046</v>
      </c>
      <c r="H479" s="1324"/>
      <c r="I479" s="1327"/>
      <c r="J479" s="1324" t="s">
        <v>3426</v>
      </c>
      <c r="K479" s="469"/>
      <c r="L479" s="1327"/>
      <c r="M479" s="469"/>
      <c r="N479" s="470"/>
      <c r="O479" s="1318">
        <v>1</v>
      </c>
      <c r="P479" s="1318"/>
      <c r="Q479" s="1228"/>
    </row>
    <row r="480" spans="3:17" s="503" customFormat="1">
      <c r="C480" s="1325" t="s">
        <v>2809</v>
      </c>
      <c r="D480" s="469"/>
      <c r="E480" s="469"/>
      <c r="F480" s="469"/>
      <c r="G480" s="1326" t="s">
        <v>2087</v>
      </c>
      <c r="H480" s="1324"/>
      <c r="I480" s="1327"/>
      <c r="J480" s="1324" t="s">
        <v>3792</v>
      </c>
      <c r="K480" s="469"/>
      <c r="L480" s="1327"/>
      <c r="M480" s="469"/>
      <c r="N480" s="470"/>
      <c r="O480" s="1318">
        <v>1</v>
      </c>
      <c r="P480" s="1318"/>
      <c r="Q480" s="1228"/>
    </row>
    <row r="481" spans="1:17" s="503" customFormat="1">
      <c r="C481" s="1325" t="s">
        <v>2810</v>
      </c>
      <c r="D481" s="469"/>
      <c r="E481" s="469"/>
      <c r="F481" s="469"/>
      <c r="G481" s="1326" t="s">
        <v>3834</v>
      </c>
      <c r="H481" s="1324"/>
      <c r="I481" s="1327"/>
      <c r="J481" s="1324" t="s">
        <v>3434</v>
      </c>
      <c r="K481" s="469"/>
      <c r="L481" s="1327"/>
      <c r="M481" s="469"/>
      <c r="N481" s="470"/>
      <c r="O481" s="1318">
        <v>1</v>
      </c>
      <c r="P481" s="1318"/>
      <c r="Q481" s="1228"/>
    </row>
    <row r="482" spans="1:17" s="503" customFormat="1">
      <c r="C482" s="1325"/>
      <c r="D482" s="469"/>
      <c r="E482" s="469"/>
      <c r="F482" s="469"/>
      <c r="G482" s="1326" t="s">
        <v>11</v>
      </c>
      <c r="H482" s="1324"/>
      <c r="I482" s="1327"/>
      <c r="J482" s="1324" t="s">
        <v>3427</v>
      </c>
      <c r="K482" s="469"/>
      <c r="L482" s="1327"/>
      <c r="M482" s="469"/>
      <c r="N482" s="470"/>
      <c r="O482" s="1318">
        <v>1</v>
      </c>
      <c r="P482" s="1318"/>
      <c r="Q482" s="1228"/>
    </row>
    <row r="483" spans="1:17" s="503" customFormat="1">
      <c r="C483" s="1325"/>
      <c r="D483" s="469"/>
      <c r="E483" s="469"/>
      <c r="F483" s="469"/>
      <c r="G483" s="1326" t="s">
        <v>358</v>
      </c>
      <c r="H483" s="1324"/>
      <c r="I483" s="1327"/>
      <c r="J483" s="1324" t="s">
        <v>3428</v>
      </c>
      <c r="K483" s="469"/>
      <c r="L483" s="1327"/>
      <c r="M483" s="469"/>
      <c r="N483" s="470"/>
      <c r="O483" s="1318">
        <v>1</v>
      </c>
      <c r="P483" s="1318"/>
      <c r="Q483" s="1228"/>
    </row>
    <row r="484" spans="1:17" s="503" customFormat="1">
      <c r="C484" s="1325"/>
      <c r="D484" s="469"/>
      <c r="E484" s="469"/>
      <c r="F484" s="469"/>
      <c r="G484" s="1326" t="s">
        <v>1344</v>
      </c>
      <c r="H484" s="1324"/>
      <c r="I484" s="1327"/>
      <c r="J484" s="1324" t="s">
        <v>3429</v>
      </c>
      <c r="K484" s="469"/>
      <c r="L484" s="1327"/>
      <c r="M484" s="469"/>
      <c r="N484" s="470"/>
      <c r="O484" s="1318">
        <v>1</v>
      </c>
      <c r="P484" s="1318"/>
      <c r="Q484" s="1228"/>
    </row>
    <row r="485" spans="1:17" s="503" customFormat="1">
      <c r="C485" s="469"/>
      <c r="D485" s="469"/>
      <c r="E485" s="469"/>
      <c r="F485" s="469"/>
      <c r="G485" s="1326" t="s">
        <v>1516</v>
      </c>
      <c r="H485" s="1324"/>
      <c r="I485" s="1327"/>
      <c r="J485" s="1324" t="s">
        <v>3430</v>
      </c>
      <c r="K485" s="469"/>
      <c r="L485" s="1327"/>
      <c r="M485" s="469"/>
      <c r="N485" s="470"/>
      <c r="O485" s="1318">
        <v>1</v>
      </c>
      <c r="P485" s="1318"/>
      <c r="Q485" s="1228"/>
    </row>
    <row r="486" spans="1:17" s="503" customFormat="1">
      <c r="C486" s="469"/>
      <c r="D486" s="469"/>
      <c r="E486" s="469"/>
      <c r="F486" s="469"/>
      <c r="G486" s="1326" t="s">
        <v>1032</v>
      </c>
      <c r="H486" s="1324"/>
      <c r="I486" s="1327"/>
      <c r="J486" s="1324" t="s">
        <v>3433</v>
      </c>
      <c r="K486" s="469"/>
      <c r="L486" s="1327"/>
      <c r="M486" s="469"/>
      <c r="N486" s="470"/>
      <c r="O486" s="1318">
        <v>1</v>
      </c>
      <c r="P486" s="1318"/>
      <c r="Q486" s="1228"/>
    </row>
    <row r="487" spans="1:17" s="503" customFormat="1">
      <c r="A487" s="1145" t="s">
        <v>2812</v>
      </c>
      <c r="C487" s="469"/>
      <c r="D487" s="469"/>
      <c r="E487" s="469"/>
      <c r="F487" s="469"/>
      <c r="G487" s="1326" t="s">
        <v>1771</v>
      </c>
      <c r="H487" s="1324"/>
      <c r="I487" s="1327"/>
      <c r="J487" s="1324" t="s">
        <v>3431</v>
      </c>
      <c r="K487" s="469"/>
      <c r="L487" s="1327"/>
      <c r="M487" s="469"/>
      <c r="N487" s="470"/>
      <c r="O487" s="1318">
        <v>1</v>
      </c>
      <c r="P487" s="1318"/>
      <c r="Q487" s="1228"/>
    </row>
    <row r="488" spans="1:17" s="503" customFormat="1">
      <c r="A488" s="1145" t="s">
        <v>2840</v>
      </c>
      <c r="C488" s="469"/>
      <c r="D488" s="469"/>
      <c r="E488" s="469"/>
      <c r="F488" s="469"/>
      <c r="G488" s="1326" t="s">
        <v>88</v>
      </c>
      <c r="H488" s="1324"/>
      <c r="I488" s="1327"/>
      <c r="J488" s="1324" t="s">
        <v>3432</v>
      </c>
      <c r="K488" s="469"/>
      <c r="L488" s="1327"/>
      <c r="M488" s="469"/>
      <c r="N488" s="470"/>
      <c r="O488" s="1318">
        <v>1</v>
      </c>
      <c r="P488" s="1318"/>
      <c r="Q488" s="1228"/>
    </row>
    <row r="489" spans="1:17" s="503" customFormat="1">
      <c r="A489" s="1157" t="s">
        <v>3396</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3397</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3398</v>
      </c>
      <c r="C491" s="469"/>
      <c r="D491" s="1325"/>
      <c r="E491" s="1325">
        <v>10</v>
      </c>
      <c r="F491" s="469"/>
      <c r="G491" s="1326" t="s">
        <v>2074</v>
      </c>
      <c r="H491" s="1324"/>
      <c r="I491" s="1327"/>
      <c r="J491" s="1328" t="s">
        <v>3802</v>
      </c>
      <c r="K491" s="469"/>
      <c r="L491" s="1327"/>
      <c r="M491" s="469"/>
      <c r="N491" s="470"/>
      <c r="O491" s="1318"/>
      <c r="P491" s="1318"/>
      <c r="Q491" s="1228"/>
    </row>
    <row r="492" spans="1:17" s="503" customFormat="1">
      <c r="A492" s="1157" t="s">
        <v>2841</v>
      </c>
      <c r="C492" s="469"/>
      <c r="D492" s="1325"/>
      <c r="E492" s="1325"/>
      <c r="F492" s="469"/>
      <c r="G492" s="1326" t="s">
        <v>607</v>
      </c>
      <c r="H492" s="1324"/>
      <c r="I492" s="1327"/>
      <c r="J492" s="1324" t="s">
        <v>4016</v>
      </c>
      <c r="K492" s="469"/>
      <c r="L492" s="1327"/>
      <c r="M492" s="469"/>
      <c r="N492" s="470"/>
      <c r="O492" s="1318"/>
      <c r="P492" s="1318"/>
      <c r="Q492" s="1228"/>
    </row>
    <row r="493" spans="1:17" s="503" customFormat="1">
      <c r="C493" s="1325"/>
      <c r="D493" s="469"/>
      <c r="E493" s="469"/>
      <c r="F493" s="469"/>
      <c r="G493" s="1326" t="s">
        <v>337</v>
      </c>
      <c r="H493" s="1324"/>
      <c r="I493" s="1327"/>
      <c r="J493" s="1324" t="s">
        <v>4011</v>
      </c>
      <c r="K493" s="469"/>
      <c r="L493" s="1327"/>
      <c r="M493" s="469"/>
      <c r="N493" s="470"/>
      <c r="O493" s="1318"/>
      <c r="P493" s="1318"/>
      <c r="Q493" s="1228"/>
    </row>
    <row r="494" spans="1:17" s="503" customFormat="1">
      <c r="C494" s="1325"/>
      <c r="D494" s="469"/>
      <c r="E494" s="469"/>
      <c r="F494" s="469"/>
      <c r="G494" s="1326" t="s">
        <v>882</v>
      </c>
      <c r="H494" s="1324"/>
      <c r="I494" s="1327"/>
      <c r="J494" s="1324" t="s">
        <v>3795</v>
      </c>
      <c r="K494" s="1324"/>
      <c r="L494" s="1327"/>
      <c r="M494" s="469"/>
      <c r="N494" s="470"/>
      <c r="O494" s="1318"/>
      <c r="P494" s="1318"/>
      <c r="Q494" s="1228"/>
    </row>
    <row r="495" spans="1:17" s="503" customFormat="1">
      <c r="C495" s="1325"/>
      <c r="D495" s="469"/>
      <c r="E495" s="469"/>
      <c r="F495" s="469"/>
      <c r="G495" s="1326" t="s">
        <v>1939</v>
      </c>
      <c r="H495" s="1327"/>
      <c r="I495" s="1324"/>
      <c r="J495" s="1324" t="s">
        <v>4004</v>
      </c>
      <c r="K495" s="469"/>
      <c r="L495" s="1327"/>
      <c r="M495" s="469"/>
      <c r="N495" s="470"/>
      <c r="O495" s="1318"/>
      <c r="P495" s="1318"/>
      <c r="Q495" s="1228"/>
    </row>
    <row r="496" spans="1:17" s="503" customFormat="1">
      <c r="C496" s="1325"/>
      <c r="D496" s="469"/>
      <c r="E496" s="469"/>
      <c r="F496" s="469"/>
      <c r="G496" s="1326" t="s">
        <v>1943</v>
      </c>
      <c r="H496" s="1327"/>
      <c r="I496" s="1324"/>
      <c r="J496" s="1324" t="s">
        <v>3796</v>
      </c>
      <c r="K496" s="1324"/>
      <c r="L496" s="1327"/>
      <c r="M496" s="469"/>
      <c r="N496" s="470"/>
      <c r="O496" s="1318"/>
      <c r="P496" s="1318"/>
      <c r="Q496" s="1228"/>
    </row>
    <row r="497" spans="3:17" s="503" customFormat="1">
      <c r="C497" s="469"/>
      <c r="D497" s="469"/>
      <c r="E497" s="469"/>
      <c r="F497" s="469"/>
      <c r="G497" s="1326" t="s">
        <v>459</v>
      </c>
      <c r="H497" s="1327"/>
      <c r="I497" s="1324"/>
      <c r="J497" s="1324" t="s">
        <v>4005</v>
      </c>
      <c r="K497" s="469"/>
      <c r="L497" s="1327"/>
      <c r="M497" s="469"/>
      <c r="N497" s="470"/>
      <c r="O497" s="1318"/>
      <c r="P497" s="1318"/>
      <c r="Q497" s="1228"/>
    </row>
    <row r="498" spans="3:17" s="503" customFormat="1">
      <c r="C498" s="469"/>
      <c r="D498" s="469"/>
      <c r="E498" s="469"/>
      <c r="F498" s="469"/>
      <c r="G498" s="1326" t="s">
        <v>3642</v>
      </c>
      <c r="H498" s="1327"/>
      <c r="I498" s="1324"/>
      <c r="J498" s="1324" t="s">
        <v>3797</v>
      </c>
      <c r="K498" s="469"/>
      <c r="L498" s="1324"/>
      <c r="M498" s="469"/>
      <c r="N498" s="470"/>
      <c r="O498" s="1318"/>
      <c r="P498" s="1318"/>
      <c r="Q498" s="1228"/>
    </row>
    <row r="499" spans="3:17" s="503" customFormat="1">
      <c r="C499" s="469"/>
      <c r="D499" s="469"/>
      <c r="E499" s="469"/>
      <c r="F499" s="469"/>
      <c r="G499" s="1326" t="s">
        <v>422</v>
      </c>
      <c r="H499" s="1327"/>
      <c r="I499" s="1324"/>
      <c r="J499" s="1324" t="s">
        <v>4007</v>
      </c>
      <c r="K499" s="469"/>
      <c r="L499" s="1327"/>
      <c r="M499" s="469"/>
      <c r="N499" s="470"/>
      <c r="O499" s="1318"/>
      <c r="P499" s="1318"/>
      <c r="Q499" s="1228"/>
    </row>
    <row r="500" spans="3:17" s="503" customFormat="1">
      <c r="C500" s="469"/>
      <c r="D500" s="469"/>
      <c r="E500" s="469"/>
      <c r="F500" s="469"/>
      <c r="G500" s="1326" t="s">
        <v>236</v>
      </c>
      <c r="H500" s="1327"/>
      <c r="I500" s="1324"/>
      <c r="J500" s="1324" t="s">
        <v>4012</v>
      </c>
      <c r="K500" s="469"/>
      <c r="L500" s="1327"/>
      <c r="M500" s="469"/>
      <c r="N500" s="470"/>
      <c r="O500" s="1318"/>
      <c r="P500" s="1318"/>
      <c r="Q500" s="1228"/>
    </row>
    <row r="501" spans="3:17" s="503" customFormat="1">
      <c r="C501" s="469"/>
      <c r="D501" s="469"/>
      <c r="E501" s="469"/>
      <c r="F501" s="469"/>
      <c r="G501" s="1326" t="s">
        <v>1233</v>
      </c>
      <c r="H501" s="1327"/>
      <c r="I501" s="1324"/>
      <c r="J501" s="1324" t="s">
        <v>4015</v>
      </c>
      <c r="K501" s="1324"/>
      <c r="L501" s="1324"/>
      <c r="M501" s="469"/>
      <c r="N501" s="470"/>
      <c r="O501" s="1318"/>
      <c r="P501" s="1318"/>
      <c r="Q501" s="1228"/>
    </row>
    <row r="502" spans="3:17" s="503" customFormat="1">
      <c r="C502" s="469"/>
      <c r="D502" s="1329"/>
      <c r="E502" s="469"/>
      <c r="F502" s="469"/>
      <c r="G502" s="1326" t="s">
        <v>1235</v>
      </c>
      <c r="H502" s="1327"/>
      <c r="I502" s="1324"/>
      <c r="J502" s="1324" t="s">
        <v>3798</v>
      </c>
      <c r="K502" s="469"/>
      <c r="L502" s="1327"/>
      <c r="M502" s="469"/>
      <c r="N502" s="470"/>
      <c r="O502" s="1318"/>
      <c r="P502" s="1318"/>
      <c r="Q502" s="1228"/>
    </row>
    <row r="503" spans="3:17" s="503" customFormat="1">
      <c r="C503" s="469"/>
      <c r="D503" s="1329"/>
      <c r="E503" s="469"/>
      <c r="F503" s="469"/>
      <c r="G503" s="1326" t="s">
        <v>1650</v>
      </c>
      <c r="H503" s="1327"/>
      <c r="I503" s="1324"/>
      <c r="J503" s="1324" t="s">
        <v>3799</v>
      </c>
      <c r="K503" s="469"/>
      <c r="L503" s="1327"/>
      <c r="M503" s="469"/>
      <c r="N503" s="470"/>
      <c r="O503" s="1318"/>
      <c r="P503" s="1318"/>
      <c r="Q503" s="1228"/>
    </row>
    <row r="504" spans="3:17" s="503" customFormat="1">
      <c r="C504" s="469"/>
      <c r="D504" s="1330"/>
      <c r="E504" s="469"/>
      <c r="F504" s="469"/>
      <c r="G504" s="1326" t="s">
        <v>994</v>
      </c>
      <c r="H504" s="1327"/>
      <c r="I504" s="1324"/>
      <c r="J504" s="1324" t="s">
        <v>4010</v>
      </c>
      <c r="K504" s="469"/>
      <c r="L504" s="1327"/>
      <c r="M504" s="469"/>
      <c r="N504" s="470"/>
      <c r="O504" s="1318"/>
      <c r="P504" s="1318"/>
      <c r="Q504" s="1228"/>
    </row>
    <row r="505" spans="3:17" s="503" customFormat="1">
      <c r="C505" s="469"/>
      <c r="D505" s="1330"/>
      <c r="E505" s="1330"/>
      <c r="F505" s="469"/>
      <c r="G505" s="1326" t="s">
        <v>579</v>
      </c>
      <c r="H505" s="1327"/>
      <c r="I505" s="1324"/>
      <c r="J505" s="1324" t="s">
        <v>4013</v>
      </c>
      <c r="K505" s="469"/>
      <c r="L505" s="1324"/>
      <c r="M505" s="469"/>
      <c r="N505" s="470"/>
      <c r="O505" s="1318"/>
      <c r="P505" s="1318"/>
      <c r="Q505" s="1228"/>
    </row>
    <row r="506" spans="3:17" s="503" customFormat="1">
      <c r="C506" s="469"/>
      <c r="D506" s="469"/>
      <c r="E506" s="469"/>
      <c r="F506" s="469"/>
      <c r="G506" s="1326" t="s">
        <v>1651</v>
      </c>
      <c r="H506" s="1327"/>
      <c r="I506" s="1324"/>
      <c r="J506" s="1324" t="s">
        <v>4014</v>
      </c>
      <c r="K506" s="469"/>
      <c r="L506" s="1327"/>
      <c r="M506" s="469"/>
      <c r="N506" s="470"/>
      <c r="O506" s="1318"/>
      <c r="P506" s="1318"/>
      <c r="Q506" s="1228"/>
    </row>
    <row r="507" spans="3:17" s="503" customFormat="1">
      <c r="C507" s="469"/>
      <c r="D507" s="469"/>
      <c r="E507" s="469"/>
      <c r="F507" s="469"/>
      <c r="G507" s="1326" t="s">
        <v>1692</v>
      </c>
      <c r="H507" s="1327"/>
      <c r="I507" s="1324"/>
      <c r="J507" s="1324" t="s">
        <v>3800</v>
      </c>
      <c r="K507" s="469"/>
      <c r="L507" s="1327"/>
      <c r="M507" s="469"/>
      <c r="N507" s="470"/>
      <c r="O507" s="1318"/>
      <c r="P507" s="1318"/>
      <c r="Q507" s="1228"/>
    </row>
    <row r="508" spans="3:17" s="503" customFormat="1">
      <c r="C508" s="1329"/>
      <c r="D508" s="469"/>
      <c r="E508" s="469"/>
      <c r="F508" s="469"/>
      <c r="G508" s="1326" t="s">
        <v>1753</v>
      </c>
      <c r="H508" s="1324"/>
      <c r="I508" s="1324"/>
      <c r="J508" s="1324" t="s">
        <v>3801</v>
      </c>
      <c r="K508" s="469"/>
      <c r="L508" s="1327"/>
      <c r="M508" s="469"/>
      <c r="N508" s="470"/>
      <c r="O508" s="1318"/>
      <c r="P508" s="1318"/>
      <c r="Q508" s="1228"/>
    </row>
    <row r="509" spans="3:17" s="503" customFormat="1">
      <c r="C509" s="1329"/>
      <c r="D509" s="469"/>
      <c r="E509" s="469"/>
      <c r="F509" s="469"/>
      <c r="G509" s="1326" t="s">
        <v>3413</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4101</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4553</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5c65E3uOo67EzO9NPv3jzyZuhEfM7eVJFBdcN1HU8S+d8qTMvFCi+63Z3/DTcMuqqi3++17sjRcpEKnjs48xcQ==" saltValue="jE1Bz0Grj0tsbgT1v8pUD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zoomScalePageLayoutView="120" workbookViewId="0">
      <selection activeCell="A2" sqref="A1:XFD1048576"/>
    </sheetView>
  </sheetViews>
  <sheetFormatPr defaultColWidth="9.140625" defaultRowHeight="12.75"/>
  <cols>
    <col min="1" max="1" width="88.42578125" style="28" customWidth="1"/>
    <col min="2" max="16384" width="9.140625" style="28"/>
  </cols>
  <sheetData>
    <row r="1" spans="1:6" ht="15.75">
      <c r="A1" s="918" t="s">
        <v>4256</v>
      </c>
    </row>
    <row r="2" spans="1:6" s="34" customFormat="1" ht="13.5" customHeight="1">
      <c r="A2" s="917" t="str">
        <f>'Part I-Project Information'!$F$34</f>
        <v>Altoview Terrace</v>
      </c>
    </row>
    <row r="3" spans="1:6" s="34" customFormat="1" ht="13.5" customHeight="1">
      <c r="A3" s="917" t="str">
        <f>CONCATENATE('Part I-Project Information'!$F$38,", ", 'Part I-Project Information'!$J$39," County")</f>
        <v>Rome, Floyd County</v>
      </c>
    </row>
    <row r="4" spans="1:6" ht="6.75" customHeight="1"/>
    <row r="5" spans="1:6" ht="113.25" customHeight="1">
      <c r="A5" s="2896" t="s">
        <v>4257</v>
      </c>
      <c r="B5" s="2208" t="s">
        <v>4258</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ryzvuQ3aQk1eQkfmK/8jCKoikdkCvO3JGjBbWMxNOrGAjxDJVHdE9yWthqaVtVLBf4MaQfDGwVaNlpYAv9XOMw==" saltValue="TchGdmz45rL9fMpxe9JkPA==" spinCount="100000" sheet="1" objects="1" scenarios="1" formatRows="0"/>
  <mergeCells count="2">
    <mergeCell ref="A5:A23"/>
    <mergeCell ref="B5:F7"/>
  </mergeCells>
  <printOptions horizontalCentered="1"/>
  <pageMargins left="0.7" right="0.7" top="0.5" bottom="0.5" header="0.3" footer="0.3"/>
  <pageSetup scale="92" fitToHeight="0" orientation="landscape"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zoomScalePageLayoutView="120" workbookViewId="0">
      <selection activeCell="A43" sqref="A1:XFD1048576"/>
    </sheetView>
  </sheetViews>
  <sheetFormatPr defaultColWidth="9.140625" defaultRowHeight="12.75"/>
  <cols>
    <col min="1" max="1" width="24.85546875" style="1373" customWidth="1"/>
    <col min="2" max="11" width="10.42578125" style="1373" customWidth="1"/>
    <col min="12" max="12" width="9.7109375" style="1373" customWidth="1"/>
    <col min="13" max="21" width="10.42578125" style="1373" customWidth="1"/>
    <col min="22" max="16384" width="9.140625" style="1373"/>
  </cols>
  <sheetData>
    <row r="1" spans="1:7" ht="3" customHeight="1"/>
    <row r="2" spans="1:7">
      <c r="A2" s="1372" t="s">
        <v>4259</v>
      </c>
    </row>
    <row r="3" spans="1:7" ht="3" customHeight="1"/>
    <row r="4" spans="1:7">
      <c r="A4" s="1373" t="s">
        <v>4260</v>
      </c>
      <c r="B4" s="1374">
        <f>+'Part IV-A-Uses of Funds'!$G$132</f>
        <v>13480710.35</v>
      </c>
    </row>
    <row r="5" spans="1:7">
      <c r="A5" s="1373" t="s">
        <v>4291</v>
      </c>
      <c r="B5" s="1374">
        <f>+B18+B26+B38</f>
        <v>0</v>
      </c>
    </row>
    <row r="6" spans="1:7">
      <c r="A6" s="1373" t="s">
        <v>4261</v>
      </c>
      <c r="B6" s="1375">
        <f>+B5-B4</f>
        <v>-13480710.35</v>
      </c>
    </row>
    <row r="7" spans="1:7">
      <c r="A7" s="1373" t="s">
        <v>4262</v>
      </c>
      <c r="B7" s="1376">
        <f>+B6/B4</f>
        <v>-1</v>
      </c>
    </row>
    <row r="8" spans="1:7" ht="9" customHeight="1"/>
    <row r="9" spans="1:7">
      <c r="A9" s="1373" t="s">
        <v>4263</v>
      </c>
      <c r="B9" s="1374">
        <f>+B18+B26+B33</f>
        <v>0</v>
      </c>
    </row>
    <row r="10" spans="1:7">
      <c r="A10" s="1373" t="s">
        <v>4261</v>
      </c>
      <c r="B10" s="1375">
        <f>+B9-B4</f>
        <v>-13480710.35</v>
      </c>
    </row>
    <row r="11" spans="1:7">
      <c r="A11" s="1373" t="s">
        <v>4262</v>
      </c>
      <c r="B11" s="1376">
        <f>+B10/B4</f>
        <v>-1</v>
      </c>
    </row>
    <row r="12" spans="1:7" ht="24" customHeight="1"/>
    <row r="13" spans="1:7">
      <c r="A13" s="1372" t="s">
        <v>4264</v>
      </c>
      <c r="D13" s="1445" t="s">
        <v>4531</v>
      </c>
      <c r="E13" s="1446"/>
    </row>
    <row r="14" spans="1:7">
      <c r="A14" s="1373" t="s">
        <v>4265</v>
      </c>
      <c r="B14" s="1377">
        <f>+SUM('Part III-Sources of Funds'!L49:M50)</f>
        <v>13300000</v>
      </c>
      <c r="D14" s="1446"/>
      <c r="E14" s="1446"/>
    </row>
    <row r="15" spans="1:7">
      <c r="A15" s="1373" t="s">
        <v>4266</v>
      </c>
      <c r="B15" s="1378">
        <f>+'Part IV-A-Uses of Funds'!J167</f>
        <v>1348071.0349999999</v>
      </c>
      <c r="D15" s="1446" t="s">
        <v>2061</v>
      </c>
      <c r="G15" s="1447">
        <f>'Part IV-A-Uses of Funds'!J155</f>
        <v>16666004.355</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7926351.6712380005</v>
      </c>
    </row>
    <row r="20" spans="1:7">
      <c r="A20" s="1373" t="s">
        <v>4269</v>
      </c>
      <c r="B20" s="1377">
        <f>+B18-B14</f>
        <v>-13300000</v>
      </c>
      <c r="D20" s="1446" t="s">
        <v>4536</v>
      </c>
      <c r="G20" s="1449">
        <f>+B14-G19</f>
        <v>5373648.3287619995</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0</v>
      </c>
    </row>
    <row r="25" spans="1:7">
      <c r="A25" s="1373" t="s">
        <v>4273</v>
      </c>
      <c r="B25" s="1381">
        <f>IF('Part III-Sources of Funds'!B11="Yes","N/A",MAX(B46:P46))</f>
        <v>-53521.904222394696</v>
      </c>
    </row>
    <row r="26" spans="1:7">
      <c r="A26" s="1373" t="s">
        <v>4274</v>
      </c>
      <c r="B26" s="1371">
        <f>IFERROR(PV('Part III-Sources of Funds'!K37,'Part III-Sources of Funds'!L37,B25+B45),B24)</f>
        <v>0</v>
      </c>
    </row>
    <row r="27" spans="1:7" ht="9" customHeight="1">
      <c r="B27" s="1371"/>
    </row>
    <row r="28" spans="1:7">
      <c r="A28" s="1373" t="s">
        <v>4275</v>
      </c>
      <c r="B28" s="1382">
        <f>+B26-B24</f>
        <v>0</v>
      </c>
      <c r="C28" s="1383"/>
    </row>
    <row r="29" spans="1:7">
      <c r="A29" s="1373" t="s">
        <v>4270</v>
      </c>
      <c r="B29" s="1384" t="e">
        <f>+B28/B24</f>
        <v>#DIV/0!</v>
      </c>
    </row>
    <row r="30" spans="1:7" ht="24" customHeight="1"/>
    <row r="31" spans="1:7">
      <c r="A31" s="1372" t="s">
        <v>4127</v>
      </c>
    </row>
    <row r="32" spans="1:7">
      <c r="A32" s="1373" t="s">
        <v>4276</v>
      </c>
      <c r="B32" s="1385">
        <f>+'Part III-Sources of Funds'!I42</f>
        <v>182040</v>
      </c>
    </row>
    <row r="33" spans="1:11">
      <c r="A33" s="1373" t="s">
        <v>4277</v>
      </c>
      <c r="B33" s="1371"/>
    </row>
    <row r="34" spans="1:11" ht="9" customHeight="1">
      <c r="B34" s="1371"/>
    </row>
    <row r="35" spans="1:11">
      <c r="A35" s="1373" t="s">
        <v>4278</v>
      </c>
      <c r="B35" s="1385">
        <f>+B33-B32</f>
        <v>-182040</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4281</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80906.752000000037</v>
      </c>
      <c r="C44" s="1374">
        <f>+'Part VII-Pro Forma'!C22</f>
        <v>79565.17704000001</v>
      </c>
      <c r="D44" s="1374">
        <f>+'Part VII-Pro Forma'!D22</f>
        <v>78107.785280800003</v>
      </c>
      <c r="E44" s="1374">
        <f>+'Part VII-Pro Forma'!E22</f>
        <v>76529.254627415939</v>
      </c>
      <c r="F44" s="1374">
        <f>+'Part VII-Pro Forma'!F22</f>
        <v>74826.103170194387</v>
      </c>
      <c r="G44" s="1374">
        <f>+'Part VII-Pro Forma'!G22</f>
        <v>72990.683787335147</v>
      </c>
      <c r="H44" s="1374">
        <f>+'Part VII-Pro Forma'!H22</f>
        <v>71019.178573430865</v>
      </c>
      <c r="I44" s="1374">
        <f>+'Part VII-Pro Forma'!I22</f>
        <v>68905.593088558802</v>
      </c>
      <c r="J44" s="1374">
        <f>+'Part VII-Pro Forma'!J22</f>
        <v>66642.750422299345</v>
      </c>
      <c r="K44" s="1374">
        <f>+'Part VII-Pro Forma'!K22</f>
        <v>64226.285066873636</v>
      </c>
    </row>
    <row r="45" spans="1:11">
      <c r="A45" s="1373" t="s">
        <v>4282</v>
      </c>
      <c r="B45" s="1374">
        <f>SUM('Part VII-Pro Forma'!B23:B26)</f>
        <v>0</v>
      </c>
      <c r="C45" s="1374">
        <f>SUM('Part VII-Pro Forma'!C23:C26)</f>
        <v>0</v>
      </c>
      <c r="D45" s="1374">
        <f>SUM('Part VII-Pro Forma'!D23:D26)</f>
        <v>0</v>
      </c>
      <c r="E45" s="1374">
        <f>SUM('Part VII-Pro Forma'!E23:E26)</f>
        <v>0</v>
      </c>
      <c r="F45" s="1374">
        <f>SUM('Part VII-Pro Forma'!F23:F26)</f>
        <v>0</v>
      </c>
      <c r="G45" s="1374">
        <f>SUM('Part VII-Pro Forma'!G23:G26)</f>
        <v>0</v>
      </c>
      <c r="H45" s="1374">
        <f>SUM('Part VII-Pro Forma'!H23:H26)</f>
        <v>0</v>
      </c>
      <c r="I45" s="1374">
        <f>SUM('Part VII-Pro Forma'!I23:I26)</f>
        <v>0</v>
      </c>
      <c r="J45" s="1374">
        <f>SUM('Part VII-Pro Forma'!J23:J26)</f>
        <v>0</v>
      </c>
      <c r="K45" s="1374">
        <f>SUM('Part VII-Pro Forma'!K23:K26)</f>
        <v>0</v>
      </c>
    </row>
    <row r="46" spans="1:11">
      <c r="A46" s="1373" t="s">
        <v>4283</v>
      </c>
      <c r="B46" s="1375">
        <f t="shared" ref="B46:K46" si="0">-B44/B48-B45</f>
        <v>-67422.293333333364</v>
      </c>
      <c r="C46" s="1375">
        <f t="shared" si="0"/>
        <v>-66304.314200000008</v>
      </c>
      <c r="D46" s="1375">
        <f t="shared" si="0"/>
        <v>-65089.821067333338</v>
      </c>
      <c r="E46" s="1375">
        <f t="shared" si="0"/>
        <v>-63774.378856179952</v>
      </c>
      <c r="F46" s="1375">
        <f t="shared" si="0"/>
        <v>-62355.085975161994</v>
      </c>
      <c r="G46" s="1375">
        <f t="shared" si="0"/>
        <v>-60825.569822779289</v>
      </c>
      <c r="H46" s="1375">
        <f t="shared" si="0"/>
        <v>-59182.64881119239</v>
      </c>
      <c r="I46" s="1375">
        <f t="shared" si="0"/>
        <v>-57421.327573799004</v>
      </c>
      <c r="J46" s="1375">
        <f t="shared" si="0"/>
        <v>-55535.625351916126</v>
      </c>
      <c r="K46" s="1375">
        <f t="shared" si="0"/>
        <v>-53521.904222394696</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80906.752000000037</v>
      </c>
      <c r="C51" s="1375">
        <f t="shared" ref="C51:K51" si="2">+C44</f>
        <v>79565.17704000001</v>
      </c>
      <c r="D51" s="1375">
        <f t="shared" si="2"/>
        <v>78107.785280800003</v>
      </c>
      <c r="E51" s="1375">
        <f t="shared" si="2"/>
        <v>76529.254627415939</v>
      </c>
      <c r="F51" s="1375">
        <f t="shared" si="2"/>
        <v>74826.103170194387</v>
      </c>
      <c r="G51" s="1375">
        <f t="shared" si="2"/>
        <v>72990.683787335147</v>
      </c>
      <c r="H51" s="1375">
        <f t="shared" si="2"/>
        <v>71019.178573430865</v>
      </c>
      <c r="I51" s="1375">
        <f t="shared" si="2"/>
        <v>68905.593088558802</v>
      </c>
      <c r="J51" s="1375">
        <f t="shared" si="2"/>
        <v>66642.750422299345</v>
      </c>
      <c r="K51" s="1375">
        <f t="shared" si="2"/>
        <v>64226.285066873636</v>
      </c>
    </row>
    <row r="52" spans="1:17">
      <c r="A52" s="1373" t="s">
        <v>4285</v>
      </c>
      <c r="B52" s="1375">
        <f>IF($B$25="N/A",B45,B45+$B$25)</f>
        <v>-53521.904222394696</v>
      </c>
      <c r="C52" s="1375">
        <f t="shared" ref="C52:K52" si="3">IF($B$25="N/A",C45,C45+$B$25)</f>
        <v>-53521.904222394696</v>
      </c>
      <c r="D52" s="1375">
        <f t="shared" si="3"/>
        <v>-53521.904222394696</v>
      </c>
      <c r="E52" s="1375">
        <f t="shared" si="3"/>
        <v>-53521.904222394696</v>
      </c>
      <c r="F52" s="1375">
        <f t="shared" si="3"/>
        <v>-53521.904222394696</v>
      </c>
      <c r="G52" s="1375">
        <f t="shared" si="3"/>
        <v>-53521.904222394696</v>
      </c>
      <c r="H52" s="1375">
        <f t="shared" si="3"/>
        <v>-53521.904222394696</v>
      </c>
      <c r="I52" s="1375">
        <f t="shared" si="3"/>
        <v>-53521.904222394696</v>
      </c>
      <c r="J52" s="1375">
        <f t="shared" si="3"/>
        <v>-53521.904222394696</v>
      </c>
      <c r="K52" s="1375">
        <f t="shared" si="3"/>
        <v>-53521.904222394696</v>
      </c>
    </row>
    <row r="53" spans="1:17">
      <c r="A53" s="1373" t="s">
        <v>4286</v>
      </c>
      <c r="B53" s="1374">
        <f>+'Part VII-Pro Forma'!B28</f>
        <v>-5000</v>
      </c>
      <c r="C53" s="1374">
        <f>+'Part VII-Pro Forma'!C28</f>
        <v>-5150</v>
      </c>
      <c r="D53" s="1374">
        <f>+'Part VII-Pro Forma'!D28</f>
        <v>-5304.5</v>
      </c>
      <c r="E53" s="1374">
        <f>+'Part VII-Pro Forma'!E28</f>
        <v>-5463.6350000000002</v>
      </c>
      <c r="F53" s="1374">
        <f>+'Part VII-Pro Forma'!F28</f>
        <v>-5627.5440500000004</v>
      </c>
      <c r="G53" s="1374">
        <f>+'Part VII-Pro Forma'!G28</f>
        <v>-5796.3703715000001</v>
      </c>
      <c r="H53" s="1374">
        <f>+'Part VII-Pro Forma'!H28</f>
        <v>-5970.2614826449999</v>
      </c>
      <c r="I53" s="1374">
        <f>+'Part VII-Pro Forma'!I28</f>
        <v>-6149.3693271243501</v>
      </c>
      <c r="J53" s="1374">
        <f>+'Part VII-Pro Forma'!J28</f>
        <v>-6333.8504069380806</v>
      </c>
      <c r="K53" s="1374">
        <f>+'Part VII-Pro Forma'!K28</f>
        <v>-6523.865919146223</v>
      </c>
    </row>
    <row r="54" spans="1:17">
      <c r="A54" s="1373" t="s">
        <v>4287</v>
      </c>
      <c r="B54" s="1375">
        <f>+SUM(B51:B53)</f>
        <v>22384.847777605341</v>
      </c>
      <c r="C54" s="1375">
        <f t="shared" ref="C54:K54" si="4">+SUM(C51:C53)</f>
        <v>20893.272817605313</v>
      </c>
      <c r="D54" s="1375">
        <f t="shared" si="4"/>
        <v>19281.381058405306</v>
      </c>
      <c r="E54" s="1375">
        <f t="shared" si="4"/>
        <v>17543.715405021241</v>
      </c>
      <c r="F54" s="1375">
        <f t="shared" si="4"/>
        <v>15676.65489779969</v>
      </c>
      <c r="G54" s="1375">
        <f t="shared" si="4"/>
        <v>13672.40919344045</v>
      </c>
      <c r="H54" s="1375">
        <f t="shared" si="4"/>
        <v>11527.012868391168</v>
      </c>
      <c r="I54" s="1375">
        <f t="shared" si="4"/>
        <v>9234.3195390397559</v>
      </c>
      <c r="J54" s="1375">
        <f t="shared" si="4"/>
        <v>6786.9957929665679</v>
      </c>
      <c r="K54" s="1375">
        <f t="shared" si="4"/>
        <v>4180.5149253327163</v>
      </c>
    </row>
    <row r="55" spans="1:17">
      <c r="A55" s="1373" t="s">
        <v>4127</v>
      </c>
      <c r="B55" s="1375">
        <f>-B54</f>
        <v>-22384.847777605341</v>
      </c>
      <c r="C55" s="1375">
        <f t="shared" ref="C55:K55" si="5">-C54</f>
        <v>-20893.272817605313</v>
      </c>
      <c r="D55" s="1375">
        <f t="shared" si="5"/>
        <v>-19281.381058405306</v>
      </c>
      <c r="E55" s="1375">
        <f t="shared" si="5"/>
        <v>-17543.715405021241</v>
      </c>
      <c r="F55" s="1375">
        <f t="shared" si="5"/>
        <v>-15676.65489779969</v>
      </c>
      <c r="G55" s="1375">
        <f t="shared" si="5"/>
        <v>-13672.40919344045</v>
      </c>
      <c r="H55" s="1375">
        <f t="shared" si="5"/>
        <v>-11527.012868391168</v>
      </c>
      <c r="I55" s="1375">
        <f t="shared" si="5"/>
        <v>-9234.3195390397559</v>
      </c>
      <c r="J55" s="1375">
        <f t="shared" si="5"/>
        <v>-6786.9957929665679</v>
      </c>
      <c r="K55" s="1375">
        <f t="shared" si="5"/>
        <v>-4180.5149253327163</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-53521.904222394696</v>
      </c>
      <c r="C58" s="1374">
        <f>IF($B$26="","",-FV('Part III-Sources of Funds'!$K$37/12,12,C52/12,B58))</f>
        <v>-107043.80844478939</v>
      </c>
      <c r="D58" s="1374">
        <f>IF($B$26="","",-FV('Part III-Sources of Funds'!$K$37/12,12,D52/12,C58))</f>
        <v>-160565.7126671841</v>
      </c>
      <c r="E58" s="1374">
        <f>IF($B$26="","",-FV('Part III-Sources of Funds'!$K$37/12,12,E52/12,D58))</f>
        <v>-214087.61688957879</v>
      </c>
      <c r="F58" s="1374">
        <f>IF($B$26="","",-FV('Part III-Sources of Funds'!$K$37/12,12,F52/12,E58))</f>
        <v>-267609.5211119735</v>
      </c>
      <c r="G58" s="1374">
        <f>IF($B$26="","",-FV('Part III-Sources of Funds'!$K$37/12,12,G52/12,F58))</f>
        <v>-321131.42533436819</v>
      </c>
      <c r="H58" s="1374">
        <f>IF($B$26="","",-FV('Part III-Sources of Funds'!$K$37/12,12,H52/12,G58))</f>
        <v>-374653.32955676288</v>
      </c>
      <c r="I58" s="1374">
        <f>IF($B$26="","",-FV('Part III-Sources of Funds'!$K$37/12,12,I52/12,H58))</f>
        <v>-428175.23377915757</v>
      </c>
      <c r="J58" s="1374">
        <f>IF($B$26="","",-FV('Part III-Sources of Funds'!$K$37/12,12,J52/12,I58))</f>
        <v>-481697.13800155226</v>
      </c>
      <c r="K58" s="1374">
        <f>IF($B$26="","",-FV('Part III-Sources of Funds'!$K$37/12,12,K52/12,J58))</f>
        <v>-535219.04222394701</v>
      </c>
    </row>
    <row r="59" spans="1:17">
      <c r="A59" s="1373" t="s">
        <v>4128</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61648.636593423384</v>
      </c>
      <c r="C64" s="1374">
        <f>+'Part VII-Pro Forma'!C52</f>
        <v>58904.043125260243</v>
      </c>
      <c r="D64" s="1374">
        <f>+'Part VII-Pro Forma'!D52</f>
        <v>55985.534601733292</v>
      </c>
      <c r="E64" s="1374">
        <f>+'Part VII-Pro Forma'!E52</f>
        <v>52884.925826154598</v>
      </c>
      <c r="F64" s="1374">
        <f>+'Part VII-Pro Forma'!F52</f>
        <v>49595.80929103597</v>
      </c>
      <c r="G64" s="1374">
        <f>+'Part VII-Pro Forma'!G52</f>
        <v>46110.547773665399</v>
      </c>
      <c r="H64" s="1374">
        <f>+'Part VII-Pro Forma'!H52</f>
        <v>42421.266694852166</v>
      </c>
      <c r="I64" s="1374">
        <f>+'Part VII-Pro Forma'!I52</f>
        <v>38519.84623343392</v>
      </c>
      <c r="J64" s="1374">
        <f>+'Part VII-Pro Forma'!J52</f>
        <v>34397.913188927712</v>
      </c>
      <c r="K64" s="1374">
        <f>+'Part VII-Pro Forma'!K52</f>
        <v>30046.832584456213</v>
      </c>
    </row>
    <row r="65" spans="1:11">
      <c r="A65" s="1373" t="s">
        <v>4282</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4283</v>
      </c>
      <c r="B66" s="1375">
        <f t="shared" ref="B66:K66" si="7">-B64/B68-B65</f>
        <v>-51373.863827852823</v>
      </c>
      <c r="C66" s="1375">
        <f t="shared" si="7"/>
        <v>-49086.702604383536</v>
      </c>
      <c r="D66" s="1375">
        <f t="shared" si="7"/>
        <v>-46654.612168111082</v>
      </c>
      <c r="E66" s="1375">
        <f t="shared" si="7"/>
        <v>-44070.771521795497</v>
      </c>
      <c r="F66" s="1375">
        <f t="shared" si="7"/>
        <v>-41329.841075863311</v>
      </c>
      <c r="G66" s="1375">
        <f t="shared" si="7"/>
        <v>-38425.456478054504</v>
      </c>
      <c r="H66" s="1375">
        <f t="shared" si="7"/>
        <v>-35351.055579043474</v>
      </c>
      <c r="I66" s="1375">
        <f t="shared" si="7"/>
        <v>-32099.871861194933</v>
      </c>
      <c r="J66" s="1375">
        <f t="shared" si="7"/>
        <v>-28664.927657439763</v>
      </c>
      <c r="K66" s="1375">
        <f t="shared" si="7"/>
        <v>-25039.027153713512</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61648.636593423384</v>
      </c>
      <c r="C71" s="1375">
        <f t="shared" si="9"/>
        <v>58904.043125260243</v>
      </c>
      <c r="D71" s="1375">
        <f t="shared" si="9"/>
        <v>55985.534601733292</v>
      </c>
      <c r="E71" s="1375">
        <f t="shared" si="9"/>
        <v>52884.925826154598</v>
      </c>
      <c r="F71" s="1375">
        <f t="shared" si="9"/>
        <v>49595.80929103597</v>
      </c>
      <c r="G71" s="1375">
        <f t="shared" si="9"/>
        <v>46110.547773665399</v>
      </c>
      <c r="H71" s="1375">
        <f t="shared" ref="H71:K71" si="10">+H64</f>
        <v>42421.266694852166</v>
      </c>
      <c r="I71" s="1375">
        <f t="shared" si="10"/>
        <v>38519.84623343392</v>
      </c>
      <c r="J71" s="1375">
        <f t="shared" si="10"/>
        <v>34397.913188927712</v>
      </c>
      <c r="K71" s="1375">
        <f t="shared" si="10"/>
        <v>30046.832584456213</v>
      </c>
    </row>
    <row r="72" spans="1:11">
      <c r="A72" s="1373" t="s">
        <v>4285</v>
      </c>
      <c r="B72" s="1375">
        <f t="shared" ref="B72:G72" si="11">IF($B$25="N/A",B65,B65+$B$25)</f>
        <v>-53521.904222394696</v>
      </c>
      <c r="C72" s="1375">
        <f t="shared" si="11"/>
        <v>-53521.904222394696</v>
      </c>
      <c r="D72" s="1375">
        <f t="shared" si="11"/>
        <v>-53521.904222394696</v>
      </c>
      <c r="E72" s="1375">
        <f t="shared" si="11"/>
        <v>-53521.904222394696</v>
      </c>
      <c r="F72" s="1375">
        <f t="shared" si="11"/>
        <v>-53521.904222394696</v>
      </c>
      <c r="G72" s="1375">
        <f t="shared" si="11"/>
        <v>-53521.904222394696</v>
      </c>
      <c r="H72" s="1375">
        <f t="shared" ref="H72:K72" si="12">IF($B$25="N/A",H65,H65+$B$25)</f>
        <v>-53521.904222394696</v>
      </c>
      <c r="I72" s="1375">
        <f t="shared" si="12"/>
        <v>-53521.904222394696</v>
      </c>
      <c r="J72" s="1375">
        <f t="shared" si="12"/>
        <v>-53521.904222394696</v>
      </c>
      <c r="K72" s="1375">
        <f t="shared" si="12"/>
        <v>-53521.904222394696</v>
      </c>
    </row>
    <row r="73" spans="1:11">
      <c r="A73" s="1373" t="s">
        <v>4286</v>
      </c>
      <c r="B73" s="1374">
        <f>+'Part VII-Pro Forma'!B58</f>
        <v>-6719.5818967206096</v>
      </c>
      <c r="C73" s="1374">
        <f>+'Part VII-Pro Forma'!C58</f>
        <v>-6921.1693536222283</v>
      </c>
      <c r="D73" s="1374">
        <f>+'Part VII-Pro Forma'!D58</f>
        <v>-7128.8044342308949</v>
      </c>
      <c r="E73" s="1374">
        <f>+'Part VII-Pro Forma'!E58</f>
        <v>-7342.6685672578224</v>
      </c>
      <c r="F73" s="1374">
        <f>+'Part VII-Pro Forma'!F58</f>
        <v>-7562.9486242755574</v>
      </c>
      <c r="G73" s="1374">
        <f>+'Part VII-Pro Forma'!G58</f>
        <v>-7562.9486242755574</v>
      </c>
      <c r="H73" s="1374">
        <f>+'Part VII-Pro Forma'!H58</f>
        <v>-7562.9486242755574</v>
      </c>
      <c r="I73" s="1374">
        <f>+'Part VII-Pro Forma'!I58</f>
        <v>-7562.9486242755574</v>
      </c>
      <c r="J73" s="1374">
        <f>+'Part VII-Pro Forma'!J58</f>
        <v>-7562.9486242755574</v>
      </c>
      <c r="K73" s="1374">
        <f>+'Part VII-Pro Forma'!K58</f>
        <v>-7562.9486242755574</v>
      </c>
    </row>
    <row r="74" spans="1:11">
      <c r="A74" s="1373" t="s">
        <v>4287</v>
      </c>
      <c r="B74" s="1375">
        <f t="shared" ref="B74:G74" si="13">+SUM(B71:B73)</f>
        <v>1407.1504743080777</v>
      </c>
      <c r="C74" s="1375">
        <f t="shared" si="13"/>
        <v>-1539.0304507566816</v>
      </c>
      <c r="D74" s="1375">
        <f t="shared" si="13"/>
        <v>-4665.174054892299</v>
      </c>
      <c r="E74" s="1375">
        <f t="shared" si="13"/>
        <v>-7979.6469634979203</v>
      </c>
      <c r="F74" s="1375">
        <f t="shared" si="13"/>
        <v>-11489.043555634284</v>
      </c>
      <c r="G74" s="1375">
        <f t="shared" si="13"/>
        <v>-14974.305073004854</v>
      </c>
      <c r="H74" s="1375">
        <f t="shared" ref="H74:K74" si="14">+SUM(H71:H73)</f>
        <v>-18663.58615181809</v>
      </c>
      <c r="I74" s="1375">
        <f t="shared" si="14"/>
        <v>-22565.006613236335</v>
      </c>
      <c r="J74" s="1375">
        <f t="shared" si="14"/>
        <v>-26686.939657742543</v>
      </c>
      <c r="K74" s="1375">
        <f t="shared" si="14"/>
        <v>-31038.020262214042</v>
      </c>
    </row>
    <row r="75" spans="1:11">
      <c r="A75" s="1373" t="s">
        <v>4127</v>
      </c>
      <c r="B75" s="1375">
        <f t="shared" ref="B75:G75" si="15">-B74</f>
        <v>-1407.1504743080777</v>
      </c>
      <c r="C75" s="1375">
        <f t="shared" si="15"/>
        <v>1539.0304507566816</v>
      </c>
      <c r="D75" s="1375">
        <f t="shared" si="15"/>
        <v>4665.174054892299</v>
      </c>
      <c r="E75" s="1375">
        <f t="shared" si="15"/>
        <v>7979.6469634979203</v>
      </c>
      <c r="F75" s="1375">
        <f t="shared" si="15"/>
        <v>11489.043555634284</v>
      </c>
      <c r="G75" s="1375">
        <f t="shared" si="15"/>
        <v>14974.305073004854</v>
      </c>
      <c r="H75" s="1375">
        <f t="shared" ref="H75:K75" si="16">-H74</f>
        <v>18663.58615181809</v>
      </c>
      <c r="I75" s="1375">
        <f t="shared" si="16"/>
        <v>22565.006613236335</v>
      </c>
      <c r="J75" s="1375">
        <f t="shared" si="16"/>
        <v>26686.939657742543</v>
      </c>
      <c r="K75" s="1375">
        <f t="shared" si="16"/>
        <v>31038.020262214042</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-588740.9464463417</v>
      </c>
      <c r="C78" s="1374">
        <f>IF($B$26="","",-FV('Part III-Sources of Funds'!$K$37/12,12,C72/12,B78))</f>
        <v>-642262.85066873638</v>
      </c>
      <c r="D78" s="1374">
        <f>IF($B$26="","",-FV('Part III-Sources of Funds'!$K$37/12,12,D72/12,C78))</f>
        <v>-695784.75489113107</v>
      </c>
      <c r="E78" s="1374">
        <f>IF($B$26="","",-FV('Part III-Sources of Funds'!$K$37/12,12,E72/12,D78))</f>
        <v>-749306.65911352576</v>
      </c>
      <c r="F78" s="1374">
        <f>IF($B$26="","",-FV('Part III-Sources of Funds'!$K$37/12,12,F72/12,E78))</f>
        <v>-802828.56333592045</v>
      </c>
      <c r="G78" s="1374">
        <f>IF($B$26="","",-FV('Part III-Sources of Funds'!$K$37/12,12,G72/12,F78))</f>
        <v>-856350.46755831514</v>
      </c>
      <c r="H78" s="1374">
        <f>IF($B$26="","",-FV('Part III-Sources of Funds'!$K$37/12,12,H72/12,G78))</f>
        <v>-909872.37178070983</v>
      </c>
      <c r="I78" s="1374">
        <f>IF($B$26="","",-FV('Part III-Sources of Funds'!$K$37/12,12,I72/12,H78))</f>
        <v>-963394.27600310452</v>
      </c>
      <c r="J78" s="1374">
        <f>IF($B$26="","",-FV('Part III-Sources of Funds'!$K$37/12,12,J72/12,I78))</f>
        <v>-1016916.1802254992</v>
      </c>
      <c r="K78" s="1374">
        <f>IF($B$26="","",-FV('Part III-Sources of Funds'!$K$37/12,12,K72/12,J78))</f>
        <v>-1070438.084447894</v>
      </c>
    </row>
    <row r="79" spans="1:11">
      <c r="A79" s="1373" t="s">
        <v>4128</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zoomScalePageLayoutView="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2933</v>
      </c>
      <c r="B1" s="2214"/>
      <c r="C1" s="2214"/>
      <c r="D1" s="2214"/>
      <c r="E1" s="2214"/>
      <c r="F1" s="2214"/>
      <c r="G1" s="2214"/>
      <c r="H1" s="2214"/>
      <c r="I1" s="2214"/>
      <c r="J1" s="2214"/>
    </row>
    <row r="2" spans="1:11" ht="15.75">
      <c r="A2" s="2214" t="str">
        <f>Overview!C8</f>
        <v>Altoview Terrace</v>
      </c>
      <c r="B2" s="2214"/>
      <c r="C2" s="2214"/>
      <c r="D2" s="2214"/>
      <c r="E2" s="2214"/>
      <c r="F2" s="2214"/>
      <c r="G2" s="2214"/>
      <c r="H2" s="2214"/>
      <c r="I2" s="2214"/>
      <c r="J2" s="2214"/>
    </row>
    <row r="3" spans="1:11" ht="15.75">
      <c r="A3" s="2214" t="str">
        <f>'Subsidy Layering Memo'!F14</f>
        <v>Rome, Floyd</v>
      </c>
      <c r="B3" s="2214"/>
      <c r="C3" s="2214"/>
      <c r="D3" s="2214"/>
      <c r="E3" s="2214"/>
      <c r="F3" s="2214"/>
      <c r="G3" s="2214"/>
      <c r="H3" s="2214"/>
      <c r="I3" s="2214"/>
      <c r="J3" s="2214"/>
    </row>
    <row r="4" spans="1:11" ht="15.75">
      <c r="A4" s="2215" t="s">
        <v>2934</v>
      </c>
      <c r="B4" s="2214"/>
      <c r="C4" s="2214"/>
      <c r="D4" s="2214"/>
      <c r="E4" s="2214"/>
      <c r="F4" s="2214"/>
      <c r="G4" s="2214"/>
      <c r="H4" s="2214"/>
      <c r="I4" s="2214"/>
      <c r="J4" s="2214"/>
    </row>
    <row r="5" spans="1:11" ht="5.25" customHeight="1"/>
    <row r="6" spans="1:11" ht="5.25" customHeight="1"/>
    <row r="7" spans="1:11" ht="15.75">
      <c r="A7" s="2216" t="s">
        <v>2935</v>
      </c>
      <c r="B7" s="2216"/>
      <c r="C7" s="2217"/>
    </row>
    <row r="8" spans="1:11" ht="102.75" customHeight="1">
      <c r="A8" s="2210" t="s">
        <v>4292</v>
      </c>
      <c r="B8" s="2210"/>
      <c r="C8" s="2210"/>
      <c r="D8" s="2210"/>
      <c r="E8" s="2210"/>
      <c r="F8" s="2210"/>
      <c r="G8" s="2210"/>
      <c r="H8" s="2210"/>
      <c r="I8" s="2210"/>
      <c r="J8" s="2210"/>
      <c r="K8" s="687"/>
    </row>
    <row r="9" spans="1:11" ht="15.75">
      <c r="A9" s="688" t="s">
        <v>2936</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2966</v>
      </c>
      <c r="B11" s="2210"/>
      <c r="C11" s="2210"/>
      <c r="D11" s="2210"/>
      <c r="E11" s="2210"/>
      <c r="F11" s="2210"/>
      <c r="G11" s="2210"/>
      <c r="H11" s="2210"/>
      <c r="I11" s="2210"/>
      <c r="J11" s="2210"/>
    </row>
    <row r="12" spans="1:11" ht="48.75" customHeight="1">
      <c r="A12" s="2210" t="s">
        <v>2967</v>
      </c>
      <c r="B12" s="2210"/>
      <c r="C12" s="2210"/>
      <c r="D12" s="2210"/>
      <c r="E12" s="2210"/>
      <c r="F12" s="2210"/>
      <c r="G12" s="2210"/>
      <c r="H12" s="2210"/>
      <c r="I12" s="2210"/>
      <c r="J12" s="2210"/>
    </row>
    <row r="13" spans="1:11" ht="15.75">
      <c r="A13" s="688" t="s">
        <v>2937</v>
      </c>
      <c r="B13" s="689"/>
    </row>
    <row r="14" spans="1:11">
      <c r="A14" s="686" t="s">
        <v>2938</v>
      </c>
      <c r="E14" s="690" t="s">
        <v>2939</v>
      </c>
    </row>
    <row r="15" spans="1:11">
      <c r="A15" s="686" t="s">
        <v>2940</v>
      </c>
      <c r="D15" s="691">
        <f>Overview!C25</f>
        <v>0</v>
      </c>
    </row>
    <row r="16" spans="1:11">
      <c r="A16" s="692" t="s">
        <v>2941</v>
      </c>
      <c r="D16" s="693">
        <f>Overview!C13</f>
        <v>66</v>
      </c>
    </row>
    <row r="17" spans="1:11" ht="14.25" customHeight="1"/>
    <row r="18" spans="1:11" ht="15.75">
      <c r="A18" s="688" t="s">
        <v>2942</v>
      </c>
      <c r="B18" s="689"/>
      <c r="C18" s="689"/>
    </row>
    <row r="19" spans="1:11" ht="48.75" customHeight="1">
      <c r="A19" s="2212" t="s">
        <v>2969</v>
      </c>
      <c r="B19" s="2212"/>
      <c r="C19" s="2212"/>
      <c r="D19" s="2212"/>
      <c r="E19" s="2212"/>
      <c r="F19" s="2212"/>
      <c r="G19" s="2212"/>
      <c r="H19" s="2212"/>
      <c r="I19" s="2212"/>
      <c r="J19" s="2212"/>
    </row>
    <row r="20" spans="1:11" ht="72.75" customHeight="1">
      <c r="A20" s="2210" t="s">
        <v>3410</v>
      </c>
      <c r="B20" s="2210"/>
      <c r="C20" s="2210"/>
      <c r="D20" s="2210"/>
      <c r="E20" s="2210"/>
      <c r="F20" s="2210"/>
      <c r="G20" s="2210"/>
      <c r="H20" s="2210"/>
      <c r="I20" s="2210"/>
      <c r="J20" s="2210"/>
    </row>
    <row r="21" spans="1:11" ht="15.75">
      <c r="A21" s="688" t="s">
        <v>2943</v>
      </c>
      <c r="B21" s="689"/>
      <c r="C21" s="689"/>
      <c r="D21" s="689"/>
      <c r="E21" s="689"/>
      <c r="F21" s="689"/>
    </row>
    <row r="22" spans="1:11" ht="102.75" customHeight="1">
      <c r="A22" s="2213" t="s">
        <v>2962</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2944</v>
      </c>
    </row>
    <row r="27" spans="1:11" ht="15.75" thickBot="1">
      <c r="A27" s="694"/>
      <c r="B27" s="694"/>
      <c r="C27" s="694"/>
      <c r="D27" s="694"/>
      <c r="F27" s="694"/>
      <c r="G27" s="694"/>
      <c r="H27" s="694"/>
      <c r="I27" s="694"/>
    </row>
    <row r="28" spans="1:11">
      <c r="A28" s="686" t="s">
        <v>2945</v>
      </c>
      <c r="D28" s="686" t="s">
        <v>934</v>
      </c>
      <c r="F28" s="686" t="s">
        <v>2946</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zoomScalePageLayoutView="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4" s="254" customFormat="1" ht="18">
      <c r="A1" s="1386" t="s">
        <v>3005</v>
      </c>
      <c r="B1" s="752"/>
      <c r="C1" s="752"/>
      <c r="D1" s="752"/>
      <c r="E1" s="752"/>
      <c r="F1" s="752"/>
      <c r="G1" s="752"/>
      <c r="H1" s="752"/>
      <c r="I1" s="752"/>
      <c r="J1" s="752"/>
      <c r="K1" s="752"/>
      <c r="L1" s="689"/>
      <c r="M1" s="689"/>
    </row>
    <row r="2" spans="1:14" s="254" customFormat="1" ht="18">
      <c r="A2" s="1386" t="str">
        <f>+"Financial Analysis for:  "&amp;E8&amp;"  "&amp;C8</f>
        <v>Financial Analysis for:  2018-045  Altoview Terrace</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3006</v>
      </c>
      <c r="B7" s="686"/>
      <c r="C7" s="726"/>
      <c r="D7" s="727"/>
      <c r="E7" s="727"/>
      <c r="F7" s="689" t="s">
        <v>3336</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3007</v>
      </c>
      <c r="B8" s="689"/>
      <c r="C8" s="2219" t="str">
        <f>'Part I-Project Information'!F34</f>
        <v>Altoview Terrace</v>
      </c>
      <c r="D8" s="2219"/>
      <c r="E8" s="1458" t="str">
        <f>'Part I-Project Information'!O6</f>
        <v>2018-045</v>
      </c>
      <c r="F8" s="728" t="s">
        <v>3008</v>
      </c>
      <c r="G8" s="727"/>
      <c r="H8" s="2219" t="str">
        <f>CONCATENATE('Part I-Project Information'!F38,", ",'Part I-Project Information'!J39)</f>
        <v>Rome, Floyd</v>
      </c>
      <c r="I8" s="2219"/>
      <c r="J8" s="2219"/>
      <c r="K8" s="2219"/>
      <c r="L8" s="686"/>
      <c r="M8" s="729"/>
    </row>
    <row r="9" spans="1:14" ht="15.75">
      <c r="A9" s="689" t="s">
        <v>3010</v>
      </c>
      <c r="B9" s="689"/>
      <c r="C9" s="2219" t="s">
        <v>1784</v>
      </c>
      <c r="D9" s="2219"/>
      <c r="E9" s="727"/>
      <c r="F9" s="728" t="s">
        <v>3011</v>
      </c>
      <c r="G9" s="727"/>
      <c r="H9" s="2219" t="str">
        <f>'Part II-Development Team'!H5</f>
        <v>Altoview Terrace, LP</v>
      </c>
      <c r="I9" s="2219"/>
      <c r="J9" s="2219"/>
      <c r="K9" s="2219"/>
      <c r="L9" s="2219"/>
      <c r="M9" s="729"/>
    </row>
    <row r="10" spans="1:14" ht="15.75">
      <c r="A10" s="689" t="s">
        <v>3013</v>
      </c>
      <c r="B10" s="686"/>
      <c r="C10" s="1458" t="str">
        <f>'Part II-Development Team'!H14</f>
        <v>Altoview Terrace GP 2018, LLC</v>
      </c>
      <c r="D10" s="727"/>
      <c r="E10" s="727"/>
      <c r="F10" s="728" t="s">
        <v>3582</v>
      </c>
      <c r="G10" s="727"/>
      <c r="H10" s="2219" t="str">
        <f>'Part II-Development Team'!H33</f>
        <v>Boston Capital</v>
      </c>
      <c r="I10" s="2219"/>
      <c r="J10" s="2219"/>
      <c r="K10" s="2219" t="str">
        <f>'Part II-Development Team'!H39</f>
        <v>Boston Capital</v>
      </c>
      <c r="L10" s="2219"/>
    </row>
    <row r="11" spans="1:14" ht="15.75">
      <c r="A11" s="689" t="s">
        <v>3014</v>
      </c>
      <c r="B11" s="686"/>
      <c r="C11" s="1458" t="str">
        <f>IF('Part II-Development Team'!H20="","",'Part II-Development Team'!H20)</f>
        <v/>
      </c>
      <c r="D11" s="727"/>
      <c r="E11" s="1388" t="str">
        <f>IF('Part II-Development Team'!H26="","",'Part II-Development Team'!H26)</f>
        <v/>
      </c>
      <c r="F11" s="728" t="s">
        <v>658</v>
      </c>
      <c r="G11" s="727"/>
      <c r="H11" s="2219" t="str">
        <f>'Part II-Development Team'!H54</f>
        <v>Rea Ventures Group, LLC</v>
      </c>
      <c r="I11" s="2219"/>
      <c r="J11" s="2219"/>
      <c r="K11" s="2219" t="str">
        <f>'Part II-Development Team'!H60</f>
        <v>Northwest Georgia Housing Authority</v>
      </c>
      <c r="L11" s="2219"/>
      <c r="M11" s="2219">
        <f>'Part II-Development Team'!H66</f>
        <v>0</v>
      </c>
      <c r="N11" s="2219"/>
    </row>
    <row r="12" spans="1:14" ht="15.75">
      <c r="A12" s="689" t="s">
        <v>3015</v>
      </c>
      <c r="B12" s="686"/>
      <c r="C12" s="1458" t="str">
        <f>'Part II-Development Team'!H86</f>
        <v>Great Southern, LLC</v>
      </c>
      <c r="D12" s="727"/>
      <c r="E12" s="727"/>
      <c r="F12" s="728" t="s">
        <v>3016</v>
      </c>
      <c r="G12" s="727"/>
      <c r="H12" s="2219" t="str">
        <f>'Part II-Development Team'!H92</f>
        <v>Northwest Georgia Housing Authority</v>
      </c>
      <c r="I12" s="2219"/>
      <c r="J12" s="2219"/>
      <c r="K12" s="2219"/>
      <c r="L12" s="686"/>
      <c r="M12" s="686"/>
    </row>
    <row r="13" spans="1:14" ht="15.75">
      <c r="A13" s="689" t="s">
        <v>3017</v>
      </c>
      <c r="B13" s="728"/>
      <c r="C13" s="685">
        <f>'Part VI-Revenues &amp; Expenses'!$O$62</f>
        <v>66</v>
      </c>
      <c r="E13" s="1389">
        <f>'Part VI-Revenues &amp; Expenses'!$O$58</f>
        <v>66</v>
      </c>
      <c r="F13" s="728" t="s">
        <v>4302</v>
      </c>
      <c r="G13" s="727"/>
      <c r="H13" s="1459">
        <f>'Part I-Project Information'!H72</f>
        <v>16</v>
      </c>
      <c r="I13" s="1390"/>
      <c r="J13" s="1390"/>
      <c r="K13" s="1459">
        <f>'Part I-Project Information'!P71</f>
        <v>86938</v>
      </c>
      <c r="L13" s="686"/>
      <c r="M13" s="686"/>
    </row>
    <row r="14" spans="1:14" ht="15.75">
      <c r="A14" s="689" t="s">
        <v>3325</v>
      </c>
      <c r="B14" s="686"/>
      <c r="C14" s="1459" t="str">
        <f>'Part I-Project Information'!H78</f>
        <v>Family</v>
      </c>
      <c r="D14" s="2219" t="str">
        <f>IF('Part I-Project Information'!N70=0,"",'Part I-Project Information'!N70)</f>
        <v/>
      </c>
      <c r="E14" s="2219"/>
      <c r="F14" s="728" t="s">
        <v>3018</v>
      </c>
      <c r="G14" s="727"/>
      <c r="H14" s="2224" t="s">
        <v>3521</v>
      </c>
      <c r="I14" s="2224"/>
      <c r="J14" s="2224"/>
      <c r="K14" s="2224" t="s">
        <v>3521</v>
      </c>
      <c r="L14" s="2224"/>
      <c r="M14" s="686"/>
    </row>
    <row r="15" spans="1:14" ht="15.75">
      <c r="A15" s="689" t="s">
        <v>3019</v>
      </c>
      <c r="B15" s="686"/>
      <c r="C15" s="730" t="s">
        <v>1784</v>
      </c>
      <c r="D15" s="727"/>
      <c r="E15" s="727"/>
      <c r="F15" s="728" t="s">
        <v>3326</v>
      </c>
      <c r="G15" s="727"/>
      <c r="H15" s="1458" t="str">
        <f>'Part I-Project Information'!K40</f>
        <v>Urban</v>
      </c>
      <c r="I15" s="727"/>
      <c r="J15" s="727"/>
      <c r="K15" s="727"/>
      <c r="L15" s="686"/>
      <c r="M15" s="686"/>
    </row>
    <row r="16" spans="1:14" ht="15.75">
      <c r="A16" s="689" t="s">
        <v>3555</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3328</v>
      </c>
      <c r="B18" s="686"/>
      <c r="C18" s="1461">
        <f>'Part IV-A-Uses of Funds'!G132</f>
        <v>13480710.35</v>
      </c>
      <c r="D18" s="1437">
        <f>IF(C18=0,"",$C$29/C18)</f>
        <v>0</v>
      </c>
      <c r="E18" s="727" t="s">
        <v>3329</v>
      </c>
      <c r="F18" s="728" t="s">
        <v>3330</v>
      </c>
      <c r="G18" s="727"/>
      <c r="H18" s="2218">
        <f>'Part IV-A-Uses of Funds'!B44</f>
        <v>9329147</v>
      </c>
      <c r="I18" s="2218"/>
      <c r="J18" s="1436">
        <f>IF(H18=0,"",$C$29/H18)</f>
        <v>0</v>
      </c>
      <c r="K18" s="2219" t="s">
        <v>3331</v>
      </c>
      <c r="L18" s="2219"/>
      <c r="M18" s="686"/>
    </row>
    <row r="19" spans="1:13" ht="15.75">
      <c r="A19" s="689" t="s">
        <v>3020</v>
      </c>
      <c r="B19" s="686"/>
      <c r="C19" s="1460">
        <f>C18/C13</f>
        <v>204253.1871212121</v>
      </c>
      <c r="D19" s="727"/>
      <c r="E19" s="686"/>
      <c r="F19" s="689" t="s">
        <v>3020</v>
      </c>
      <c r="G19" s="686"/>
      <c r="H19" s="2220">
        <f>H18/C13</f>
        <v>141350.71212121213</v>
      </c>
      <c r="I19" s="2220"/>
      <c r="J19" s="686"/>
      <c r="K19" s="686"/>
      <c r="L19" s="686"/>
      <c r="M19" s="686"/>
    </row>
    <row r="20" spans="1:13" ht="15.75">
      <c r="A20" s="689" t="s">
        <v>3021</v>
      </c>
      <c r="B20" s="686"/>
      <c r="C20" s="1462">
        <f>C18/K13</f>
        <v>155.06119705997378</v>
      </c>
      <c r="D20" s="732"/>
      <c r="E20" s="733"/>
      <c r="F20" s="689" t="s">
        <v>3021</v>
      </c>
      <c r="G20" s="686"/>
      <c r="H20" s="2221">
        <f>H18/K13</f>
        <v>107.30804711403529</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3022</v>
      </c>
      <c r="B23" s="736"/>
      <c r="C23" s="736"/>
      <c r="D23" s="736"/>
      <c r="E23" s="727"/>
      <c r="F23" s="727"/>
      <c r="G23" s="727"/>
      <c r="H23" s="727"/>
      <c r="I23" s="727"/>
      <c r="J23" s="727"/>
      <c r="K23" s="727"/>
      <c r="L23" s="686"/>
      <c r="M23" s="729"/>
    </row>
    <row r="24" spans="1:13" ht="27" customHeight="1">
      <c r="A24" s="686"/>
      <c r="B24" s="686"/>
      <c r="C24" s="686"/>
      <c r="D24" s="737" t="s">
        <v>3023</v>
      </c>
      <c r="E24" s="686"/>
      <c r="F24" s="686"/>
      <c r="G24" s="686"/>
      <c r="H24" s="686"/>
      <c r="I24" s="686"/>
      <c r="J24" s="686"/>
      <c r="K24" s="686"/>
      <c r="L24" s="686"/>
      <c r="M24" s="729"/>
    </row>
    <row r="25" spans="1:13" ht="15.75">
      <c r="A25" s="689" t="s">
        <v>3024</v>
      </c>
      <c r="B25" s="738">
        <f>'Part III-Sources of Funds'!E37</f>
        <v>0</v>
      </c>
      <c r="C25" s="739">
        <f>'Part III-Sources of Funds'!I37</f>
        <v>0</v>
      </c>
      <c r="D25" s="740" t="s">
        <v>3025</v>
      </c>
      <c r="E25" s="686"/>
      <c r="F25" s="727"/>
      <c r="G25" s="686" t="s">
        <v>3026</v>
      </c>
      <c r="H25" s="686"/>
      <c r="I25" s="686"/>
      <c r="K25" s="739"/>
      <c r="L25" s="727"/>
      <c r="M25" s="729"/>
    </row>
    <row r="26" spans="1:13" ht="15">
      <c r="A26" s="686"/>
      <c r="B26" s="738"/>
      <c r="C26" s="739"/>
      <c r="D26" s="740"/>
      <c r="E26" s="686"/>
      <c r="F26" s="727"/>
      <c r="G26" s="686" t="s">
        <v>3027</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3028</v>
      </c>
      <c r="H28" s="686"/>
      <c r="I28" s="686"/>
      <c r="K28" s="739"/>
      <c r="L28" s="727"/>
      <c r="M28" s="686"/>
    </row>
    <row r="29" spans="1:13" ht="16.5" thickBot="1">
      <c r="A29" s="686"/>
      <c r="B29" s="742" t="s">
        <v>3029</v>
      </c>
      <c r="C29" s="743">
        <f>SUM(C25:C27)</f>
        <v>0</v>
      </c>
      <c r="D29" s="686"/>
      <c r="E29" s="686"/>
      <c r="F29" s="727"/>
      <c r="G29" s="686" t="s">
        <v>3030</v>
      </c>
      <c r="H29" s="686"/>
      <c r="I29" s="686"/>
      <c r="K29" s="741" t="e">
        <f>C29/K28</f>
        <v>#DIV/0!</v>
      </c>
      <c r="L29" s="727"/>
      <c r="M29" s="686"/>
    </row>
    <row r="30" spans="1:13" ht="16.5" thickTop="1">
      <c r="A30" s="689" t="s">
        <v>3031</v>
      </c>
      <c r="B30" s="742"/>
      <c r="C30" s="744">
        <f>'Part III-Sources of Funds'!$I$49+'Part III-Sources of Funds'!$I$50</f>
        <v>13298670</v>
      </c>
      <c r="D30" s="686"/>
      <c r="E30" s="686"/>
      <c r="F30" s="727"/>
      <c r="G30" s="686"/>
      <c r="H30" s="686"/>
      <c r="I30" s="686"/>
      <c r="K30" s="745"/>
      <c r="L30" s="727"/>
      <c r="M30" s="686"/>
    </row>
    <row r="31" spans="1:13" ht="15">
      <c r="A31" s="746" t="s">
        <v>3032</v>
      </c>
      <c r="B31" s="738">
        <f>'Part III-Sources of Funds'!E38</f>
        <v>0</v>
      </c>
      <c r="C31" s="739">
        <f>'Part III-Sources of Funds'!I38</f>
        <v>0</v>
      </c>
      <c r="D31" s="740"/>
      <c r="E31" s="686"/>
      <c r="F31" s="727"/>
      <c r="G31" s="686"/>
      <c r="H31" s="686"/>
      <c r="I31" s="686"/>
      <c r="K31" s="686"/>
      <c r="L31" s="727"/>
      <c r="M31" s="686"/>
    </row>
    <row r="32" spans="1:13" ht="15">
      <c r="A32" s="746" t="s">
        <v>3032</v>
      </c>
      <c r="B32" s="738">
        <f>'Part III-Sources of Funds'!E39</f>
        <v>0</v>
      </c>
      <c r="C32" s="739">
        <f>'Part III-Sources of Funds'!I39</f>
        <v>0</v>
      </c>
      <c r="D32" s="740"/>
      <c r="E32" s="686" t="s">
        <v>245</v>
      </c>
      <c r="F32" s="727"/>
      <c r="G32" s="686" t="s">
        <v>3033</v>
      </c>
      <c r="H32" s="686"/>
      <c r="I32" s="686"/>
      <c r="K32" s="739"/>
      <c r="L32" s="727"/>
      <c r="M32" s="727"/>
    </row>
    <row r="33" spans="1:13" ht="15">
      <c r="A33" s="686"/>
      <c r="B33" s="727"/>
      <c r="C33" s="747"/>
      <c r="D33" s="686"/>
      <c r="E33" s="686"/>
      <c r="F33" s="727"/>
      <c r="G33" s="1393" t="s">
        <v>3034</v>
      </c>
      <c r="H33" s="1393"/>
      <c r="I33" s="1393"/>
      <c r="K33" s="741" t="e">
        <f>$C$29/K32</f>
        <v>#DIV/0!</v>
      </c>
      <c r="L33" s="727"/>
      <c r="M33" s="748"/>
    </row>
    <row r="34" spans="1:13" ht="15.75">
      <c r="A34" s="686"/>
      <c r="B34" s="742" t="s">
        <v>3035</v>
      </c>
      <c r="C34" s="747">
        <f>SUM(C31:C32)</f>
        <v>0</v>
      </c>
      <c r="D34" s="686"/>
      <c r="E34" s="686"/>
      <c r="F34" s="686"/>
      <c r="G34" s="686"/>
      <c r="H34" s="686"/>
      <c r="I34" s="686"/>
      <c r="K34" s="727"/>
      <c r="L34" s="686"/>
      <c r="M34" s="748"/>
    </row>
    <row r="35" spans="1:13" ht="15.75">
      <c r="A35" s="686"/>
      <c r="B35" s="742"/>
      <c r="C35" s="686"/>
      <c r="D35" s="686"/>
      <c r="E35" s="686"/>
      <c r="F35" s="686"/>
      <c r="G35" s="1393" t="s">
        <v>3036</v>
      </c>
      <c r="H35" s="1393"/>
      <c r="I35" s="1393"/>
      <c r="K35" s="749" t="e">
        <f>(C36)/K25</f>
        <v>#DIV/0!</v>
      </c>
      <c r="L35" s="686"/>
      <c r="M35" s="727"/>
    </row>
    <row r="36" spans="1:13" ht="15.75">
      <c r="A36" s="686"/>
      <c r="B36" s="742" t="s">
        <v>3037</v>
      </c>
      <c r="C36" s="747">
        <f>C29+C34</f>
        <v>0</v>
      </c>
      <c r="D36" s="686"/>
      <c r="E36" s="686"/>
      <c r="F36" s="686"/>
      <c r="G36" s="686"/>
      <c r="H36" s="686"/>
      <c r="I36" s="686"/>
      <c r="K36" s="727"/>
      <c r="L36" s="686"/>
      <c r="M36" s="727"/>
    </row>
    <row r="37" spans="1:13" ht="15.75">
      <c r="A37" s="686"/>
      <c r="B37" s="742"/>
      <c r="C37" s="750"/>
      <c r="D37" s="686"/>
      <c r="E37" s="686"/>
      <c r="F37" s="686"/>
      <c r="G37" s="1393" t="s">
        <v>3038</v>
      </c>
      <c r="H37" s="1393"/>
      <c r="I37" s="1393"/>
      <c r="K37" s="1394" t="e">
        <f>+(C36)/K32</f>
        <v>#DIV/0!</v>
      </c>
      <c r="L37" s="686"/>
      <c r="M37" s="748"/>
    </row>
    <row r="38" spans="1:13" ht="15.75">
      <c r="A38" s="686"/>
      <c r="B38" s="742" t="s">
        <v>3039</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3040</v>
      </c>
      <c r="C40" s="751">
        <f>C36/H18</f>
        <v>0</v>
      </c>
      <c r="D40" s="686"/>
      <c r="E40" s="686"/>
      <c r="F40" s="689"/>
      <c r="G40" s="689" t="s">
        <v>3041</v>
      </c>
      <c r="H40" s="686"/>
      <c r="I40" s="686"/>
      <c r="K40" s="741">
        <f>C30/C18</f>
        <v>0.98649623459938818</v>
      </c>
      <c r="L40" s="686"/>
      <c r="M40" s="686"/>
    </row>
    <row r="46" spans="1:13" ht="15.75">
      <c r="A46" s="752" t="s">
        <v>3042</v>
      </c>
      <c r="B46" s="722"/>
      <c r="C46" s="722"/>
      <c r="D46" s="722"/>
      <c r="E46" s="722"/>
      <c r="F46" s="722"/>
      <c r="G46" s="722"/>
      <c r="H46" s="722"/>
      <c r="I46" s="722"/>
      <c r="J46" s="722"/>
      <c r="K46" s="722"/>
      <c r="L46" s="722"/>
      <c r="M46" s="686"/>
    </row>
    <row r="47" spans="1:13" ht="15.75">
      <c r="A47" s="752" t="str">
        <f>C8</f>
        <v>Altoview Terrace</v>
      </c>
      <c r="B47" s="722"/>
      <c r="C47" s="722"/>
      <c r="D47" s="722"/>
      <c r="E47" s="722"/>
      <c r="F47" s="722"/>
      <c r="G47" s="722"/>
      <c r="H47" s="722"/>
      <c r="I47" s="722"/>
      <c r="J47" s="722"/>
      <c r="K47" s="722"/>
      <c r="L47" s="722"/>
      <c r="M47" s="686"/>
    </row>
    <row r="50" spans="1:14" s="686" customFormat="1" ht="15.75">
      <c r="A50" s="689" t="s">
        <v>3043</v>
      </c>
      <c r="C50" s="753" t="s">
        <v>3044</v>
      </c>
      <c r="E50" s="754" t="s">
        <v>3522</v>
      </c>
      <c r="F50" s="755">
        <v>0.1</v>
      </c>
      <c r="G50" s="754" t="s">
        <v>3523</v>
      </c>
      <c r="H50" s="755">
        <v>0.05</v>
      </c>
      <c r="I50" s="754" t="s">
        <v>3524</v>
      </c>
      <c r="J50" s="755">
        <v>0.03</v>
      </c>
      <c r="K50" s="2222" t="s">
        <v>3045</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3046</v>
      </c>
      <c r="C52" s="758">
        <f>'Part VII-Pro Forma'!B14</f>
        <v>397320</v>
      </c>
      <c r="D52" s="758"/>
      <c r="E52" s="758">
        <f>$C$52</f>
        <v>397320</v>
      </c>
      <c r="F52" s="758"/>
      <c r="G52" s="758">
        <f>$C$52</f>
        <v>397320</v>
      </c>
      <c r="H52" s="758"/>
      <c r="I52" s="758">
        <f>$C$52</f>
        <v>397320</v>
      </c>
      <c r="J52" s="758"/>
      <c r="K52" s="758">
        <f>$C$52</f>
        <v>397320</v>
      </c>
      <c r="L52" s="759"/>
      <c r="M52" s="28"/>
      <c r="N52" s="28"/>
    </row>
    <row r="53" spans="1:14" s="686" customFormat="1" ht="18.75" customHeight="1">
      <c r="B53" s="757" t="s">
        <v>3049</v>
      </c>
      <c r="C53" s="758">
        <f>'Part VII-Pro Forma'!B15</f>
        <v>7946.4000000000005</v>
      </c>
      <c r="D53" s="758"/>
      <c r="E53" s="758">
        <f>$C$53</f>
        <v>7946.4000000000005</v>
      </c>
      <c r="F53" s="758"/>
      <c r="G53" s="758">
        <f>$C$53</f>
        <v>7946.4000000000005</v>
      </c>
      <c r="H53" s="758"/>
      <c r="I53" s="758">
        <f>$C$53</f>
        <v>7946.4000000000005</v>
      </c>
      <c r="J53" s="758"/>
      <c r="K53" s="758">
        <f>$C$53</f>
        <v>7946.4000000000005</v>
      </c>
      <c r="L53" s="759"/>
      <c r="M53" s="28"/>
      <c r="N53" s="28"/>
    </row>
    <row r="54" spans="1:14" s="686" customFormat="1" ht="18.75" customHeight="1">
      <c r="B54" s="757" t="s">
        <v>3047</v>
      </c>
      <c r="C54" s="758">
        <f>'Part VII-Pro Forma'!B16</f>
        <v>-28368.648000000005</v>
      </c>
      <c r="D54" s="758"/>
      <c r="E54" s="758">
        <f>-($C$52+E53)*F50</f>
        <v>-40526.640000000007</v>
      </c>
      <c r="F54" s="760"/>
      <c r="G54" s="758">
        <f>-($C$52+G53)*0.07</f>
        <v>-28368.648000000005</v>
      </c>
      <c r="H54" s="758"/>
      <c r="I54" s="758">
        <f>-($C$52+I53)*0.07</f>
        <v>-28368.648000000005</v>
      </c>
      <c r="J54" s="758"/>
      <c r="K54" s="758">
        <f>-($C$52+K53)*L54</f>
        <v>-40526.640000000007</v>
      </c>
      <c r="L54" s="761">
        <v>0.1</v>
      </c>
      <c r="M54" s="28"/>
      <c r="N54" s="28"/>
    </row>
    <row r="55" spans="1:14" s="686" customFormat="1" ht="18.75" customHeight="1">
      <c r="B55" s="757" t="s">
        <v>3048</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3050</v>
      </c>
      <c r="C56" s="764">
        <f>SUM(C52:C55)</f>
        <v>376897.75200000004</v>
      </c>
      <c r="D56" s="758"/>
      <c r="E56" s="764">
        <f>SUM(E52:E55)</f>
        <v>364739.76</v>
      </c>
      <c r="F56" s="758"/>
      <c r="G56" s="764">
        <f>SUM(G52:G55)</f>
        <v>376897.75200000004</v>
      </c>
      <c r="H56" s="758"/>
      <c r="I56" s="764">
        <f>SUM(I52:I55)</f>
        <v>376897.75200000004</v>
      </c>
      <c r="J56" s="758"/>
      <c r="K56" s="764">
        <f>SUM(K52:K55)</f>
        <v>364739.76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3051</v>
      </c>
      <c r="C58" s="758">
        <f>+'Part VI-Revenues &amp; Expenses'!F168+'Part VI-Revenues &amp; Expenses'!F177+'Part VI-Revenues &amp; Expenses'!K166+'Part VI-Revenues &amp; Expenses'!K175</f>
        <v>147781</v>
      </c>
      <c r="D58" s="758"/>
      <c r="E58" s="758">
        <f>$C$58</f>
        <v>147781</v>
      </c>
      <c r="F58" s="758"/>
      <c r="G58" s="758">
        <f>$C$58</f>
        <v>147781</v>
      </c>
      <c r="H58" s="758"/>
      <c r="I58" s="758">
        <f>$C$58</f>
        <v>147781</v>
      </c>
      <c r="J58" s="758"/>
      <c r="K58" s="758">
        <f>$C$58</f>
        <v>147781</v>
      </c>
      <c r="L58" s="759"/>
      <c r="M58" s="28"/>
      <c r="N58" s="28"/>
    </row>
    <row r="59" spans="1:14" s="686" customFormat="1" ht="18.75" customHeight="1">
      <c r="B59" s="757" t="s">
        <v>3052</v>
      </c>
      <c r="C59" s="758">
        <f>+'Part VI-Revenues &amp; Expenses'!F188</f>
        <v>43064</v>
      </c>
      <c r="D59" s="758"/>
      <c r="E59" s="758">
        <f>$C$59</f>
        <v>43064</v>
      </c>
      <c r="F59" s="758"/>
      <c r="G59" s="758">
        <f>$C$59</f>
        <v>43064</v>
      </c>
      <c r="H59" s="758"/>
      <c r="I59" s="758">
        <f>$C$59</f>
        <v>43064</v>
      </c>
      <c r="J59" s="758"/>
      <c r="K59" s="758">
        <f>$C$59*(1+$L$59)</f>
        <v>44786.560000000005</v>
      </c>
      <c r="L59" s="766">
        <v>0.04</v>
      </c>
      <c r="M59" s="28"/>
      <c r="N59" s="28"/>
    </row>
    <row r="60" spans="1:14" s="686" customFormat="1" ht="18.75" customHeight="1">
      <c r="B60" s="757" t="s">
        <v>1387</v>
      </c>
      <c r="C60" s="758">
        <f>+'Part VI-Revenues &amp; Expenses'!K185</f>
        <v>47826</v>
      </c>
      <c r="D60" s="758"/>
      <c r="E60" s="758">
        <f>$C$60</f>
        <v>47826</v>
      </c>
      <c r="F60" s="758"/>
      <c r="G60" s="758">
        <f>$C$60</f>
        <v>47826</v>
      </c>
      <c r="H60" s="758"/>
      <c r="I60" s="758">
        <f>$C$60*(1+$J$50)</f>
        <v>49260.78</v>
      </c>
      <c r="J60" s="760"/>
      <c r="K60" s="758">
        <f>$C$60*(1+$J$50)</f>
        <v>49260.78</v>
      </c>
      <c r="L60" s="761">
        <v>0.03</v>
      </c>
      <c r="M60" s="28"/>
      <c r="N60" s="28"/>
    </row>
    <row r="61" spans="1:14" s="686" customFormat="1" ht="18.75" customHeight="1">
      <c r="B61" s="757" t="s">
        <v>1388</v>
      </c>
      <c r="C61" s="758">
        <f>+'Part VI-Revenues &amp; Expenses'!P167</f>
        <v>15900</v>
      </c>
      <c r="D61" s="758"/>
      <c r="E61" s="758">
        <f>$C$61</f>
        <v>15900</v>
      </c>
      <c r="F61" s="758"/>
      <c r="G61" s="758">
        <f>$C$61*(1+H50)</f>
        <v>16695</v>
      </c>
      <c r="H61" s="760"/>
      <c r="I61" s="758">
        <f>$C$61</f>
        <v>15900</v>
      </c>
      <c r="J61" s="758"/>
      <c r="K61" s="758">
        <f>$C$61*(1+$L$61)</f>
        <v>16695</v>
      </c>
      <c r="L61" s="761">
        <v>0.05</v>
      </c>
      <c r="M61" s="28"/>
      <c r="N61" s="28"/>
    </row>
    <row r="62" spans="1:14" s="686" customFormat="1" ht="18.75" customHeight="1">
      <c r="B62" s="763" t="s">
        <v>3053</v>
      </c>
      <c r="C62" s="764">
        <f>SUM(C58:C61)</f>
        <v>254571</v>
      </c>
      <c r="D62" s="758"/>
      <c r="E62" s="764">
        <f>SUM(E58:E61)</f>
        <v>254571</v>
      </c>
      <c r="F62" s="758"/>
      <c r="G62" s="764">
        <f>SUM(G58:G61)</f>
        <v>255366</v>
      </c>
      <c r="H62" s="758"/>
      <c r="I62" s="764">
        <f>SUM(I58:I61)</f>
        <v>256005.78</v>
      </c>
      <c r="J62" s="758"/>
      <c r="K62" s="764">
        <f>SUM(K58:K61)</f>
        <v>258523.34</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3054</v>
      </c>
      <c r="C64" s="770">
        <f>C56-C62</f>
        <v>122326.75200000004</v>
      </c>
      <c r="D64" s="770"/>
      <c r="E64" s="770">
        <f>E56-E62</f>
        <v>110168.76000000001</v>
      </c>
      <c r="F64" s="770"/>
      <c r="G64" s="770">
        <f>G56-G62</f>
        <v>121531.75200000004</v>
      </c>
      <c r="H64" s="770"/>
      <c r="I64" s="770">
        <f>I56-I62</f>
        <v>120891.97200000004</v>
      </c>
      <c r="J64" s="770"/>
      <c r="K64" s="770">
        <f>K56-K62</f>
        <v>106216.42000000001</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3055</v>
      </c>
      <c r="C66" s="765">
        <f>'Part VI-Revenues &amp; Expenses'!P179</f>
        <v>17180</v>
      </c>
      <c r="D66" s="765"/>
      <c r="E66" s="765">
        <f>$C$66</f>
        <v>17180</v>
      </c>
      <c r="F66" s="765"/>
      <c r="G66" s="765">
        <f>$C$66</f>
        <v>17180</v>
      </c>
      <c r="H66" s="765"/>
      <c r="I66" s="765">
        <f>$C$66</f>
        <v>17180</v>
      </c>
      <c r="J66" s="765"/>
      <c r="K66" s="765">
        <f>$C$66</f>
        <v>17180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3056</v>
      </c>
      <c r="C68" s="765">
        <f>'Part VI-Revenues &amp; Expenses'!P170</f>
        <v>24240</v>
      </c>
      <c r="D68" s="765"/>
      <c r="E68" s="765">
        <f>$C$68</f>
        <v>24240</v>
      </c>
      <c r="F68" s="765"/>
      <c r="G68" s="765">
        <f>$C$68</f>
        <v>24240</v>
      </c>
      <c r="H68" s="765"/>
      <c r="I68" s="765">
        <f>$C$68</f>
        <v>24240</v>
      </c>
      <c r="J68" s="765"/>
      <c r="K68" s="765">
        <f>$C$68</f>
        <v>24240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3057</v>
      </c>
      <c r="C70" s="773">
        <f>C64-C66-C68</f>
        <v>80906.752000000037</v>
      </c>
      <c r="D70" s="774"/>
      <c r="E70" s="773">
        <f>E64-E66-E68</f>
        <v>68748.760000000009</v>
      </c>
      <c r="F70" s="774"/>
      <c r="G70" s="773">
        <f>G64-G66-G68</f>
        <v>80111.752000000037</v>
      </c>
      <c r="H70" s="774"/>
      <c r="I70" s="773">
        <f>I64-I66-I68</f>
        <v>79471.972000000038</v>
      </c>
      <c r="J70" s="774"/>
      <c r="K70" s="773">
        <f>K64-K66-K68</f>
        <v>64796.420000000013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3058</v>
      </c>
      <c r="C72" s="1438" t="e">
        <f>-C70/C75</f>
        <v>#DIV/0!</v>
      </c>
      <c r="D72" s="776"/>
      <c r="E72" s="1438" t="e">
        <f>-E70/E75</f>
        <v>#DIV/0!</v>
      </c>
      <c r="F72" s="776"/>
      <c r="G72" s="1438" t="e">
        <f>-G70/G75</f>
        <v>#DIV/0!</v>
      </c>
      <c r="H72" s="776"/>
      <c r="I72" s="1438" t="e">
        <f>-I70/I75</f>
        <v>#DIV/0!</v>
      </c>
      <c r="J72" s="776"/>
      <c r="K72" s="1438" t="e">
        <f>-K70/K75</f>
        <v>#DIV/0!</v>
      </c>
      <c r="L72" s="777"/>
      <c r="M72" s="254"/>
      <c r="N72" s="254"/>
    </row>
    <row r="73" spans="1:14" s="686" customFormat="1" ht="18.75" customHeight="1">
      <c r="A73" s="28"/>
      <c r="B73" s="757" t="s">
        <v>3059</v>
      </c>
      <c r="C73" s="1439">
        <f>C76/C62</f>
        <v>0.31781605917406158</v>
      </c>
      <c r="D73" s="778"/>
      <c r="E73" s="1439">
        <f>E76/E62</f>
        <v>0.27005731210546374</v>
      </c>
      <c r="F73" s="778"/>
      <c r="G73" s="1439">
        <f>G76/G62</f>
        <v>0.31371346224634461</v>
      </c>
      <c r="H73" s="778"/>
      <c r="I73" s="1439">
        <f>I76/I62</f>
        <v>0.31043038168903858</v>
      </c>
      <c r="J73" s="778"/>
      <c r="K73" s="1439">
        <f>K76/K62</f>
        <v>0.25064050309732194</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3060</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1175</v>
      </c>
      <c r="C76" s="758">
        <f>C70+C75</f>
        <v>80906.752000000037</v>
      </c>
      <c r="D76" s="758"/>
      <c r="E76" s="758">
        <f>E70+E75</f>
        <v>68748.760000000009</v>
      </c>
      <c r="F76" s="758"/>
      <c r="G76" s="758">
        <f>G70+G75</f>
        <v>80111.752000000037</v>
      </c>
      <c r="H76" s="758"/>
      <c r="I76" s="758">
        <f>I70+I75</f>
        <v>79471.972000000038</v>
      </c>
      <c r="J76" s="758"/>
      <c r="K76" s="758">
        <f>K70+K75</f>
        <v>64796.420000000013</v>
      </c>
      <c r="L76" s="34"/>
      <c r="M76" s="28"/>
      <c r="N76" s="28"/>
    </row>
    <row r="77" spans="1:14" s="686" customFormat="1" ht="15" hidden="1">
      <c r="A77" s="28"/>
      <c r="B77" s="757" t="s">
        <v>3061</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3062</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3063</v>
      </c>
      <c r="C80" s="781" t="e">
        <f>MIN(C77,E77,G77,I77,K77)</f>
        <v>#NAME?</v>
      </c>
      <c r="D80" s="767"/>
      <c r="E80" s="767" t="s">
        <v>3064</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42578125" style="698" customWidth="1"/>
    <col min="9" max="9" width="28.42578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42578125" style="698" customWidth="1"/>
    <col min="16" max="16384" width="9.140625" style="698"/>
  </cols>
  <sheetData>
    <row r="2" spans="1:10" ht="15">
      <c r="A2" s="695" t="s">
        <v>2947</v>
      </c>
      <c r="B2" s="696"/>
      <c r="C2" s="696"/>
      <c r="D2" s="696"/>
      <c r="E2" s="697"/>
      <c r="F2" s="696"/>
      <c r="G2" s="696"/>
      <c r="H2" s="696"/>
      <c r="I2" s="696"/>
      <c r="J2" s="696"/>
    </row>
    <row r="3" spans="1:10" ht="15">
      <c r="A3" s="699"/>
    </row>
    <row r="4" spans="1:10" ht="15">
      <c r="A4" s="699" t="s">
        <v>2948</v>
      </c>
      <c r="D4" s="698" t="s">
        <v>2949</v>
      </c>
    </row>
    <row r="5" spans="1:10" ht="15">
      <c r="A5" s="699"/>
    </row>
    <row r="6" spans="1:10" ht="15">
      <c r="A6" s="699" t="s">
        <v>2950</v>
      </c>
      <c r="D6" s="698" t="s">
        <v>2951</v>
      </c>
    </row>
    <row r="7" spans="1:10" ht="15">
      <c r="A7" s="699"/>
    </row>
    <row r="8" spans="1:10" ht="15">
      <c r="A8" s="699" t="s">
        <v>2952</v>
      </c>
      <c r="D8" s="700" t="s">
        <v>2953</v>
      </c>
    </row>
    <row r="9" spans="1:10" ht="15">
      <c r="A9" s="699"/>
    </row>
    <row r="10" spans="1:10" ht="15">
      <c r="A10" s="699" t="s">
        <v>2954</v>
      </c>
      <c r="D10" s="700" t="s">
        <v>2955</v>
      </c>
    </row>
    <row r="11" spans="1:10" ht="15">
      <c r="A11" s="699"/>
      <c r="D11" s="1467"/>
    </row>
    <row r="12" spans="1:10" ht="15">
      <c r="A12" s="699" t="s">
        <v>2956</v>
      </c>
      <c r="D12" s="698" t="s">
        <v>623</v>
      </c>
      <c r="F12" s="1467" t="str">
        <f>Overview!$C$8</f>
        <v>Altoview Terrace</v>
      </c>
    </row>
    <row r="13" spans="1:10" ht="15">
      <c r="A13" s="699"/>
      <c r="D13" s="698" t="s">
        <v>2957</v>
      </c>
      <c r="F13" s="1467" t="str">
        <f>Overview!E8</f>
        <v>2018-045</v>
      </c>
    </row>
    <row r="14" spans="1:10" ht="15">
      <c r="A14" s="699"/>
      <c r="D14" s="698" t="s">
        <v>2958</v>
      </c>
      <c r="F14" s="1467" t="str">
        <f>Overview!H8</f>
        <v>Rome, Floyd</v>
      </c>
    </row>
    <row r="15" spans="1:10" ht="15">
      <c r="A15" s="699"/>
      <c r="D15" s="698" t="s">
        <v>3322</v>
      </c>
      <c r="F15" s="2225">
        <f>Overview!$C$25</f>
        <v>0</v>
      </c>
      <c r="G15" s="2225"/>
      <c r="H15" s="2225"/>
    </row>
    <row r="16" spans="1:10" ht="15">
      <c r="A16" s="699"/>
      <c r="D16" s="701" t="s">
        <v>2959</v>
      </c>
      <c r="F16" s="702">
        <f>Overview!C13</f>
        <v>66</v>
      </c>
      <c r="G16" s="703" t="s">
        <v>3323</v>
      </c>
      <c r="H16" s="1391">
        <f>Overview!E13</f>
        <v>66</v>
      </c>
    </row>
    <row r="17" spans="1:18" ht="15">
      <c r="A17" s="699"/>
      <c r="D17" s="701" t="s">
        <v>2922</v>
      </c>
      <c r="F17" s="702" t="str">
        <f>Overview!C14</f>
        <v>Family</v>
      </c>
    </row>
    <row r="18" spans="1:18" ht="15">
      <c r="A18" s="699"/>
      <c r="D18" s="701" t="s">
        <v>3327</v>
      </c>
      <c r="F18" s="1467" t="str">
        <f>Overview!H15</f>
        <v>Urban</v>
      </c>
    </row>
    <row r="19" spans="1:18" ht="15">
      <c r="A19" s="699"/>
      <c r="D19" s="701" t="s">
        <v>3324</v>
      </c>
      <c r="F19" s="1467" t="str">
        <f>Overview!E16</f>
        <v>No</v>
      </c>
    </row>
    <row r="20" spans="1:18" ht="15">
      <c r="A20" s="699"/>
      <c r="D20" s="701"/>
    </row>
    <row r="21" spans="1:18" ht="15">
      <c r="A21" s="704" t="s">
        <v>2960</v>
      </c>
    </row>
    <row r="22" spans="1:18" ht="111.75" customHeight="1">
      <c r="A22" s="2232" t="s">
        <v>3520</v>
      </c>
      <c r="B22" s="2232"/>
      <c r="C22" s="2232"/>
      <c r="D22" s="2232"/>
      <c r="E22" s="2232"/>
      <c r="F22" s="2232"/>
      <c r="G22" s="2232"/>
      <c r="H22" s="2232"/>
      <c r="I22" s="2232"/>
      <c r="J22" s="2232"/>
      <c r="L22" s="2240" t="s">
        <v>3332</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2961</v>
      </c>
    </row>
    <row r="27" spans="1:18" ht="14.25" customHeight="1">
      <c r="A27" s="2243" t="s">
        <v>2962</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2963</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2964</v>
      </c>
    </row>
    <row r="41" spans="1:10" ht="135" customHeight="1">
      <c r="A41" s="2242" t="s">
        <v>4293</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2965</v>
      </c>
    </row>
    <row r="44" spans="1:10" ht="33" customHeight="1">
      <c r="A44" s="2210" t="s">
        <v>4303</v>
      </c>
      <c r="B44" s="2211"/>
      <c r="C44" s="2211"/>
      <c r="D44" s="2211"/>
      <c r="E44" s="2211"/>
      <c r="F44" s="2211"/>
      <c r="G44" s="2211"/>
      <c r="H44" s="2211"/>
      <c r="I44" s="2211"/>
      <c r="J44" s="2210"/>
    </row>
    <row r="45" spans="1:10" ht="3" customHeight="1"/>
    <row r="46" spans="1:10" ht="72.75" customHeight="1">
      <c r="A46" s="2210" t="s">
        <v>4304</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4305</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4306</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3333</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4307</v>
      </c>
      <c r="B54" s="2229"/>
      <c r="C54" s="2229"/>
      <c r="D54" s="2229"/>
      <c r="E54" s="2229"/>
      <c r="F54" s="2229"/>
      <c r="G54" s="2229"/>
      <c r="H54" s="2229"/>
      <c r="I54" s="2229"/>
      <c r="J54" s="2229"/>
    </row>
    <row r="55" spans="1:17" ht="3" customHeight="1"/>
    <row r="56" spans="1:17" ht="73.5" customHeight="1">
      <c r="A56" s="2210" t="s">
        <v>4308</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2968</v>
      </c>
      <c r="L58" s="705" t="s">
        <v>3512</v>
      </c>
    </row>
    <row r="59" spans="1:17" ht="73.5" customHeight="1">
      <c r="A59" s="2232" t="s">
        <v>2969</v>
      </c>
      <c r="B59" s="2232"/>
      <c r="C59" s="2232"/>
      <c r="D59" s="2232"/>
      <c r="E59" s="2232"/>
      <c r="F59" s="2232"/>
      <c r="G59" s="2232"/>
      <c r="H59" s="2232"/>
      <c r="I59" s="2232"/>
      <c r="J59" s="2232"/>
      <c r="L59" s="706">
        <f>'Closing term sheet'!C133</f>
        <v>733980</v>
      </c>
      <c r="M59" s="707"/>
      <c r="N59" s="707"/>
      <c r="O59" s="707"/>
    </row>
    <row r="60" spans="1:17" ht="7.5" customHeight="1">
      <c r="A60" s="1457"/>
      <c r="B60" s="1457"/>
      <c r="C60" s="1457"/>
      <c r="D60" s="1457"/>
      <c r="E60" s="1457"/>
      <c r="F60" s="1457"/>
      <c r="G60" s="1457"/>
      <c r="H60" s="1457"/>
      <c r="I60" s="1457"/>
      <c r="J60" s="1457"/>
      <c r="L60" s="708" t="s">
        <v>3513</v>
      </c>
      <c r="M60" s="709" t="s">
        <v>3518</v>
      </c>
      <c r="N60" s="710" t="s">
        <v>3515</v>
      </c>
      <c r="O60" s="708" t="s">
        <v>3514</v>
      </c>
      <c r="P60" s="709" t="s">
        <v>3517</v>
      </c>
      <c r="Q60" s="710" t="s">
        <v>3516</v>
      </c>
    </row>
    <row r="61" spans="1:17" ht="78.75" customHeight="1">
      <c r="A61" s="2229" t="s">
        <v>3410</v>
      </c>
      <c r="B61" s="2229"/>
      <c r="C61" s="2229"/>
      <c r="D61" s="2229"/>
      <c r="E61" s="2229"/>
      <c r="F61" s="2229"/>
      <c r="G61" s="2229"/>
      <c r="H61" s="2229"/>
      <c r="I61" s="2229"/>
      <c r="J61" s="711"/>
      <c r="L61" s="712">
        <f>'Part III-Sources of Funds'!I49</f>
        <v>7979202</v>
      </c>
      <c r="M61" s="713">
        <f>'Part IV-A-Uses of Funds'!$J$175</f>
        <v>950000</v>
      </c>
      <c r="N61" s="714">
        <f>'Part IV-A-Uses of Funds'!N168</f>
        <v>0.84</v>
      </c>
      <c r="O61" s="712">
        <f>'Part III-Sources of Funds'!I50</f>
        <v>5319468</v>
      </c>
      <c r="P61" s="713">
        <f>M61</f>
        <v>950000</v>
      </c>
      <c r="Q61" s="714">
        <f>'Part IV-A-Uses of Funds'!Q168</f>
        <v>0.56000000000000005</v>
      </c>
    </row>
    <row r="62" spans="1:17" ht="18.75" customHeight="1">
      <c r="A62" s="715" t="s">
        <v>2970</v>
      </c>
    </row>
    <row r="63" spans="1:17" ht="159.75" customHeight="1">
      <c r="A63" s="2229" t="s">
        <v>4309</v>
      </c>
      <c r="B63" s="2229"/>
      <c r="C63" s="2229"/>
      <c r="D63" s="2229"/>
      <c r="E63" s="2229"/>
      <c r="F63" s="2229"/>
      <c r="G63" s="2229"/>
      <c r="H63" s="2229"/>
      <c r="I63" s="2229"/>
      <c r="J63" s="2229"/>
      <c r="L63" s="716" t="str">
        <f>'Part VII-Pro Forma'!K67</f>
        <v/>
      </c>
      <c r="M63" s="2233" t="s">
        <v>3519</v>
      </c>
      <c r="N63" s="2234"/>
    </row>
    <row r="64" spans="1:17" ht="6" customHeight="1">
      <c r="A64" s="704"/>
    </row>
    <row r="65" spans="1:10" ht="15">
      <c r="A65" s="704" t="s">
        <v>2971</v>
      </c>
    </row>
    <row r="66" spans="1:10" ht="66.75" customHeight="1">
      <c r="A66" s="2229" t="s">
        <v>2972</v>
      </c>
      <c r="B66" s="2229"/>
      <c r="C66" s="2229"/>
      <c r="D66" s="2229"/>
      <c r="E66" s="2229"/>
      <c r="F66" s="2229"/>
      <c r="G66" s="2229"/>
      <c r="H66" s="2229"/>
      <c r="I66" s="2229"/>
      <c r="J66" s="2229"/>
    </row>
    <row r="67" spans="1:10" ht="36" customHeight="1">
      <c r="A67" s="2229" t="s">
        <v>2973</v>
      </c>
      <c r="B67" s="2229"/>
      <c r="C67" s="2229"/>
      <c r="D67" s="2229"/>
      <c r="E67" s="2229"/>
      <c r="F67" s="2229"/>
      <c r="G67" s="2229"/>
      <c r="H67" s="2229"/>
      <c r="I67" s="2229"/>
      <c r="J67" s="2229"/>
    </row>
    <row r="68" spans="1:10" ht="6" customHeight="1">
      <c r="A68" s="704"/>
    </row>
    <row r="69" spans="1:10" ht="15">
      <c r="A69" s="704" t="s">
        <v>2974</v>
      </c>
    </row>
    <row r="70" spans="1:10" ht="105.75" customHeight="1">
      <c r="A70" s="2210" t="s">
        <v>2975</v>
      </c>
      <c r="B70" s="2210"/>
      <c r="C70" s="2210"/>
      <c r="D70" s="2210"/>
      <c r="E70" s="2210"/>
      <c r="F70" s="2210"/>
      <c r="G70" s="2210"/>
      <c r="H70" s="2210"/>
      <c r="I70" s="2210"/>
      <c r="J70" s="2210"/>
    </row>
    <row r="71" spans="1:10" ht="6" customHeight="1">
      <c r="A71" s="704"/>
    </row>
    <row r="72" spans="1:10" ht="15">
      <c r="A72" s="704" t="s">
        <v>2976</v>
      </c>
    </row>
    <row r="73" spans="1:10" ht="66" customHeight="1">
      <c r="A73" s="2210" t="s">
        <v>2977</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2978</v>
      </c>
      <c r="B75" s="703"/>
      <c r="C75" s="703"/>
      <c r="D75" s="1467"/>
      <c r="E75" s="703"/>
      <c r="F75" s="703"/>
      <c r="G75" s="703"/>
      <c r="H75" s="703"/>
      <c r="I75" s="703"/>
      <c r="J75" s="717"/>
    </row>
    <row r="76" spans="1:10" s="1464" customFormat="1" ht="63" customHeight="1">
      <c r="A76" s="2210" t="s">
        <v>4521</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2979</v>
      </c>
      <c r="B78" s="2237"/>
      <c r="C78" s="2237"/>
      <c r="D78" s="703"/>
      <c r="E78" s="703"/>
      <c r="F78" s="703"/>
      <c r="G78" s="703"/>
      <c r="H78" s="703"/>
      <c r="I78" s="703"/>
      <c r="J78" s="717"/>
    </row>
    <row r="79" spans="1:10" ht="41.25" customHeight="1">
      <c r="A79" s="2229" t="s">
        <v>4310</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2980</v>
      </c>
    </row>
    <row r="82" spans="1:15" ht="139.5" customHeight="1">
      <c r="A82" s="2229" t="s">
        <v>2981</v>
      </c>
      <c r="B82" s="2229"/>
      <c r="C82" s="2229"/>
      <c r="D82" s="2229"/>
      <c r="E82" s="2229"/>
      <c r="F82" s="2229"/>
      <c r="G82" s="2229"/>
      <c r="H82" s="2229"/>
      <c r="I82" s="2229"/>
      <c r="J82" s="2229"/>
      <c r="L82" s="2239" t="s">
        <v>2982</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2983</v>
      </c>
    </row>
    <row r="85" spans="1:15" ht="111" customHeight="1">
      <c r="A85" s="2229" t="s">
        <v>2984</v>
      </c>
      <c r="B85" s="2229"/>
      <c r="C85" s="2229"/>
      <c r="D85" s="2229"/>
      <c r="E85" s="2229"/>
      <c r="F85" s="2229"/>
      <c r="G85" s="2229"/>
      <c r="H85" s="2229"/>
      <c r="I85" s="2229"/>
      <c r="J85" s="2229"/>
      <c r="L85" s="2239" t="s">
        <v>2985</v>
      </c>
      <c r="M85" s="2239"/>
      <c r="N85" s="719" t="e">
        <f>'After-Tax Analysis'!G66</f>
        <v>#VALUE!</v>
      </c>
      <c r="O85" s="720" t="s">
        <v>2986</v>
      </c>
    </row>
    <row r="86" spans="1:15" ht="6" customHeight="1">
      <c r="A86" s="704"/>
    </row>
    <row r="87" spans="1:15" ht="15">
      <c r="A87" s="704" t="s">
        <v>2987</v>
      </c>
    </row>
    <row r="88" spans="1:15" ht="118.5" customHeight="1">
      <c r="A88" s="2210" t="s">
        <v>2988</v>
      </c>
      <c r="B88" s="2210"/>
      <c r="C88" s="2210"/>
      <c r="D88" s="2210"/>
      <c r="E88" s="2210"/>
      <c r="F88" s="2210"/>
      <c r="G88" s="2210"/>
      <c r="H88" s="2210"/>
      <c r="I88" s="2210"/>
      <c r="J88" s="2210"/>
    </row>
    <row r="89" spans="1:15" ht="20.25" customHeight="1">
      <c r="A89" s="2211" t="s">
        <v>2989</v>
      </c>
      <c r="B89" s="2211"/>
      <c r="C89" s="2211"/>
      <c r="D89" s="2210"/>
      <c r="E89" s="1457"/>
      <c r="F89" s="1457"/>
      <c r="G89" s="1457"/>
      <c r="H89" s="1457"/>
      <c r="I89" s="1457"/>
      <c r="J89" s="1457"/>
    </row>
    <row r="90" spans="1:15" ht="109.5" customHeight="1">
      <c r="A90" s="2227" t="s">
        <v>2990</v>
      </c>
      <c r="B90" s="2228"/>
      <c r="C90" s="2228"/>
      <c r="D90" s="2228"/>
      <c r="E90" s="2228"/>
      <c r="F90" s="2228"/>
      <c r="G90" s="2228"/>
      <c r="H90" s="2228"/>
      <c r="I90" s="2228"/>
      <c r="J90" s="2228"/>
    </row>
    <row r="91" spans="1:15" ht="11.25" customHeight="1">
      <c r="A91" s="704"/>
    </row>
    <row r="92" spans="1:15" ht="15">
      <c r="A92" s="704" t="s">
        <v>2991</v>
      </c>
    </row>
    <row r="93" spans="1:15" ht="122.25" customHeight="1">
      <c r="A93" s="2232" t="s">
        <v>2992</v>
      </c>
      <c r="B93" s="2232"/>
      <c r="C93" s="2232"/>
      <c r="D93" s="2232"/>
      <c r="E93" s="2232"/>
      <c r="F93" s="2232"/>
      <c r="G93" s="2232"/>
      <c r="H93" s="2232"/>
      <c r="I93" s="2232"/>
      <c r="J93" s="2232"/>
      <c r="L93" s="1395" t="str">
        <f>'Part VII-Pro Forma'!K67</f>
        <v/>
      </c>
      <c r="M93" s="2235" t="s">
        <v>2993</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2994</v>
      </c>
      <c r="B97" s="2211"/>
      <c r="C97" s="2211"/>
      <c r="D97" s="1457"/>
      <c r="E97" s="1457"/>
      <c r="F97" s="1457"/>
      <c r="G97" s="1457"/>
      <c r="H97" s="1457"/>
      <c r="I97" s="1457"/>
      <c r="J97" s="717"/>
    </row>
    <row r="98" spans="1:10" ht="37.5" customHeight="1">
      <c r="A98" s="2229" t="s">
        <v>2995</v>
      </c>
      <c r="B98" s="2229"/>
      <c r="C98" s="2229"/>
      <c r="D98" s="2229"/>
      <c r="E98" s="2229"/>
      <c r="F98" s="2229"/>
      <c r="G98" s="2229"/>
      <c r="H98" s="2229"/>
      <c r="I98" s="2229"/>
      <c r="J98" s="2229"/>
    </row>
    <row r="99" spans="1:10" ht="6" customHeight="1">
      <c r="A99" s="704"/>
    </row>
    <row r="100" spans="1:10" ht="15">
      <c r="A100" s="704" t="s">
        <v>2996</v>
      </c>
    </row>
    <row r="101" spans="1:10" ht="43.5" customHeight="1">
      <c r="A101" s="2210" t="s">
        <v>2997</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2998</v>
      </c>
    </row>
    <row r="105" spans="1:10">
      <c r="A105" s="2230" t="s">
        <v>2999</v>
      </c>
      <c r="B105" s="2230"/>
      <c r="C105" s="2230"/>
      <c r="D105" s="2230"/>
      <c r="E105" s="2230"/>
      <c r="F105" s="2230"/>
      <c r="G105" s="2230"/>
      <c r="H105" s="2230"/>
      <c r="I105" s="2230"/>
      <c r="J105" s="2230"/>
    </row>
    <row r="107" spans="1:10" ht="15" thickBot="1">
      <c r="A107" s="721"/>
      <c r="B107" s="698" t="s">
        <v>3000</v>
      </c>
    </row>
    <row r="110" spans="1:10" ht="15" thickBot="1">
      <c r="A110" s="721"/>
      <c r="B110" s="698" t="s">
        <v>3001</v>
      </c>
    </row>
    <row r="112" spans="1:10">
      <c r="A112" s="698" t="s">
        <v>3002</v>
      </c>
    </row>
    <row r="115" spans="1:10" ht="15" thickBot="1">
      <c r="A115" s="721"/>
      <c r="B115" s="721"/>
      <c r="C115" s="721"/>
      <c r="D115" s="721"/>
      <c r="E115" s="721"/>
      <c r="H115" s="721"/>
      <c r="I115" s="721"/>
      <c r="J115" s="721"/>
    </row>
    <row r="116" spans="1:10">
      <c r="A116" s="2226" t="s">
        <v>4311</v>
      </c>
      <c r="B116" s="2226"/>
      <c r="C116" s="2226"/>
      <c r="D116" s="2226"/>
      <c r="E116" s="2226"/>
      <c r="H116" s="2226" t="s">
        <v>3003</v>
      </c>
      <c r="I116" s="2226"/>
      <c r="J116" s="2226"/>
    </row>
    <row r="118" spans="1:10" ht="15" thickBot="1">
      <c r="A118" s="698" t="s">
        <v>3004</v>
      </c>
      <c r="B118" s="721"/>
      <c r="C118" s="721"/>
      <c r="H118" s="698" t="s">
        <v>3004</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42578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3065</v>
      </c>
      <c r="B1" s="783"/>
      <c r="C1" s="698" t="str">
        <f>Overview!C8</f>
        <v>Altoview Terrace</v>
      </c>
    </row>
    <row r="2" spans="1:15" ht="13.5" customHeight="1"/>
    <row r="3" spans="1:15" ht="13.5" customHeight="1">
      <c r="A3" s="699" t="s">
        <v>3066</v>
      </c>
      <c r="C3" s="698" t="s">
        <v>3067</v>
      </c>
      <c r="E3" s="784">
        <f>SUM('Part IV-A-Uses of Funds'!J149,'Part IV-A-Uses of Funds'!M149,'Part IV-A-Uses of Funds'!P149)</f>
        <v>12820003.35</v>
      </c>
      <c r="F3" s="1467" t="s">
        <v>3068</v>
      </c>
      <c r="H3" s="1440">
        <v>27.5</v>
      </c>
      <c r="I3" s="698" t="s">
        <v>2485</v>
      </c>
      <c r="K3" s="703" t="s">
        <v>3089</v>
      </c>
      <c r="M3" s="1467"/>
      <c r="O3" s="785"/>
    </row>
    <row r="4" spans="1:15" ht="13.5" customHeight="1">
      <c r="C4" s="698" t="s">
        <v>3577</v>
      </c>
      <c r="E4" s="784">
        <f>SUM('Part IV-A-Uses of Funds'!G85:H89)</f>
        <v>0</v>
      </c>
      <c r="F4" s="1467" t="s">
        <v>4523</v>
      </c>
      <c r="H4" s="699">
        <f>'Part III-Sources of Funds'!M37</f>
        <v>0</v>
      </c>
      <c r="I4" s="698" t="s">
        <v>2485</v>
      </c>
      <c r="K4" s="786" t="s">
        <v>3334</v>
      </c>
      <c r="M4" s="1467"/>
    </row>
    <row r="5" spans="1:15" ht="13.5" customHeight="1">
      <c r="C5" s="698" t="s">
        <v>3578</v>
      </c>
      <c r="E5" s="784">
        <f>SUM('Part IV-A-Uses of Funds'!G96:H102)</f>
        <v>145100</v>
      </c>
      <c r="F5" s="1467" t="s">
        <v>4522</v>
      </c>
      <c r="H5" s="1440">
        <v>15</v>
      </c>
      <c r="I5" s="698" t="s">
        <v>2485</v>
      </c>
      <c r="K5" s="785">
        <f>-E6</f>
        <v>-13298670</v>
      </c>
    </row>
    <row r="6" spans="1:15" ht="13.5" customHeight="1">
      <c r="C6" s="698" t="s">
        <v>3069</v>
      </c>
      <c r="E6" s="787">
        <f>'Part III-Sources of Funds'!$I$49+'Part III-Sources of Funds'!$I$50</f>
        <v>13298670</v>
      </c>
      <c r="F6" s="1467" t="s">
        <v>3070</v>
      </c>
      <c r="H6" s="788">
        <v>0.35</v>
      </c>
      <c r="K6" s="785" t="e">
        <f>C24</f>
        <v>#VALUE!</v>
      </c>
      <c r="M6" s="698" t="s">
        <v>3071</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3072</v>
      </c>
      <c r="O8" s="1401" t="e">
        <f>'Part VII-Pro Forma'!$K$67+'Part VII-Pro Forma'!$K$68+'Part VII-Pro Forma'!$K$69</f>
        <v>#VALUE!</v>
      </c>
    </row>
    <row r="9" spans="1:15" ht="13.5" customHeight="1">
      <c r="A9" s="698" t="s">
        <v>3073</v>
      </c>
      <c r="C9" s="792">
        <f>'Part VII-Pro Forma'!B30</f>
        <v>-0.24799999996321276</v>
      </c>
      <c r="D9" s="792">
        <f>'Part VII-Pro Forma'!C30</f>
        <v>0.17704000000958331</v>
      </c>
      <c r="E9" s="792">
        <f>'Part VII-Pro Forma'!D30</f>
        <v>41085.285280800003</v>
      </c>
      <c r="F9" s="792">
        <f>'Part VII-Pro Forma'!E30</f>
        <v>71065.619627415945</v>
      </c>
      <c r="G9" s="792">
        <f>'Part VII-Pro Forma'!F30</f>
        <v>69198.55912019439</v>
      </c>
      <c r="H9" s="792">
        <f>'Part VII-Pro Forma'!G30</f>
        <v>67194.313415835146</v>
      </c>
      <c r="I9" s="792">
        <f>'Part VII-Pro Forma'!H30</f>
        <v>65048.917090785864</v>
      </c>
      <c r="K9" s="785" t="e">
        <f>F24</f>
        <v>#VALUE!</v>
      </c>
      <c r="N9" s="793" t="s">
        <v>3075</v>
      </c>
    </row>
    <row r="10" spans="1:15" ht="13.5" customHeight="1">
      <c r="A10" s="698" t="s">
        <v>3074</v>
      </c>
      <c r="C10" s="1398"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3076</v>
      </c>
      <c r="O10" s="790"/>
    </row>
    <row r="11" spans="1:15" ht="13.5" customHeight="1">
      <c r="A11" s="698" t="s">
        <v>3074</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3074</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3078</v>
      </c>
      <c r="N12" s="795">
        <v>0.06</v>
      </c>
      <c r="O12" s="790">
        <f>N12*O6</f>
        <v>0</v>
      </c>
    </row>
    <row r="13" spans="1:15" ht="13.5" customHeight="1">
      <c r="A13" s="796" t="s">
        <v>3580</v>
      </c>
      <c r="B13" s="797"/>
      <c r="C13" s="1399">
        <f>'Part VII-Pro Forma'!B21</f>
        <v>-17180</v>
      </c>
      <c r="D13" s="1399">
        <f>'Part VII-Pro Forma'!C21</f>
        <v>-17695.400000000001</v>
      </c>
      <c r="E13" s="1399">
        <f>'Part VII-Pro Forma'!D21</f>
        <v>-18226.261999999999</v>
      </c>
      <c r="F13" s="1399">
        <f>'Part VII-Pro Forma'!E21</f>
        <v>-18773.049859999999</v>
      </c>
      <c r="G13" s="1399">
        <f>'Part VII-Pro Forma'!F21</f>
        <v>-19336.241355799997</v>
      </c>
      <c r="H13" s="1399">
        <f>'Part VII-Pro Forma'!G21</f>
        <v>-19916.328596473999</v>
      </c>
      <c r="I13" s="1399">
        <f>'Part VII-Pro Forma'!H21</f>
        <v>-20513.818454368218</v>
      </c>
      <c r="K13" s="785" t="e">
        <f>C44</f>
        <v>#VALUE!</v>
      </c>
      <c r="O13" s="790"/>
    </row>
    <row r="14" spans="1:15" ht="13.5" customHeight="1">
      <c r="A14" s="796" t="s">
        <v>3581</v>
      </c>
      <c r="B14" s="797"/>
      <c r="C14" s="1399">
        <f>'Part VII-Pro Forma'!B29</f>
        <v>-75907</v>
      </c>
      <c r="D14" s="1399">
        <f>'Part VII-Pro Forma'!C29</f>
        <v>-74415</v>
      </c>
      <c r="E14" s="1399">
        <f>'Part VII-Pro Forma'!D29</f>
        <v>-31718</v>
      </c>
      <c r="F14" s="1399">
        <f>'Part VII-Pro Forma'!E29</f>
        <v>0</v>
      </c>
      <c r="G14" s="1399">
        <f>'Part VII-Pro Forma'!F29</f>
        <v>0</v>
      </c>
      <c r="H14" s="1399">
        <f>'Part VII-Pro Forma'!G29</f>
        <v>0</v>
      </c>
      <c r="I14" s="1399">
        <f>'Part VII-Pro Forma'!H29</f>
        <v>0</v>
      </c>
      <c r="K14" s="785" t="e">
        <f>D44</f>
        <v>#VALUE!</v>
      </c>
      <c r="M14" s="698" t="s">
        <v>3081</v>
      </c>
      <c r="O14" s="790" t="e">
        <f>O6-O8-O12</f>
        <v>#VALUE!</v>
      </c>
    </row>
    <row r="15" spans="1:15" ht="13.5" customHeight="1">
      <c r="A15" s="798" t="s">
        <v>3077</v>
      </c>
      <c r="C15" s="799">
        <f t="shared" ref="C15:I15" si="0">$E$3/$H$3</f>
        <v>466181.94</v>
      </c>
      <c r="D15" s="799">
        <f t="shared" si="0"/>
        <v>466181.94</v>
      </c>
      <c r="E15" s="799">
        <f t="shared" si="0"/>
        <v>466181.94</v>
      </c>
      <c r="F15" s="799">
        <f t="shared" si="0"/>
        <v>466181.94</v>
      </c>
      <c r="G15" s="799">
        <f t="shared" si="0"/>
        <v>466181.94</v>
      </c>
      <c r="H15" s="799">
        <f t="shared" si="0"/>
        <v>466181.94</v>
      </c>
      <c r="I15" s="799">
        <f t="shared" si="0"/>
        <v>466181.94</v>
      </c>
      <c r="K15" s="785" t="e">
        <f>E44</f>
        <v>#VALUE!</v>
      </c>
      <c r="O15" s="790"/>
    </row>
    <row r="16" spans="1:15" ht="13.5" customHeight="1">
      <c r="A16" s="798" t="s">
        <v>3079</v>
      </c>
      <c r="C16" s="799">
        <f>IF(C$8&lt;=$H$4,($E$4/$H$4),0)+IF(C$8&lt;=$H$5,($E$5/$H$5),0)</f>
        <v>9673.3333333333339</v>
      </c>
      <c r="D16" s="799">
        <f t="shared" ref="D16:I16" si="1">IF(D$8&lt;=$H$4,($E$4/$H$4),0)+IF(D$8&lt;=$H$5,($E$5/$H$5),0)</f>
        <v>9673.3333333333339</v>
      </c>
      <c r="E16" s="799">
        <f t="shared" si="1"/>
        <v>9673.3333333333339</v>
      </c>
      <c r="F16" s="799">
        <f t="shared" si="1"/>
        <v>9673.3333333333339</v>
      </c>
      <c r="G16" s="799">
        <f t="shared" si="1"/>
        <v>9673.3333333333339</v>
      </c>
      <c r="H16" s="799">
        <f t="shared" si="1"/>
        <v>9673.3333333333339</v>
      </c>
      <c r="I16" s="799">
        <f t="shared" si="1"/>
        <v>9673.3333333333339</v>
      </c>
      <c r="K16" s="785" t="e">
        <f>F44</f>
        <v>#VALUE!</v>
      </c>
      <c r="M16" s="698" t="s">
        <v>3083</v>
      </c>
      <c r="O16" s="790">
        <f>E3</f>
        <v>12820003.35</v>
      </c>
    </row>
    <row r="17" spans="1:17" ht="13.5" customHeight="1">
      <c r="A17" s="798" t="s">
        <v>3080</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3077</v>
      </c>
      <c r="O17" s="790">
        <f>20*(E3/H3)</f>
        <v>9323638.8000000007</v>
      </c>
    </row>
    <row r="18" spans="1:17" ht="13.5" customHeight="1">
      <c r="A18" s="798" t="s">
        <v>3082</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3087</v>
      </c>
      <c r="O19" s="790">
        <f>O16-O17</f>
        <v>3496364.5499999989</v>
      </c>
    </row>
    <row r="20" spans="1:17" ht="13.5" customHeight="1">
      <c r="A20" s="698" t="s">
        <v>3084</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3085</v>
      </c>
      <c r="C21" s="800">
        <f>'Part IV-A-Uses of Funds'!$J$175</f>
        <v>950000</v>
      </c>
      <c r="D21" s="800">
        <f t="shared" ref="D21:I21" si="5">C21</f>
        <v>950000</v>
      </c>
      <c r="E21" s="800">
        <f t="shared" si="5"/>
        <v>950000</v>
      </c>
      <c r="F21" s="800">
        <f t="shared" si="5"/>
        <v>950000</v>
      </c>
      <c r="G21" s="800">
        <f t="shared" si="5"/>
        <v>950000</v>
      </c>
      <c r="H21" s="800">
        <f t="shared" si="5"/>
        <v>950000</v>
      </c>
      <c r="I21" s="800">
        <f t="shared" si="5"/>
        <v>950000</v>
      </c>
      <c r="J21" s="698" t="s">
        <v>245</v>
      </c>
      <c r="K21" s="785" t="e">
        <f>D64</f>
        <v>#VALUE!</v>
      </c>
      <c r="O21" s="790"/>
    </row>
    <row r="22" spans="1:17" ht="13.5" customHeight="1">
      <c r="A22" s="698" t="s">
        <v>3086</v>
      </c>
      <c r="C22" s="800">
        <f>C21</f>
        <v>950000</v>
      </c>
      <c r="D22" s="800">
        <f t="shared" ref="D22:I22" si="6">D21</f>
        <v>950000</v>
      </c>
      <c r="E22" s="800">
        <f t="shared" si="6"/>
        <v>950000</v>
      </c>
      <c r="F22" s="800">
        <f t="shared" si="6"/>
        <v>950000</v>
      </c>
      <c r="G22" s="800">
        <f t="shared" si="6"/>
        <v>950000</v>
      </c>
      <c r="H22" s="800">
        <f t="shared" si="6"/>
        <v>950000</v>
      </c>
      <c r="I22" s="800">
        <f t="shared" si="6"/>
        <v>950000</v>
      </c>
      <c r="K22" s="785" t="e">
        <f>E64</f>
        <v>#VALUE!</v>
      </c>
      <c r="M22" s="698" t="s">
        <v>3071</v>
      </c>
      <c r="O22" s="790">
        <f>O6</f>
        <v>0</v>
      </c>
    </row>
    <row r="23" spans="1:17" ht="13.5" customHeight="1">
      <c r="A23" s="698" t="s">
        <v>3088</v>
      </c>
      <c r="C23" s="792">
        <v>0</v>
      </c>
      <c r="D23" s="792">
        <v>0</v>
      </c>
      <c r="E23" s="792">
        <v>0</v>
      </c>
      <c r="F23" s="792">
        <v>0</v>
      </c>
      <c r="G23" s="792">
        <v>0</v>
      </c>
      <c r="H23" s="792">
        <v>0</v>
      </c>
      <c r="I23" s="792">
        <v>0</v>
      </c>
      <c r="K23" s="785" t="e">
        <f>F64</f>
        <v>#VALUE!</v>
      </c>
      <c r="M23" s="698" t="s">
        <v>3090</v>
      </c>
      <c r="O23" s="790">
        <f>O19</f>
        <v>3496364.5499999989</v>
      </c>
    </row>
    <row r="24" spans="1:17" ht="13.5" customHeight="1">
      <c r="A24" s="698" t="s">
        <v>3089</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3091</v>
      </c>
      <c r="O25" s="790">
        <f>O22-O23</f>
        <v>-3496364.5499999989</v>
      </c>
      <c r="Q25" s="801"/>
    </row>
    <row r="26" spans="1:17" ht="13.5" customHeight="1">
      <c r="A26" s="802"/>
      <c r="B26" s="802"/>
      <c r="C26" s="802"/>
      <c r="D26" s="802"/>
      <c r="E26" s="802"/>
      <c r="F26" s="802"/>
      <c r="G26" s="802"/>
      <c r="H26" s="802"/>
      <c r="I26" s="802"/>
      <c r="K26" s="785"/>
      <c r="O26" s="790"/>
    </row>
    <row r="27" spans="1:17" ht="13.5" customHeight="1">
      <c r="K27" s="785"/>
      <c r="M27" s="698" t="s">
        <v>3092</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3073</v>
      </c>
      <c r="C29" s="792">
        <f>'Part VII-Pro Forma'!I30</f>
        <v>62756.223761434449</v>
      </c>
      <c r="D29" s="792">
        <f>'Part VII-Pro Forma'!J30</f>
        <v>60308.900015361265</v>
      </c>
      <c r="E29" s="792">
        <f>'Part VII-Pro Forma'!K30</f>
        <v>57702.419147727414</v>
      </c>
      <c r="F29" s="792">
        <f>'Part VII-Pro Forma'!B60</f>
        <v>54929.054696702777</v>
      </c>
      <c r="G29" s="792">
        <f>'Part VII-Pro Forma'!C60</f>
        <v>51982.873771638013</v>
      </c>
      <c r="H29" s="792">
        <f>'Part VII-Pro Forma'!D60</f>
        <v>48856.730167502399</v>
      </c>
      <c r="I29" s="792">
        <f>'Part VII-Pro Forma'!E60</f>
        <v>45542.257258896774</v>
      </c>
      <c r="N29" s="803"/>
      <c r="O29" s="803"/>
    </row>
    <row r="30" spans="1:17" ht="13.5" customHeight="1">
      <c r="A30" s="698" t="s">
        <v>3074</v>
      </c>
      <c r="C30" s="794" t="e">
        <f>'Part VII-Pro Forma'!H37-'Part VII-Pro Forma'!I37</f>
        <v>#VALUE!</v>
      </c>
      <c r="D30" s="794" t="e">
        <f>'Part VII-Pro Forma'!I37-'Part VII-Pro Forma'!J37</f>
        <v>#VALUE!</v>
      </c>
      <c r="E30" s="794" t="e">
        <f>'Part VII-Pro Forma'!J37-'Part VII-Pro Forma'!K37</f>
        <v>#VALUE!</v>
      </c>
      <c r="F30" s="1396" t="e">
        <f>'Part VII-Pro Forma'!K37-'Part VII-Pro Forma'!B67</f>
        <v>#VALUE!</v>
      </c>
      <c r="G30" s="1396" t="e">
        <f>'Part VII-Pro Forma'!B67-'Part VII-Pro Forma'!C67</f>
        <v>#VALUE!</v>
      </c>
      <c r="H30" s="1396" t="e">
        <f>'Part VII-Pro Forma'!C67-'Part VII-Pro Forma'!D67</f>
        <v>#VALUE!</v>
      </c>
      <c r="I30" s="1396" t="e">
        <f>'Part VII-Pro Forma'!D67-'Part VII-Pro Forma'!E67</f>
        <v>#VALUE!</v>
      </c>
    </row>
    <row r="31" spans="1:17" ht="13.5" customHeight="1">
      <c r="A31" s="698" t="s">
        <v>3074</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3093</v>
      </c>
      <c r="O31" s="792">
        <f>O25*O27</f>
        <v>-699272.9099999998</v>
      </c>
    </row>
    <row r="32" spans="1:17" ht="13.5" customHeight="1">
      <c r="A32" s="698" t="s">
        <v>3074</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3580</v>
      </c>
      <c r="B33" s="797"/>
      <c r="C33" s="1399">
        <f>'Part VII-Pro Forma'!I21</f>
        <v>-21129.233007999268</v>
      </c>
      <c r="D33" s="1399">
        <f>'Part VII-Pro Forma'!J21</f>
        <v>-21763.109998239241</v>
      </c>
      <c r="E33" s="1399">
        <f>'Part VII-Pro Forma'!K21</f>
        <v>-22416.003298186421</v>
      </c>
      <c r="F33" s="1399">
        <f>'Part VII-Pro Forma'!B51</f>
        <v>-23088.483397132011</v>
      </c>
      <c r="G33" s="1399">
        <f>'Part VII-Pro Forma'!C51</f>
        <v>-23781.137899045974</v>
      </c>
      <c r="H33" s="1399">
        <f>'Part VII-Pro Forma'!D51</f>
        <v>-24494.572036017347</v>
      </c>
      <c r="I33" s="1399">
        <f>'Part VII-Pro Forma'!E51</f>
        <v>-25229.40919709787</v>
      </c>
      <c r="K33" s="698" t="s">
        <v>245</v>
      </c>
      <c r="M33" s="698" t="s">
        <v>3094</v>
      </c>
      <c r="O33" s="792" t="e">
        <f>O14-O31</f>
        <v>#VALUE!</v>
      </c>
    </row>
    <row r="34" spans="1:15" ht="13.5" customHeight="1">
      <c r="A34" s="796" t="s">
        <v>3581</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3077</v>
      </c>
      <c r="C35" s="799">
        <f t="shared" ref="C35:I35" si="8">$E$3/$H$3</f>
        <v>466181.94</v>
      </c>
      <c r="D35" s="799">
        <f t="shared" si="8"/>
        <v>466181.94</v>
      </c>
      <c r="E35" s="799">
        <f t="shared" si="8"/>
        <v>466181.94</v>
      </c>
      <c r="F35" s="799">
        <f t="shared" si="8"/>
        <v>466181.94</v>
      </c>
      <c r="G35" s="799">
        <f t="shared" si="8"/>
        <v>466181.94</v>
      </c>
      <c r="H35" s="799">
        <f t="shared" si="8"/>
        <v>466181.94</v>
      </c>
      <c r="I35" s="799">
        <f t="shared" si="8"/>
        <v>466181.94</v>
      </c>
    </row>
    <row r="36" spans="1:15" ht="13.5" customHeight="1">
      <c r="A36" s="798" t="s">
        <v>3079</v>
      </c>
      <c r="C36" s="792">
        <f>IF(C$28&lt;=$H$4,($E$4/$H$4),0)+IF(C$28&lt;=$H$5,($E$5/$H$5),0)</f>
        <v>9673.3333333333339</v>
      </c>
      <c r="D36" s="792">
        <f t="shared" ref="D36:I36" si="9">IF(D$28&lt;=$H$4,($E$4/$H$4),0)+IF(D$28&lt;=$H$5,($E$5/$H$5),0)</f>
        <v>9673.3333333333339</v>
      </c>
      <c r="E36" s="792">
        <f t="shared" si="9"/>
        <v>9673.3333333333339</v>
      </c>
      <c r="F36" s="792">
        <f t="shared" si="9"/>
        <v>9673.3333333333339</v>
      </c>
      <c r="G36" s="792">
        <f t="shared" si="9"/>
        <v>9673.3333333333339</v>
      </c>
      <c r="H36" s="792">
        <f t="shared" si="9"/>
        <v>9673.3333333333339</v>
      </c>
      <c r="I36" s="792">
        <f t="shared" si="9"/>
        <v>9673.3333333333339</v>
      </c>
    </row>
    <row r="37" spans="1:15" ht="13.5" customHeight="1">
      <c r="A37" s="798" t="s">
        <v>3080</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3082</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3084</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3085</v>
      </c>
      <c r="C41" s="800">
        <f>C21</f>
        <v>950000</v>
      </c>
      <c r="D41" s="800">
        <f>C41</f>
        <v>950000</v>
      </c>
      <c r="E41" s="800">
        <f>D41</f>
        <v>950000</v>
      </c>
      <c r="F41" s="800">
        <v>0</v>
      </c>
      <c r="G41" s="800">
        <v>0</v>
      </c>
      <c r="H41" s="800">
        <v>0</v>
      </c>
      <c r="I41" s="800">
        <v>0</v>
      </c>
    </row>
    <row r="42" spans="1:15" ht="13.5" customHeight="1">
      <c r="A42" s="698" t="s">
        <v>3086</v>
      </c>
      <c r="C42" s="800">
        <f>C22</f>
        <v>950000</v>
      </c>
      <c r="D42" s="800">
        <f>C42</f>
        <v>950000</v>
      </c>
      <c r="E42" s="800">
        <f>D42</f>
        <v>950000</v>
      </c>
      <c r="F42" s="800">
        <v>0</v>
      </c>
      <c r="G42" s="800">
        <v>0</v>
      </c>
      <c r="H42" s="800">
        <v>0</v>
      </c>
      <c r="I42" s="800">
        <v>0</v>
      </c>
    </row>
    <row r="43" spans="1:15" ht="13.5" customHeight="1">
      <c r="A43" s="698" t="s">
        <v>3088</v>
      </c>
      <c r="C43" s="794">
        <v>0</v>
      </c>
      <c r="D43" s="794">
        <v>0</v>
      </c>
      <c r="E43" s="794">
        <v>0</v>
      </c>
      <c r="F43" s="794">
        <v>0</v>
      </c>
      <c r="G43" s="794">
        <v>0</v>
      </c>
      <c r="H43" s="794">
        <v>0</v>
      </c>
      <c r="I43" s="794">
        <v>0</v>
      </c>
    </row>
    <row r="44" spans="1:15" ht="13.5" customHeight="1">
      <c r="A44" s="698" t="s">
        <v>3089</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3073</v>
      </c>
      <c r="C49" s="792">
        <f>'Part VII-Pro Forma'!F60</f>
        <v>42032.860666760411</v>
      </c>
      <c r="D49" s="792">
        <f>'Part VII-Pro Forma'!G57</f>
        <v>0</v>
      </c>
      <c r="E49" s="792">
        <f>'Part VII-Pro Forma'!H57</f>
        <v>0</v>
      </c>
      <c r="F49" s="792">
        <f>'Part VII-Pro Forma'!I57</f>
        <v>0</v>
      </c>
      <c r="G49" s="792">
        <f>'Part VII-Pro Forma'!J57</f>
        <v>0</v>
      </c>
      <c r="H49" s="792">
        <f>'Part VII-Pro Forma'!K57</f>
        <v>0</v>
      </c>
    </row>
    <row r="50" spans="1:10" ht="13.5" customHeight="1">
      <c r="A50" s="698" t="s">
        <v>3074</v>
      </c>
      <c r="C50" s="1397" t="e">
        <f>'Part VII-Pro Forma'!E67-'Part VII-Pro Forma'!F67</f>
        <v>#VALUE!</v>
      </c>
      <c r="D50" s="1397" t="e">
        <f>'Part VII-Pro Forma'!F67-'Part VII-Pro Forma'!G67</f>
        <v>#VALUE!</v>
      </c>
      <c r="E50" s="1397" t="e">
        <f>'Part VII-Pro Forma'!G67-'Part VII-Pro Forma'!H67</f>
        <v>#VALUE!</v>
      </c>
      <c r="F50" s="1397" t="e">
        <f>'Part VII-Pro Forma'!H67-'Part VII-Pro Forma'!I67</f>
        <v>#VALUE!</v>
      </c>
      <c r="G50" s="1397" t="e">
        <f>'Part VII-Pro Forma'!I67-'Part VII-Pro Forma'!J67</f>
        <v>#VALUE!</v>
      </c>
      <c r="H50" s="1397" t="e">
        <f>'Part VII-Pro Forma'!J67-'Part VII-Pro Forma'!K67</f>
        <v>#VALUE!</v>
      </c>
    </row>
    <row r="51" spans="1:10" ht="13.5" customHeight="1">
      <c r="A51" s="698" t="s">
        <v>3074</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3074</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3580</v>
      </c>
      <c r="B53" s="797"/>
      <c r="C53" s="1399">
        <f>'Part VII-Pro Forma'!F51</f>
        <v>-25986.291473010806</v>
      </c>
      <c r="D53" s="1399">
        <f>'Part VII-Pro Forma'!G51</f>
        <v>-26765.880217201135</v>
      </c>
      <c r="E53" s="1399">
        <f>'Part VII-Pro Forma'!H51</f>
        <v>-27568.856623717162</v>
      </c>
      <c r="F53" s="1399">
        <f>'Part VII-Pro Forma'!I51</f>
        <v>-28395.922322428676</v>
      </c>
      <c r="G53" s="1399">
        <f>'Part VII-Pro Forma'!J51</f>
        <v>-29247.799992101536</v>
      </c>
      <c r="H53" s="1399">
        <f>'Part VII-Pro Forma'!K51</f>
        <v>-30125.233991864581</v>
      </c>
    </row>
    <row r="54" spans="1:10" ht="13.5" customHeight="1">
      <c r="A54" s="796" t="s">
        <v>3581</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3077</v>
      </c>
      <c r="C55" s="799">
        <f t="shared" ref="C55:H55" si="14">$E$3/$H$3</f>
        <v>466181.94</v>
      </c>
      <c r="D55" s="799">
        <f t="shared" si="14"/>
        <v>466181.94</v>
      </c>
      <c r="E55" s="799">
        <f t="shared" si="14"/>
        <v>466181.94</v>
      </c>
      <c r="F55" s="799">
        <f t="shared" si="14"/>
        <v>466181.94</v>
      </c>
      <c r="G55" s="799">
        <f t="shared" si="14"/>
        <v>466181.94</v>
      </c>
      <c r="H55" s="799">
        <f t="shared" si="14"/>
        <v>466181.94</v>
      </c>
    </row>
    <row r="56" spans="1:10" ht="13.5" customHeight="1">
      <c r="A56" s="798" t="s">
        <v>3079</v>
      </c>
      <c r="C56" s="792">
        <f t="shared" ref="C56:H56" si="15">IF(C$48&lt;=$H$4,($E$4/$H$4),0)+IF(C$48&lt;=$H$5,($E$5/$H$5),0)</f>
        <v>9673.3333333333339</v>
      </c>
      <c r="D56" s="792">
        <f t="shared" si="15"/>
        <v>0</v>
      </c>
      <c r="E56" s="792">
        <f t="shared" si="15"/>
        <v>0</v>
      </c>
      <c r="F56" s="792">
        <f t="shared" si="15"/>
        <v>0</v>
      </c>
      <c r="G56" s="792">
        <f t="shared" si="15"/>
        <v>0</v>
      </c>
      <c r="H56" s="792">
        <f t="shared" si="15"/>
        <v>0</v>
      </c>
    </row>
    <row r="57" spans="1:10" ht="13.5" customHeight="1">
      <c r="A57" s="798" t="s">
        <v>3080</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3082</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3084</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3085</v>
      </c>
      <c r="C61" s="799">
        <v>0</v>
      </c>
      <c r="D61" s="799">
        <v>0</v>
      </c>
      <c r="E61" s="799">
        <v>0</v>
      </c>
      <c r="F61" s="799">
        <v>0</v>
      </c>
      <c r="G61" s="799">
        <v>0</v>
      </c>
      <c r="H61" s="792">
        <v>0</v>
      </c>
    </row>
    <row r="62" spans="1:10">
      <c r="A62" s="698" t="s">
        <v>3086</v>
      </c>
      <c r="C62" s="799">
        <v>0</v>
      </c>
      <c r="D62" s="792">
        <v>0</v>
      </c>
      <c r="E62" s="792">
        <v>0</v>
      </c>
      <c r="F62" s="792">
        <v>0</v>
      </c>
      <c r="G62" s="792">
        <v>0</v>
      </c>
      <c r="H62" s="792">
        <v>0</v>
      </c>
    </row>
    <row r="63" spans="1:10">
      <c r="A63" s="698" t="s">
        <v>3088</v>
      </c>
      <c r="C63" s="792">
        <v>0</v>
      </c>
      <c r="D63" s="792">
        <v>0</v>
      </c>
      <c r="E63" s="792">
        <v>0</v>
      </c>
      <c r="F63" s="792">
        <v>0</v>
      </c>
      <c r="G63" s="792">
        <v>0</v>
      </c>
      <c r="H63" s="792" t="e">
        <f>O33</f>
        <v>#VALUE!</v>
      </c>
    </row>
    <row r="64" spans="1:10">
      <c r="A64" s="698" t="s">
        <v>3089</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3095</v>
      </c>
      <c r="G66" s="2244" t="e">
        <f>IRR(K5:K25)</f>
        <v>#VALUE!</v>
      </c>
      <c r="H66" s="2245"/>
      <c r="I66" s="805"/>
      <c r="J66" s="8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60" zoomScaleNormal="160" zoomScalePageLayoutView="160" workbookViewId="0">
      <selection activeCell="A2"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4.1" customHeight="1">
      <c r="A1" s="1640" t="str">
        <f>CONCATENATE("PART ONE - PROJECT INFORMATION"," - ",$O$6," ",$F$34,", ",'Part I-Project Information'!F38,", ",'Part I-Project Information'!J39," County")</f>
        <v>PART ONE - PROJECT INFORMATION - 2018-045 Altoview Terrace, Rome, Floyd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4519</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3897</v>
      </c>
    </row>
    <row r="6" spans="1:16" s="305" customFormat="1" ht="12" customHeight="1" thickBot="1">
      <c r="B6" s="1649" t="s">
        <v>4552</v>
      </c>
      <c r="C6" s="1649"/>
      <c r="D6" s="1649"/>
      <c r="E6" s="1433"/>
      <c r="F6" s="308"/>
      <c r="G6" s="279" t="s">
        <v>446</v>
      </c>
      <c r="H6" s="1578"/>
      <c r="I6" s="1578"/>
      <c r="J6" s="1578"/>
      <c r="O6" s="3586" t="s">
        <v>4761</v>
      </c>
      <c r="P6" s="3587"/>
    </row>
    <row r="7" spans="1:16" s="305" customFormat="1" ht="12" customHeight="1">
      <c r="B7" s="1649"/>
      <c r="C7" s="1649"/>
      <c r="D7" s="1649"/>
      <c r="E7" s="1433"/>
      <c r="F7" s="547"/>
      <c r="G7" s="179" t="s">
        <v>3338</v>
      </c>
      <c r="H7" s="1578"/>
      <c r="I7" s="1578"/>
      <c r="J7" s="1578"/>
    </row>
    <row r="8" spans="1:16" s="305" customFormat="1" ht="6" customHeight="1">
      <c r="A8" s="501"/>
      <c r="B8" s="307"/>
      <c r="C8" s="307"/>
      <c r="D8" s="307"/>
      <c r="E8" s="1578"/>
      <c r="H8" s="1578"/>
      <c r="I8" s="1578"/>
      <c r="M8" s="1578"/>
    </row>
    <row r="9" spans="1:16" s="305" customFormat="1" ht="13.35" customHeight="1">
      <c r="A9" s="307" t="s">
        <v>622</v>
      </c>
      <c r="B9" s="307" t="s">
        <v>2391</v>
      </c>
      <c r="D9" s="280"/>
      <c r="E9" s="309"/>
      <c r="F9" s="310" t="s">
        <v>3825</v>
      </c>
      <c r="I9" s="1643">
        <f>'Part IV-A-Uses of Funds'!$J$175</f>
        <v>950000</v>
      </c>
      <c r="J9" s="1644"/>
      <c r="L9" s="305" t="s">
        <v>3826</v>
      </c>
      <c r="O9" s="1645">
        <f>'Part III-Sources of Funds'!$E$11</f>
        <v>0</v>
      </c>
      <c r="P9" s="1646"/>
    </row>
    <row r="10" spans="1:16" s="305" customFormat="1" ht="6" customHeight="1">
      <c r="A10" s="307"/>
      <c r="B10" s="307"/>
      <c r="D10" s="280"/>
      <c r="E10" s="309"/>
      <c r="F10" s="309"/>
      <c r="I10" s="311"/>
      <c r="N10" s="312"/>
    </row>
    <row r="11" spans="1:16" s="305" customFormat="1" ht="13.35" customHeight="1">
      <c r="A11" s="311" t="s">
        <v>748</v>
      </c>
      <c r="B11" s="307" t="s">
        <v>2056</v>
      </c>
      <c r="F11" s="3588" t="s">
        <v>4554</v>
      </c>
      <c r="G11" s="3589"/>
      <c r="H11" s="3590"/>
      <c r="I11" s="3591" t="s">
        <v>3740</v>
      </c>
      <c r="J11" s="526" t="s">
        <v>3988</v>
      </c>
      <c r="K11" s="316"/>
      <c r="L11" s="1578"/>
      <c r="O11" s="3415" t="s">
        <v>4618</v>
      </c>
      <c r="P11" s="3416"/>
    </row>
    <row r="12" spans="1:16" s="305" customFormat="1" ht="12.75" customHeight="1">
      <c r="A12" s="501"/>
      <c r="B12" s="1648" t="s">
        <v>4520</v>
      </c>
      <c r="C12" s="1648"/>
      <c r="D12" s="1648"/>
      <c r="H12" s="1578"/>
      <c r="J12" s="527" t="s">
        <v>2750</v>
      </c>
      <c r="K12" s="277"/>
      <c r="M12" s="1578"/>
      <c r="O12" s="3592" t="s">
        <v>4619</v>
      </c>
      <c r="P12" s="3593"/>
    </row>
    <row r="13" spans="1:16" s="305" customFormat="1" ht="3" customHeight="1">
      <c r="A13" s="501"/>
      <c r="B13" s="1648"/>
      <c r="C13" s="1648"/>
      <c r="D13" s="1648"/>
      <c r="H13" s="1578"/>
      <c r="J13" s="527"/>
      <c r="K13" s="277"/>
      <c r="M13" s="1578"/>
    </row>
    <row r="14" spans="1:16" s="305" customFormat="1" ht="12.75" customHeight="1">
      <c r="A14" s="501"/>
      <c r="B14" s="1648"/>
      <c r="C14" s="1648"/>
      <c r="D14" s="1648"/>
      <c r="F14" s="3594" t="s">
        <v>3012</v>
      </c>
      <c r="G14" s="1566" t="s">
        <v>3823</v>
      </c>
    </row>
    <row r="15" spans="1:16" s="305" customFormat="1" ht="12.75" customHeight="1">
      <c r="A15" s="501"/>
      <c r="B15" s="305" t="s">
        <v>3898</v>
      </c>
      <c r="D15" s="316"/>
      <c r="F15" s="3534"/>
      <c r="G15" s="3535"/>
      <c r="H15" s="3535"/>
      <c r="I15" s="3535"/>
      <c r="J15" s="3535"/>
      <c r="K15" s="3536"/>
      <c r="L15" s="305" t="s">
        <v>3822</v>
      </c>
      <c r="O15" s="3522"/>
      <c r="P15" s="3552"/>
    </row>
    <row r="16" spans="1:16" s="305" customFormat="1" ht="12.75" customHeight="1">
      <c r="A16" s="501"/>
      <c r="B16" s="305" t="s">
        <v>3824</v>
      </c>
      <c r="F16" s="3594" t="s">
        <v>3012</v>
      </c>
      <c r="G16" s="305" t="s">
        <v>3881</v>
      </c>
      <c r="H16" s="1578"/>
      <c r="I16" s="179"/>
      <c r="J16" s="527"/>
      <c r="M16" s="3193" t="s">
        <v>2909</v>
      </c>
      <c r="N16" s="3194"/>
      <c r="O16" s="3194"/>
      <c r="P16" s="3195"/>
    </row>
    <row r="17" spans="1:16" s="305" customFormat="1" ht="6" customHeight="1">
      <c r="I17" s="280"/>
      <c r="J17" s="280"/>
      <c r="K17" s="280"/>
      <c r="L17" s="280"/>
      <c r="M17" s="280"/>
      <c r="N17" s="280"/>
      <c r="O17" s="280"/>
      <c r="P17" s="280"/>
    </row>
    <row r="18" spans="1:16" s="305" customFormat="1" ht="13.3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35" customHeight="1">
      <c r="B20" s="305" t="s">
        <v>3908</v>
      </c>
      <c r="F20" s="3595" t="s">
        <v>4655</v>
      </c>
      <c r="G20" s="3596"/>
      <c r="H20" s="3597"/>
      <c r="I20" s="305" t="s">
        <v>1810</v>
      </c>
      <c r="J20" s="3595" t="s">
        <v>4555</v>
      </c>
      <c r="K20" s="3596"/>
      <c r="L20" s="3597"/>
      <c r="M20" s="340" t="s">
        <v>1996</v>
      </c>
      <c r="N20" s="3522" t="s">
        <v>2490</v>
      </c>
      <c r="O20" s="3551"/>
      <c r="P20" s="3552"/>
    </row>
    <row r="21" spans="1:16" s="305" customFormat="1" ht="13.35" customHeight="1">
      <c r="B21" s="310" t="s">
        <v>1997</v>
      </c>
      <c r="F21" s="3598" t="s">
        <v>4556</v>
      </c>
      <c r="G21" s="3599"/>
      <c r="H21" s="3599"/>
      <c r="I21" s="3600"/>
      <c r="J21" s="3600"/>
      <c r="K21" s="3600"/>
      <c r="L21" s="3601"/>
      <c r="M21" s="1638" t="s">
        <v>3907</v>
      </c>
      <c r="N21" s="1639"/>
      <c r="O21" s="1639"/>
      <c r="P21" s="1639"/>
    </row>
    <row r="22" spans="1:16" s="305" customFormat="1" ht="13.35" customHeight="1">
      <c r="B22" s="310" t="s">
        <v>624</v>
      </c>
      <c r="F22" s="3598" t="s">
        <v>1217</v>
      </c>
      <c r="G22" s="3599"/>
      <c r="H22" s="3602"/>
      <c r="I22" s="310" t="s">
        <v>1812</v>
      </c>
      <c r="J22" s="3603" t="s">
        <v>856</v>
      </c>
      <c r="M22" s="1638"/>
      <c r="N22" s="1638"/>
      <c r="O22" s="1638"/>
      <c r="P22" s="1638"/>
    </row>
    <row r="23" spans="1:16" s="305" customFormat="1" ht="13.35" customHeight="1">
      <c r="B23" s="1566" t="s">
        <v>2245</v>
      </c>
      <c r="F23" s="3604">
        <v>303052119</v>
      </c>
      <c r="G23" s="3605"/>
      <c r="H23" s="3606"/>
      <c r="I23" s="310" t="s">
        <v>1733</v>
      </c>
      <c r="J23" s="3607">
        <v>4042504093</v>
      </c>
      <c r="K23" s="3608"/>
      <c r="L23" s="1568" t="s">
        <v>1732</v>
      </c>
      <c r="M23" s="3449">
        <v>703</v>
      </c>
      <c r="N23" s="1566" t="s">
        <v>1734</v>
      </c>
      <c r="O23" s="3609">
        <v>4042731892</v>
      </c>
      <c r="P23" s="3608"/>
    </row>
    <row r="24" spans="1:16" s="305" customFormat="1" ht="13.35" customHeight="1">
      <c r="B24" s="1566" t="s">
        <v>2000</v>
      </c>
      <c r="F24" s="3610" t="s">
        <v>4557</v>
      </c>
      <c r="G24" s="3611"/>
      <c r="H24" s="3611"/>
      <c r="I24" s="3551"/>
      <c r="J24" s="3611"/>
      <c r="K24" s="3612"/>
      <c r="N24" s="1566" t="s">
        <v>1995</v>
      </c>
      <c r="O24" s="3613">
        <v>4042731892</v>
      </c>
      <c r="P24" s="3614"/>
    </row>
    <row r="25" spans="1:16" s="305" customFormat="1" ht="13.5" customHeight="1">
      <c r="A25" s="501"/>
      <c r="B25" s="307" t="s">
        <v>4538</v>
      </c>
      <c r="C25" s="314"/>
      <c r="D25" s="1577"/>
      <c r="E25" s="1577"/>
      <c r="F25" s="1577"/>
      <c r="H25" s="1578"/>
      <c r="I25" s="1577"/>
      <c r="J25" s="314"/>
      <c r="K25" s="1577"/>
      <c r="P25" s="315"/>
    </row>
    <row r="26" spans="1:16" s="305" customFormat="1" ht="13.35" customHeight="1">
      <c r="B26" s="305" t="s">
        <v>3908</v>
      </c>
      <c r="F26" s="3595" t="s">
        <v>735</v>
      </c>
      <c r="G26" s="3596"/>
      <c r="H26" s="3597"/>
      <c r="I26" s="305" t="s">
        <v>1810</v>
      </c>
      <c r="J26" s="3615" t="s">
        <v>4558</v>
      </c>
      <c r="K26" s="3616"/>
      <c r="L26" s="3617"/>
      <c r="M26" s="340" t="s">
        <v>1996</v>
      </c>
      <c r="N26" s="3618" t="s">
        <v>4559</v>
      </c>
      <c r="O26" s="3619"/>
      <c r="P26" s="3620"/>
    </row>
    <row r="27" spans="1:16" s="305" customFormat="1" ht="13.35" customHeight="1">
      <c r="B27" s="310" t="s">
        <v>1997</v>
      </c>
      <c r="F27" s="3598" t="s">
        <v>4560</v>
      </c>
      <c r="G27" s="3599"/>
      <c r="H27" s="3599"/>
      <c r="I27" s="3600"/>
      <c r="J27" s="3599"/>
      <c r="K27" s="3600"/>
      <c r="L27" s="3601"/>
      <c r="M27" s="1638" t="s">
        <v>3907</v>
      </c>
      <c r="N27" s="1639"/>
      <c r="O27" s="1639"/>
      <c r="P27" s="1639"/>
    </row>
    <row r="28" spans="1:16" s="305" customFormat="1" ht="13.35" customHeight="1">
      <c r="B28" s="310" t="s">
        <v>624</v>
      </c>
      <c r="F28" s="3598" t="s">
        <v>2284</v>
      </c>
      <c r="G28" s="3599"/>
      <c r="H28" s="3602"/>
      <c r="I28" s="310" t="s">
        <v>1812</v>
      </c>
      <c r="J28" s="3603" t="s">
        <v>856</v>
      </c>
      <c r="M28" s="1638"/>
      <c r="N28" s="1638"/>
      <c r="O28" s="1638"/>
      <c r="P28" s="1638"/>
    </row>
    <row r="29" spans="1:16" s="305" customFormat="1" ht="13.35" customHeight="1">
      <c r="B29" s="1566" t="s">
        <v>2245</v>
      </c>
      <c r="F29" s="3604">
        <v>301610000</v>
      </c>
      <c r="G29" s="3605"/>
      <c r="H29" s="3606"/>
      <c r="I29" s="310" t="s">
        <v>1733</v>
      </c>
      <c r="J29" s="3607">
        <v>7063787926</v>
      </c>
      <c r="K29" s="3608"/>
      <c r="L29" s="1568" t="s">
        <v>1732</v>
      </c>
      <c r="M29" s="3449"/>
      <c r="N29" s="1566" t="s">
        <v>1734</v>
      </c>
      <c r="O29" s="3609">
        <v>7063783940</v>
      </c>
      <c r="P29" s="3608"/>
    </row>
    <row r="30" spans="1:16" s="305" customFormat="1" ht="13.35" customHeight="1">
      <c r="B30" s="1566" t="s">
        <v>2000</v>
      </c>
      <c r="F30" s="3610" t="s">
        <v>4561</v>
      </c>
      <c r="G30" s="3611"/>
      <c r="H30" s="3611"/>
      <c r="I30" s="3551"/>
      <c r="J30" s="3611"/>
      <c r="K30" s="3612"/>
      <c r="N30" s="1566" t="s">
        <v>1995</v>
      </c>
      <c r="O30" s="3613">
        <v>7062524635</v>
      </c>
      <c r="P30" s="3614"/>
    </row>
    <row r="31" spans="1:16" s="305" customFormat="1" ht="6" customHeight="1">
      <c r="A31" s="501"/>
      <c r="B31" s="501"/>
      <c r="C31" s="314"/>
      <c r="D31" s="1577"/>
      <c r="E31" s="1577"/>
      <c r="F31" s="1577"/>
      <c r="H31" s="1578"/>
      <c r="I31" s="1577"/>
      <c r="J31" s="314"/>
      <c r="K31" s="1577"/>
      <c r="P31" s="315"/>
    </row>
    <row r="32" spans="1:16" s="305" customFormat="1" ht="13.3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35" customHeight="1">
      <c r="A34" s="307"/>
      <c r="B34" s="305" t="s">
        <v>623</v>
      </c>
      <c r="D34" s="316"/>
      <c r="F34" s="3621" t="s">
        <v>4562</v>
      </c>
      <c r="G34" s="3622"/>
      <c r="H34" s="3622"/>
      <c r="I34" s="3622"/>
      <c r="J34" s="3622"/>
      <c r="K34" s="3623"/>
      <c r="L34" s="1566" t="s">
        <v>2208</v>
      </c>
      <c r="O34" s="3595" t="s">
        <v>3012</v>
      </c>
      <c r="P34" s="3597"/>
    </row>
    <row r="35" spans="1:16" s="305" customFormat="1" ht="13.35" customHeight="1">
      <c r="A35" s="317"/>
      <c r="B35" s="305" t="s">
        <v>2716</v>
      </c>
      <c r="D35" s="318"/>
      <c r="F35" s="3624" t="s">
        <v>4671</v>
      </c>
      <c r="G35" s="3625"/>
      <c r="H35" s="3625"/>
      <c r="I35" s="3625"/>
      <c r="J35" s="3625"/>
      <c r="K35" s="3626"/>
      <c r="L35" s="305" t="s">
        <v>3706</v>
      </c>
      <c r="O35" s="3627"/>
      <c r="P35" s="3602"/>
    </row>
    <row r="36" spans="1:16" s="305" customFormat="1" ht="13.35" customHeight="1">
      <c r="A36" s="317"/>
      <c r="B36" s="305" t="s">
        <v>2751</v>
      </c>
      <c r="D36" s="318"/>
      <c r="F36" s="3627" t="s">
        <v>4563</v>
      </c>
      <c r="G36" s="3599"/>
      <c r="H36" s="3599"/>
      <c r="I36" s="3600"/>
      <c r="J36" s="3599"/>
      <c r="K36" s="3602"/>
      <c r="L36" s="1566" t="s">
        <v>2066</v>
      </c>
      <c r="N36" s="3449" t="s">
        <v>3009</v>
      </c>
      <c r="O36" s="1578" t="s">
        <v>3705</v>
      </c>
      <c r="P36" s="3434">
        <v>2</v>
      </c>
    </row>
    <row r="37" spans="1:16" s="305" customFormat="1" ht="13.35" customHeight="1">
      <c r="A37" s="317"/>
      <c r="B37" s="305" t="s">
        <v>3762</v>
      </c>
      <c r="D37" s="318"/>
      <c r="F37" s="305" t="s">
        <v>3742</v>
      </c>
      <c r="G37" s="3628">
        <v>34.235446199999998</v>
      </c>
      <c r="H37" s="3629"/>
      <c r="I37" s="1568" t="s">
        <v>3743</v>
      </c>
      <c r="J37" s="3628">
        <v>-85.166060000000002</v>
      </c>
      <c r="K37" s="3629"/>
      <c r="L37" s="1566" t="s">
        <v>2299</v>
      </c>
      <c r="O37" s="3630">
        <v>5.4710000000000001</v>
      </c>
      <c r="P37" s="3631"/>
    </row>
    <row r="38" spans="1:16" s="305" customFormat="1" ht="13.35" customHeight="1">
      <c r="A38" s="501"/>
      <c r="B38" s="305" t="s">
        <v>624</v>
      </c>
      <c r="F38" s="3595" t="s">
        <v>2284</v>
      </c>
      <c r="G38" s="3632"/>
      <c r="H38" s="3633"/>
      <c r="I38" s="322" t="s">
        <v>2717</v>
      </c>
      <c r="J38" s="3604">
        <v>301610000</v>
      </c>
      <c r="K38" s="3606"/>
      <c r="L38" s="380" t="str">
        <f>IF(AND(NOT(F34=""),NOT(F38="Select from list"),J38=""),"Enter Zip!","")</f>
        <v/>
      </c>
      <c r="M38" s="320" t="s">
        <v>2924</v>
      </c>
      <c r="O38" s="3634" t="s">
        <v>4565</v>
      </c>
      <c r="P38" s="3635"/>
    </row>
    <row r="39" spans="1:16" s="305" customFormat="1" ht="13.35" customHeight="1">
      <c r="A39" s="501"/>
      <c r="B39" s="1577" t="s">
        <v>3590</v>
      </c>
      <c r="D39" s="1577"/>
      <c r="F39" s="3627" t="s">
        <v>4564</v>
      </c>
      <c r="G39" s="3600"/>
      <c r="H39" s="3601"/>
      <c r="I39" s="319" t="s">
        <v>625</v>
      </c>
      <c r="J39" s="3636" t="str">
        <f>IF($F$38="","",VLOOKUP($F$38,'DCA Underwriting Assumptions'!$T$155:$U$785,2,FALSE))</f>
        <v>Floyd</v>
      </c>
      <c r="K39" s="3637"/>
      <c r="M39" s="1566" t="s">
        <v>455</v>
      </c>
      <c r="N39" s="3638" t="s">
        <v>3009</v>
      </c>
      <c r="O39" s="1578" t="s">
        <v>456</v>
      </c>
      <c r="P39" s="3639" t="s">
        <v>3012</v>
      </c>
    </row>
    <row r="40" spans="1:16" s="305" customFormat="1" ht="13.35" customHeight="1">
      <c r="A40" s="501"/>
      <c r="B40" s="307"/>
      <c r="C40" s="305" t="s">
        <v>1570</v>
      </c>
      <c r="F40" s="3640" t="s">
        <v>3012</v>
      </c>
      <c r="G40" s="1634" t="s">
        <v>2798</v>
      </c>
      <c r="H40" s="1635"/>
      <c r="I40" s="533" t="str">
        <f>IF($J$39="","",IF(VLOOKUP($J$39,'DCA Underwriting Assumptions'!G155:M314,7,FALSE)="Rural","Yes",IF(VLOOKUP($J$39,'DCA Underwriting Assumptions'!G155:M314,7,FALSE)="Urban","No","")))</f>
        <v>No</v>
      </c>
      <c r="J40" s="1568" t="s">
        <v>2818</v>
      </c>
      <c r="K40" s="1568" t="str">
        <f>IF(OR(F40="Yes",I40="Yes"),"Rural","Urban")</f>
        <v>Urban</v>
      </c>
      <c r="M40" s="1566" t="s">
        <v>2628</v>
      </c>
      <c r="N40" s="436" t="str">
        <f>VLOOKUP($J$39,'DCA Underwriting Assumptions'!$G$155:$J$314,4)</f>
        <v>MSA</v>
      </c>
      <c r="O40" s="3641" t="str">
        <f>IF($F$38="","",VLOOKUP($J$39,'DCA Underwriting Assumptions'!$G$155:$L$314,3,FALSE))</f>
        <v>Rome</v>
      </c>
      <c r="P40" s="3642"/>
    </row>
    <row r="41" spans="1:16" s="305" customFormat="1" ht="6" customHeight="1">
      <c r="A41" s="501"/>
      <c r="B41" s="307"/>
      <c r="C41" s="307"/>
      <c r="I41" s="310"/>
      <c r="J41" s="1577"/>
      <c r="L41" s="1587"/>
      <c r="M41" s="1587"/>
      <c r="N41" s="1587"/>
      <c r="O41" s="1587"/>
      <c r="P41" s="1587"/>
    </row>
    <row r="42" spans="1:16" s="305" customFormat="1" ht="13.35" customHeight="1">
      <c r="A42" s="501"/>
      <c r="C42" s="305" t="s">
        <v>2760</v>
      </c>
      <c r="F42" s="1636" t="s">
        <v>2779</v>
      </c>
      <c r="G42" s="1636"/>
      <c r="H42" s="1637" t="s">
        <v>744</v>
      </c>
      <c r="I42" s="1637"/>
      <c r="J42" s="1637" t="s">
        <v>745</v>
      </c>
      <c r="K42" s="1637"/>
      <c r="L42" s="520" t="s">
        <v>2718</v>
      </c>
    </row>
    <row r="43" spans="1:16" s="305" customFormat="1" ht="13.35" customHeight="1">
      <c r="A43" s="501"/>
      <c r="B43" s="305" t="s">
        <v>2778</v>
      </c>
      <c r="D43" s="307"/>
      <c r="F43" s="3643">
        <v>14</v>
      </c>
      <c r="G43" s="3644"/>
      <c r="H43" s="3643">
        <v>52</v>
      </c>
      <c r="I43" s="3644"/>
      <c r="J43" s="3643">
        <v>13</v>
      </c>
      <c r="K43" s="3644"/>
      <c r="L43" s="516" t="s">
        <v>1295</v>
      </c>
      <c r="N43" s="1632" t="s">
        <v>1296</v>
      </c>
      <c r="O43" s="1632"/>
      <c r="P43" s="1632"/>
    </row>
    <row r="44" spans="1:16" s="305" customFormat="1" ht="12.75" customHeight="1">
      <c r="A44" s="501"/>
      <c r="B44" s="310" t="s">
        <v>746</v>
      </c>
      <c r="F44" s="3645"/>
      <c r="G44" s="3646"/>
      <c r="H44" s="3645"/>
      <c r="I44" s="3646"/>
      <c r="J44" s="3645"/>
      <c r="K44" s="3646"/>
      <c r="L44" s="516" t="s">
        <v>2777</v>
      </c>
      <c r="N44" s="1633" t="s">
        <v>2776</v>
      </c>
      <c r="O44" s="1633"/>
    </row>
    <row r="45" spans="1:16" s="305" customFormat="1" ht="3" customHeight="1">
      <c r="A45" s="501"/>
      <c r="I45" s="1587"/>
      <c r="J45" s="1587"/>
      <c r="K45" s="1587"/>
      <c r="L45" s="1577"/>
      <c r="M45" s="1577"/>
      <c r="N45" s="1577"/>
      <c r="O45" s="1577"/>
      <c r="P45" s="1577"/>
    </row>
    <row r="46" spans="1:16" s="305" customFormat="1" ht="13.35" customHeight="1">
      <c r="A46" s="501"/>
      <c r="B46" s="307" t="s">
        <v>643</v>
      </c>
      <c r="F46" s="3647" t="s">
        <v>4566</v>
      </c>
      <c r="G46" s="3648"/>
      <c r="H46" s="3648"/>
      <c r="I46" s="3649"/>
      <c r="J46" s="3648"/>
      <c r="K46" s="3650"/>
      <c r="L46" s="930" t="s">
        <v>2722</v>
      </c>
      <c r="M46" s="3522" t="s">
        <v>4567</v>
      </c>
      <c r="N46" s="3551"/>
      <c r="O46" s="3551"/>
      <c r="P46" s="3552"/>
    </row>
    <row r="47" spans="1:16" s="305" customFormat="1" ht="13.35" customHeight="1">
      <c r="A47" s="501"/>
      <c r="B47" s="305" t="s">
        <v>644</v>
      </c>
      <c r="F47" s="3651" t="s">
        <v>4568</v>
      </c>
      <c r="G47" s="3652"/>
      <c r="H47" s="3653"/>
      <c r="I47" s="1569" t="s">
        <v>1996</v>
      </c>
      <c r="J47" s="3624" t="s">
        <v>4569</v>
      </c>
      <c r="K47" s="3626"/>
      <c r="L47" s="930"/>
    </row>
    <row r="48" spans="1:16" s="305" customFormat="1" ht="13.35" customHeight="1">
      <c r="A48" s="501"/>
      <c r="B48" s="305" t="s">
        <v>1997</v>
      </c>
      <c r="F48" s="3654" t="s">
        <v>4570</v>
      </c>
      <c r="G48" s="3655"/>
      <c r="H48" s="3656"/>
      <c r="I48" s="3648"/>
      <c r="J48" s="3655"/>
      <c r="K48" s="3657"/>
      <c r="L48" s="341" t="s">
        <v>624</v>
      </c>
      <c r="M48" s="3658" t="s">
        <v>2284</v>
      </c>
      <c r="N48" s="3659"/>
      <c r="O48" s="3659"/>
      <c r="P48" s="3660"/>
    </row>
    <row r="49" spans="1:19" s="305" customFormat="1" ht="13.35" customHeight="1">
      <c r="A49" s="501"/>
      <c r="B49" s="1566" t="s">
        <v>2245</v>
      </c>
      <c r="F49" s="3661">
        <v>301610000</v>
      </c>
      <c r="G49" s="3662"/>
      <c r="H49" s="1568" t="s">
        <v>1998</v>
      </c>
      <c r="I49" s="3663">
        <v>7062954006</v>
      </c>
      <c r="J49" s="3664"/>
      <c r="K49" s="3665"/>
      <c r="L49" s="310" t="s">
        <v>1813</v>
      </c>
      <c r="M49" s="3666" t="s">
        <v>4571</v>
      </c>
      <c r="N49" s="3667"/>
      <c r="O49" s="3667"/>
      <c r="P49" s="3668"/>
    </row>
    <row r="50" spans="1:19" s="305" customFormat="1" ht="6" customHeight="1">
      <c r="A50" s="501"/>
      <c r="B50" s="501"/>
      <c r="C50" s="321"/>
      <c r="D50" s="322"/>
      <c r="E50" s="322"/>
      <c r="F50" s="1578"/>
      <c r="G50" s="1578"/>
      <c r="H50" s="1578"/>
      <c r="I50" s="1578"/>
      <c r="J50" s="322"/>
      <c r="K50" s="1578"/>
      <c r="L50" s="1578"/>
      <c r="N50" s="1577"/>
      <c r="O50" s="1577"/>
      <c r="P50" s="315"/>
    </row>
    <row r="51" spans="1:19" s="305" customFormat="1" ht="6" customHeight="1">
      <c r="A51" s="501"/>
      <c r="B51" s="501"/>
      <c r="C51" s="321"/>
      <c r="D51" s="322"/>
      <c r="E51" s="322"/>
      <c r="F51" s="1578"/>
      <c r="G51" s="1578"/>
      <c r="H51" s="1578"/>
      <c r="I51" s="1578"/>
      <c r="J51" s="322"/>
      <c r="K51" s="1578"/>
      <c r="L51" s="1578"/>
      <c r="N51" s="1577"/>
      <c r="O51" s="1577"/>
      <c r="P51" s="315"/>
    </row>
    <row r="52" spans="1:19" s="305" customFormat="1" ht="12" customHeight="1">
      <c r="A52" s="311" t="s">
        <v>1807</v>
      </c>
      <c r="B52" s="307" t="s">
        <v>1487</v>
      </c>
      <c r="F52" s="323"/>
      <c r="I52" s="1566"/>
      <c r="J52" s="1577"/>
      <c r="K52" s="1577"/>
      <c r="L52" s="1577"/>
      <c r="M52" s="1577"/>
    </row>
    <row r="53" spans="1:19" s="305" customFormat="1" ht="1.5" customHeight="1">
      <c r="A53" s="501"/>
      <c r="B53" s="307"/>
      <c r="C53" s="307"/>
      <c r="I53" s="1566"/>
      <c r="J53" s="1577"/>
      <c r="K53" s="1577"/>
      <c r="L53" s="1577"/>
      <c r="M53" s="1577"/>
      <c r="N53" s="1577"/>
      <c r="O53" s="1577"/>
      <c r="P53" s="1577"/>
      <c r="Q53" s="1577"/>
    </row>
    <row r="54" spans="1:19" s="305" customFormat="1">
      <c r="A54" s="501"/>
      <c r="B54" s="501" t="s">
        <v>1999</v>
      </c>
      <c r="C54" s="307" t="s">
        <v>725</v>
      </c>
      <c r="I54" s="1577"/>
      <c r="J54" s="1577"/>
      <c r="K54" s="517"/>
      <c r="L54" s="1577"/>
      <c r="M54" s="519"/>
      <c r="N54" s="519"/>
      <c r="O54" s="519"/>
      <c r="P54" s="519"/>
      <c r="Q54" s="1578"/>
    </row>
    <row r="55" spans="1:19" ht="13.35" customHeight="1">
      <c r="B55" s="501"/>
      <c r="C55" s="305" t="s">
        <v>2311</v>
      </c>
      <c r="D55" s="305"/>
      <c r="E55" s="305"/>
      <c r="H55" s="1170">
        <f>'Part VI-Revenues &amp; Expenses'!$O$74</f>
        <v>66</v>
      </c>
      <c r="K55" s="310" t="s">
        <v>3697</v>
      </c>
      <c r="L55" s="305"/>
      <c r="M55" s="991" t="s">
        <v>3696</v>
      </c>
      <c r="N55" s="325">
        <f>'Part VI-Revenues &amp; Expenses'!$O$81</f>
        <v>0</v>
      </c>
      <c r="O55" s="992" t="s">
        <v>3377</v>
      </c>
      <c r="P55" s="325">
        <f>'Part VI-Revenues &amp; Expenses'!$O$82</f>
        <v>0</v>
      </c>
      <c r="Q55" s="1578"/>
    </row>
    <row r="56" spans="1:19" s="305" customFormat="1">
      <c r="A56" s="501"/>
      <c r="B56" s="501"/>
      <c r="C56" s="326" t="s">
        <v>349</v>
      </c>
      <c r="H56" s="1171">
        <f>'Part VI-Revenues &amp; Expenses'!$O$80</f>
        <v>0</v>
      </c>
      <c r="K56" s="326" t="s">
        <v>368</v>
      </c>
      <c r="P56" s="325">
        <f>'Part VI-Revenues &amp; Expenses'!$O$84</f>
        <v>0</v>
      </c>
    </row>
    <row r="57" spans="1:19" s="305" customFormat="1" ht="13.35" customHeight="1">
      <c r="B57" s="501"/>
      <c r="C57" s="310" t="s">
        <v>348</v>
      </c>
      <c r="D57" s="1577"/>
      <c r="H57" s="1172">
        <f>'Part VI-Revenues &amp; Expenses'!$O$77</f>
        <v>0</v>
      </c>
      <c r="I57" s="502" t="s">
        <v>2929</v>
      </c>
      <c r="K57" s="305" t="s">
        <v>350</v>
      </c>
      <c r="P57" s="3669"/>
      <c r="Q57" s="1578"/>
    </row>
    <row r="58" spans="1:19" s="305" customFormat="1" ht="3.6" customHeight="1">
      <c r="A58" s="501"/>
      <c r="P58" s="1577"/>
    </row>
    <row r="59" spans="1:19" s="305" customFormat="1">
      <c r="A59" s="501"/>
      <c r="B59" s="501" t="s">
        <v>2001</v>
      </c>
      <c r="C59" s="307" t="s">
        <v>2312</v>
      </c>
      <c r="H59" s="3670" t="s">
        <v>3012</v>
      </c>
      <c r="K59" s="1577"/>
      <c r="L59" s="1577"/>
      <c r="M59" s="1577"/>
      <c r="N59" s="1577"/>
      <c r="O59" s="519"/>
      <c r="P59" s="517"/>
      <c r="Q59" s="1577"/>
    </row>
    <row r="60" spans="1:19" s="305" customFormat="1" ht="3" customHeight="1">
      <c r="A60" s="501"/>
      <c r="I60" s="1577"/>
      <c r="J60" s="517"/>
      <c r="K60" s="518"/>
      <c r="L60" s="517"/>
      <c r="M60" s="518"/>
      <c r="N60" s="518"/>
      <c r="O60" s="518"/>
      <c r="P60" s="518"/>
      <c r="Q60" s="1577"/>
    </row>
    <row r="61" spans="1:19" s="305" customFormat="1" ht="13.35" customHeight="1">
      <c r="A61" s="501"/>
      <c r="B61" s="317" t="s">
        <v>757</v>
      </c>
      <c r="C61" s="316" t="s">
        <v>2292</v>
      </c>
      <c r="D61" s="1577"/>
      <c r="I61" s="1579" t="s">
        <v>3586</v>
      </c>
      <c r="J61" s="317" t="s">
        <v>2131</v>
      </c>
      <c r="K61" s="327" t="s">
        <v>2318</v>
      </c>
      <c r="M61" s="1577"/>
      <c r="N61" s="1577"/>
      <c r="O61" s="1577"/>
      <c r="P61" s="1578"/>
      <c r="Q61" s="1578"/>
      <c r="R61" s="1578"/>
      <c r="S61" s="1577"/>
    </row>
    <row r="62" spans="1:19" s="305" customFormat="1" ht="13.35" customHeight="1">
      <c r="A62" s="501"/>
      <c r="B62" s="1567"/>
      <c r="C62" s="314" t="s">
        <v>2293</v>
      </c>
      <c r="D62" s="1577"/>
      <c r="E62" s="1577"/>
      <c r="H62" s="679">
        <f>SUM(H63:H64)</f>
        <v>66</v>
      </c>
      <c r="I62" s="679">
        <f>SUM(I63:I64)</f>
        <v>66</v>
      </c>
      <c r="J62" s="501"/>
      <c r="K62" s="314" t="s">
        <v>2790</v>
      </c>
      <c r="M62" s="1577"/>
      <c r="N62" s="1577"/>
      <c r="O62" s="1577"/>
      <c r="P62" s="897">
        <f>'Part VI-Revenues &amp; Expenses'!$O$115</f>
        <v>78428</v>
      </c>
    </row>
    <row r="63" spans="1:19" s="305" customFormat="1" ht="13.35" customHeight="1">
      <c r="A63" s="501"/>
      <c r="B63" s="324"/>
      <c r="D63" s="329" t="s">
        <v>387</v>
      </c>
      <c r="E63" s="1577"/>
      <c r="H63" s="897">
        <f>'Part VI-Revenues &amp; Expenses'!$O$57</f>
        <v>19</v>
      </c>
      <c r="I63" s="897">
        <f>'Part VI-Revenues &amp; Expenses'!$O$65</f>
        <v>19</v>
      </c>
      <c r="K63" s="314" t="s">
        <v>2791</v>
      </c>
      <c r="M63" s="1577"/>
      <c r="N63" s="1577"/>
      <c r="O63" s="1577"/>
      <c r="P63" s="1173">
        <f>'Part VI-Revenues &amp; Expenses'!$O$116</f>
        <v>0</v>
      </c>
    </row>
    <row r="64" spans="1:19" s="305" customFormat="1" ht="13.35" customHeight="1">
      <c r="A64" s="501"/>
      <c r="D64" s="329" t="s">
        <v>1835</v>
      </c>
      <c r="E64" s="329"/>
      <c r="H64" s="898">
        <f>'Part VI-Revenues &amp; Expenses'!$O$56</f>
        <v>47</v>
      </c>
      <c r="I64" s="898">
        <f>'Part VI-Revenues &amp; Expenses'!$O$64</f>
        <v>47</v>
      </c>
      <c r="K64" s="314" t="s">
        <v>2792</v>
      </c>
      <c r="M64" s="1577"/>
      <c r="N64" s="1577"/>
      <c r="O64" s="1577"/>
      <c r="P64" s="897">
        <f>P62+P63</f>
        <v>78428</v>
      </c>
    </row>
    <row r="65" spans="1:16" s="305" customFormat="1" ht="13.35" customHeight="1">
      <c r="A65" s="501"/>
      <c r="C65" s="314" t="s">
        <v>255</v>
      </c>
      <c r="D65" s="1577"/>
      <c r="E65" s="1577"/>
      <c r="H65" s="328">
        <f>'Part VI-Revenues &amp; Expenses'!$O$59</f>
        <v>0</v>
      </c>
      <c r="J65" s="501"/>
      <c r="K65" s="314" t="s">
        <v>2793</v>
      </c>
      <c r="M65" s="1577"/>
      <c r="N65" s="1577"/>
      <c r="O65" s="1577"/>
      <c r="P65" s="898">
        <f>'Part VI-Revenues &amp; Expenses'!$O$118</f>
        <v>0</v>
      </c>
    </row>
    <row r="66" spans="1:16" s="305" customFormat="1" ht="13.35" customHeight="1">
      <c r="A66" s="501"/>
      <c r="C66" s="314" t="s">
        <v>2423</v>
      </c>
      <c r="D66" s="1577"/>
      <c r="E66" s="1577"/>
      <c r="H66" s="897">
        <f>H62+H65</f>
        <v>66</v>
      </c>
      <c r="J66" s="501"/>
      <c r="K66" s="314" t="s">
        <v>1432</v>
      </c>
      <c r="M66" s="1577"/>
      <c r="N66" s="1577"/>
      <c r="O66" s="1577"/>
      <c r="P66" s="328">
        <f>+P64+P65</f>
        <v>78428</v>
      </c>
    </row>
    <row r="67" spans="1:16" s="305" customFormat="1" ht="13.35" customHeight="1">
      <c r="A67" s="501"/>
      <c r="C67" s="314" t="s">
        <v>2424</v>
      </c>
      <c r="D67" s="1577"/>
      <c r="E67" s="1577"/>
      <c r="H67" s="898">
        <f>'Part VI-Revenues &amp; Expenses'!$O$61</f>
        <v>0</v>
      </c>
      <c r="J67" s="501"/>
    </row>
    <row r="68" spans="1:16" s="305" customFormat="1" ht="13.35" customHeight="1">
      <c r="A68" s="501"/>
      <c r="C68" s="314" t="s">
        <v>1806</v>
      </c>
      <c r="D68" s="1577"/>
      <c r="E68" s="1577"/>
      <c r="H68" s="328">
        <f>+H66+H67</f>
        <v>66</v>
      </c>
      <c r="J68" s="1577"/>
    </row>
    <row r="69" spans="1:16" s="305" customFormat="1" ht="3" customHeight="1">
      <c r="A69" s="501"/>
      <c r="I69" s="1578"/>
      <c r="L69" s="1578"/>
      <c r="M69" s="1578"/>
      <c r="N69" s="1577"/>
      <c r="P69" s="315"/>
    </row>
    <row r="70" spans="1:16" s="305" customFormat="1" ht="13.35" customHeight="1">
      <c r="A70" s="501"/>
      <c r="B70" s="501" t="s">
        <v>1748</v>
      </c>
      <c r="C70" s="316" t="s">
        <v>2313</v>
      </c>
      <c r="D70" s="329" t="s">
        <v>2012</v>
      </c>
      <c r="G70" s="1577"/>
      <c r="H70" s="3671">
        <v>15</v>
      </c>
      <c r="K70" s="314" t="s">
        <v>4100</v>
      </c>
      <c r="O70" s="1577"/>
      <c r="P70" s="3672">
        <v>8510</v>
      </c>
    </row>
    <row r="71" spans="1:16" s="305" customFormat="1" ht="13.35" customHeight="1">
      <c r="A71" s="501"/>
      <c r="B71" s="501"/>
      <c r="D71" s="1567" t="s">
        <v>2013</v>
      </c>
      <c r="H71" s="3673">
        <v>1</v>
      </c>
      <c r="I71" s="1577"/>
      <c r="K71" s="314" t="s">
        <v>254</v>
      </c>
      <c r="O71" s="1577"/>
      <c r="P71" s="328">
        <f>+P66+P70</f>
        <v>86938</v>
      </c>
    </row>
    <row r="72" spans="1:16" s="305" customFormat="1" ht="13.35" customHeight="1">
      <c r="A72" s="501"/>
      <c r="B72" s="501"/>
      <c r="D72" s="1567" t="s">
        <v>2014</v>
      </c>
      <c r="H72" s="328">
        <f>+H70+H71</f>
        <v>16</v>
      </c>
      <c r="I72" s="1577"/>
    </row>
    <row r="73" spans="1:16" s="305" customFormat="1" ht="3" customHeight="1">
      <c r="A73" s="501"/>
      <c r="B73" s="501"/>
      <c r="C73" s="1577"/>
      <c r="D73" s="1577"/>
      <c r="E73" s="1577"/>
      <c r="F73" s="1577"/>
      <c r="G73" s="1578"/>
      <c r="I73" s="314"/>
      <c r="J73" s="1577"/>
      <c r="P73" s="315"/>
    </row>
    <row r="74" spans="1:16" s="305" customFormat="1" ht="13.35" customHeight="1">
      <c r="A74" s="501"/>
      <c r="B74" s="501" t="s">
        <v>1749</v>
      </c>
      <c r="C74" s="316" t="s">
        <v>2859</v>
      </c>
      <c r="D74" s="1577"/>
      <c r="E74" s="1577"/>
      <c r="F74" s="1577"/>
      <c r="G74" s="1577"/>
      <c r="H74" s="3672">
        <v>132</v>
      </c>
      <c r="K74" s="1631" t="s">
        <v>3882</v>
      </c>
      <c r="L74" s="1631"/>
      <c r="M74" s="1631"/>
      <c r="N74" s="1631"/>
      <c r="O74" s="1631"/>
      <c r="P74" s="1631"/>
    </row>
    <row r="75" spans="1:16" s="305" customFormat="1" ht="4.5" customHeight="1">
      <c r="A75" s="501"/>
      <c r="B75" s="501"/>
      <c r="C75" s="314"/>
      <c r="D75" s="1577"/>
      <c r="E75" s="1577"/>
      <c r="F75" s="1577"/>
      <c r="G75" s="1578"/>
      <c r="H75" s="1577"/>
      <c r="I75" s="314"/>
      <c r="J75" s="314"/>
      <c r="K75" s="1631"/>
      <c r="L75" s="1631"/>
      <c r="M75" s="1631"/>
      <c r="N75" s="1631"/>
      <c r="O75" s="1631"/>
      <c r="P75" s="1631"/>
    </row>
    <row r="76" spans="1:16" s="305" customFormat="1" ht="13.35" customHeight="1">
      <c r="A76" s="501" t="s">
        <v>535</v>
      </c>
      <c r="B76" s="330" t="s">
        <v>1202</v>
      </c>
      <c r="D76" s="330"/>
      <c r="E76" s="330"/>
      <c r="F76" s="1577"/>
      <c r="G76" s="1578"/>
      <c r="H76" s="531"/>
      <c r="K76" s="1631"/>
      <c r="L76" s="1631"/>
      <c r="M76" s="1631"/>
      <c r="N76" s="1631"/>
      <c r="O76" s="1631"/>
      <c r="P76" s="1631"/>
    </row>
    <row r="77" spans="1:16" s="305" customFormat="1" ht="3" customHeight="1">
      <c r="A77" s="501"/>
      <c r="C77" s="1570"/>
      <c r="D77" s="1570"/>
      <c r="E77" s="1570"/>
      <c r="F77" s="1577"/>
      <c r="G77" s="1578"/>
      <c r="K77" s="1577"/>
      <c r="P77" s="315"/>
    </row>
    <row r="78" spans="1:16" s="305" customFormat="1" ht="13.35" customHeight="1">
      <c r="A78" s="501"/>
      <c r="B78" s="501" t="s">
        <v>1999</v>
      </c>
      <c r="C78" s="277" t="s">
        <v>2709</v>
      </c>
      <c r="D78" s="1570"/>
      <c r="E78" s="1570"/>
      <c r="F78" s="1577"/>
      <c r="G78" s="1578"/>
      <c r="H78" s="3674" t="s">
        <v>2930</v>
      </c>
      <c r="I78" s="3675"/>
      <c r="K78" s="1620" t="s">
        <v>1785</v>
      </c>
      <c r="L78" s="1620"/>
      <c r="M78" s="3522"/>
      <c r="N78" s="3551"/>
      <c r="O78" s="3551"/>
      <c r="P78" s="3552"/>
    </row>
    <row r="79" spans="1:16" s="305" customFormat="1" ht="3" customHeight="1">
      <c r="A79" s="501"/>
      <c r="B79" s="501"/>
      <c r="D79" s="1567"/>
      <c r="E79" s="1567"/>
      <c r="F79" s="1567"/>
      <c r="G79" s="1567"/>
      <c r="I79" s="1578"/>
      <c r="K79" s="1566"/>
      <c r="L79" s="1566"/>
      <c r="M79" s="1578"/>
      <c r="N79" s="1577"/>
      <c r="P79" s="315"/>
    </row>
    <row r="80" spans="1:16" s="305" customFormat="1" ht="13.35" customHeight="1">
      <c r="A80" s="501"/>
      <c r="B80" s="501"/>
      <c r="E80" s="1570"/>
      <c r="H80" s="1630" t="s">
        <v>3902</v>
      </c>
      <c r="I80" s="1630"/>
      <c r="K80" s="331" t="s">
        <v>2930</v>
      </c>
      <c r="L80" s="3671">
        <v>66</v>
      </c>
      <c r="M80" s="331" t="s">
        <v>2931</v>
      </c>
      <c r="N80" s="3671"/>
      <c r="P80" s="318" t="s">
        <v>3904</v>
      </c>
    </row>
    <row r="81" spans="1:16" s="305" customFormat="1" ht="13.35" customHeight="1">
      <c r="A81" s="501"/>
      <c r="B81" s="501"/>
      <c r="D81" s="1566"/>
      <c r="E81" s="1570"/>
      <c r="H81" s="1630"/>
      <c r="I81" s="1630"/>
      <c r="K81" s="318" t="s">
        <v>2932</v>
      </c>
      <c r="L81" s="3673"/>
      <c r="M81" s="318" t="s">
        <v>3903</v>
      </c>
      <c r="N81" s="3673"/>
      <c r="P81" s="3676"/>
    </row>
    <row r="82" spans="1:16" s="305" customFormat="1" ht="3" customHeight="1">
      <c r="A82" s="501"/>
      <c r="B82" s="501"/>
      <c r="D82" s="1567"/>
      <c r="E82" s="1567"/>
      <c r="F82" s="1567"/>
      <c r="G82" s="1567"/>
      <c r="I82" s="1578"/>
      <c r="K82" s="1566"/>
      <c r="L82" s="1566"/>
      <c r="M82" s="1578"/>
      <c r="N82" s="1577"/>
      <c r="P82" s="315"/>
    </row>
    <row r="83" spans="1:16" s="305" customFormat="1" ht="13.35" customHeight="1">
      <c r="A83" s="501"/>
      <c r="B83" s="501" t="s">
        <v>2001</v>
      </c>
      <c r="C83" s="316" t="s">
        <v>1423</v>
      </c>
      <c r="D83" s="1577"/>
      <c r="E83" s="329"/>
      <c r="F83" s="1567" t="s">
        <v>804</v>
      </c>
      <c r="H83" s="328">
        <f>'Part VIII-Threshold Criteria'!K301</f>
        <v>4</v>
      </c>
      <c r="K83" s="1620" t="s">
        <v>525</v>
      </c>
      <c r="L83" s="1620"/>
      <c r="N83" s="332">
        <f>IF('Part VI-Revenues &amp; Expenses'!$O$62=0,0,H83/'Part VI-Revenues &amp; Expenses'!$O$62)</f>
        <v>6.0606060606060608E-2</v>
      </c>
      <c r="O83" s="318" t="s">
        <v>3720</v>
      </c>
      <c r="P83" s="1002">
        <f>'DCA Underwriting Assumptions'!$Q$136</f>
        <v>0.05</v>
      </c>
    </row>
    <row r="84" spans="1:16" s="305" customFormat="1" ht="12.75" customHeight="1">
      <c r="A84" s="501"/>
      <c r="B84" s="501"/>
      <c r="D84" s="1567" t="s">
        <v>2857</v>
      </c>
      <c r="E84" s="1567"/>
      <c r="F84" s="1567" t="s">
        <v>804</v>
      </c>
      <c r="H84" s="328">
        <f>'Part VIII-Threshold Criteria'!K303</f>
        <v>2</v>
      </c>
      <c r="K84" s="1577" t="s">
        <v>2858</v>
      </c>
      <c r="L84" s="1577"/>
      <c r="N84" s="332">
        <f>IF(H83=0,0,H84/H83)</f>
        <v>0.5</v>
      </c>
      <c r="O84" s="318" t="s">
        <v>3720</v>
      </c>
      <c r="P84" s="1002">
        <f>'DCA Underwriting Assumptions'!$Q$137</f>
        <v>0.4</v>
      </c>
    </row>
    <row r="85" spans="1:16" s="305" customFormat="1" ht="3" customHeight="1">
      <c r="A85" s="501"/>
      <c r="B85" s="501"/>
      <c r="D85" s="1567"/>
      <c r="E85" s="1567"/>
      <c r="F85" s="1567"/>
      <c r="I85" s="1578"/>
      <c r="K85" s="1566"/>
      <c r="L85" s="1566"/>
      <c r="M85" s="1578"/>
      <c r="N85" s="1578"/>
      <c r="P85" s="1568"/>
    </row>
    <row r="86" spans="1:16" s="305" customFormat="1" ht="13.35" customHeight="1">
      <c r="A86" s="501"/>
      <c r="B86" s="501" t="s">
        <v>757</v>
      </c>
      <c r="C86" s="316" t="s">
        <v>1858</v>
      </c>
      <c r="D86" s="329"/>
      <c r="E86" s="329"/>
      <c r="F86" s="1567" t="s">
        <v>804</v>
      </c>
      <c r="H86" s="328">
        <f>'Part VIII-Threshold Criteria'!K305</f>
        <v>2</v>
      </c>
      <c r="K86" s="1620" t="s">
        <v>525</v>
      </c>
      <c r="L86" s="1620"/>
      <c r="N86" s="332">
        <f>IF('Part VI-Revenues &amp; Expenses'!$O$62=0,0,H86/'Part VI-Revenues &amp; Expenses'!$O$62)</f>
        <v>3.0303030303030304E-2</v>
      </c>
      <c r="O86" s="318" t="s">
        <v>3720</v>
      </c>
      <c r="P86" s="1002">
        <f>'DCA Underwriting Assumptions'!$Q$138</f>
        <v>0.02</v>
      </c>
    </row>
    <row r="87" spans="1:16" s="305" customFormat="1" ht="4.5" customHeight="1">
      <c r="A87" s="501"/>
      <c r="B87" s="501"/>
      <c r="D87" s="1567"/>
      <c r="E87" s="1567"/>
      <c r="F87" s="1567"/>
      <c r="G87" s="1567"/>
      <c r="I87" s="1578"/>
      <c r="J87" s="1578"/>
      <c r="K87" s="1578"/>
      <c r="L87" s="1578"/>
      <c r="M87" s="1578"/>
      <c r="N87" s="1577"/>
      <c r="P87" s="315"/>
    </row>
    <row r="88" spans="1:16" s="305" customFormat="1" ht="13.35" customHeight="1">
      <c r="A88" s="333" t="s">
        <v>780</v>
      </c>
      <c r="B88" s="1570" t="s">
        <v>2393</v>
      </c>
      <c r="D88" s="1567"/>
      <c r="E88" s="1567"/>
      <c r="F88" s="1567"/>
      <c r="G88" s="1567"/>
      <c r="H88" s="1567"/>
      <c r="I88" s="1578"/>
      <c r="M88" s="1578"/>
      <c r="N88" s="1577"/>
      <c r="P88" s="315"/>
    </row>
    <row r="89" spans="1:16" s="305" customFormat="1" ht="3" customHeight="1">
      <c r="A89" s="501"/>
      <c r="B89" s="501"/>
      <c r="C89" s="1570"/>
      <c r="D89" s="1567"/>
      <c r="E89" s="1567"/>
      <c r="F89" s="1567"/>
      <c r="L89" s="1578"/>
      <c r="M89" s="1578"/>
      <c r="N89" s="1577"/>
      <c r="P89" s="315"/>
    </row>
    <row r="90" spans="1:16" s="305" customFormat="1" ht="13.35" customHeight="1">
      <c r="A90" s="501"/>
      <c r="B90" s="501" t="s">
        <v>1999</v>
      </c>
      <c r="C90" s="277" t="s">
        <v>2392</v>
      </c>
      <c r="D90" s="1567"/>
      <c r="E90" s="1567"/>
      <c r="F90" s="1567"/>
      <c r="H90" s="3677" t="s">
        <v>878</v>
      </c>
      <c r="I90" s="3678"/>
      <c r="J90" s="3679"/>
      <c r="M90" s="1578"/>
      <c r="N90" s="1578"/>
      <c r="P90" s="315"/>
    </row>
    <row r="91" spans="1:16" s="305" customFormat="1" ht="3" customHeight="1">
      <c r="A91" s="501"/>
      <c r="B91" s="501"/>
      <c r="D91" s="1567"/>
      <c r="E91" s="1567"/>
      <c r="F91" s="1567"/>
      <c r="G91" s="1567"/>
      <c r="I91" s="1578"/>
      <c r="J91" s="1578"/>
      <c r="K91" s="1578"/>
      <c r="L91" s="1578"/>
      <c r="M91" s="1578"/>
      <c r="N91" s="1577"/>
      <c r="P91" s="315"/>
    </row>
    <row r="92" spans="1:16" s="305" customFormat="1" ht="13.35" customHeight="1">
      <c r="B92" s="501" t="s">
        <v>2001</v>
      </c>
      <c r="C92" s="307" t="s">
        <v>1546</v>
      </c>
      <c r="K92" s="310" t="s">
        <v>877</v>
      </c>
      <c r="N92" s="334"/>
      <c r="P92" s="3670" t="s">
        <v>3012</v>
      </c>
    </row>
    <row r="93" spans="1:16" s="305" customFormat="1" ht="4.5" customHeight="1">
      <c r="A93" s="501"/>
      <c r="B93" s="501"/>
      <c r="C93" s="307"/>
      <c r="D93" s="1567"/>
      <c r="E93" s="1567"/>
      <c r="F93" s="1567"/>
      <c r="G93" s="1567"/>
      <c r="I93" s="1578"/>
      <c r="J93" s="1578"/>
      <c r="K93" s="1578"/>
      <c r="L93" s="1578"/>
      <c r="M93" s="1578"/>
      <c r="N93" s="1577"/>
      <c r="P93" s="315"/>
    </row>
    <row r="94" spans="1:16" s="305" customFormat="1" ht="13.35" customHeight="1">
      <c r="A94" s="333" t="s">
        <v>294</v>
      </c>
      <c r="B94" s="1570" t="s">
        <v>2057</v>
      </c>
      <c r="D94" s="1567"/>
    </row>
    <row r="95" spans="1:16" s="305" customFormat="1" ht="3" customHeight="1">
      <c r="A95" s="501"/>
      <c r="B95" s="501"/>
      <c r="D95" s="1567"/>
      <c r="N95" s="1577"/>
      <c r="P95" s="315"/>
    </row>
    <row r="96" spans="1:16" s="305" customFormat="1" ht="13.35" customHeight="1">
      <c r="A96" s="333"/>
      <c r="B96" s="501" t="s">
        <v>1999</v>
      </c>
      <c r="C96" s="307" t="s">
        <v>2726</v>
      </c>
      <c r="F96" s="329" t="s">
        <v>2617</v>
      </c>
      <c r="H96" s="3670" t="s">
        <v>3012</v>
      </c>
      <c r="K96" s="329" t="s">
        <v>3927</v>
      </c>
      <c r="L96" s="3670" t="s">
        <v>3009</v>
      </c>
      <c r="O96" s="312" t="s">
        <v>3921</v>
      </c>
      <c r="P96" s="3670" t="s">
        <v>3012</v>
      </c>
    </row>
    <row r="97" spans="1:16" s="305" customFormat="1" ht="3" customHeight="1">
      <c r="A97" s="501"/>
      <c r="B97" s="501"/>
      <c r="C97" s="1570"/>
      <c r="F97" s="1567"/>
      <c r="H97" s="1567"/>
      <c r="J97" s="1578"/>
      <c r="K97" s="1578"/>
      <c r="L97" s="1578"/>
      <c r="M97" s="1578"/>
      <c r="N97" s="1578"/>
      <c r="P97" s="315"/>
    </row>
    <row r="98" spans="1:16" s="305" customFormat="1" ht="13.35" customHeight="1">
      <c r="A98" s="333"/>
      <c r="B98" s="501" t="s">
        <v>2001</v>
      </c>
      <c r="C98" s="307" t="s">
        <v>2727</v>
      </c>
      <c r="F98" s="1566" t="s">
        <v>2696</v>
      </c>
      <c r="H98" s="3670" t="s">
        <v>3012</v>
      </c>
      <c r="I98" s="496" t="s">
        <v>2728</v>
      </c>
      <c r="J98" s="1578"/>
      <c r="L98" s="1578"/>
    </row>
    <row r="99" spans="1:16" s="305" customFormat="1" ht="4.5" customHeight="1">
      <c r="A99" s="501"/>
      <c r="B99" s="501"/>
      <c r="C99" s="307"/>
      <c r="D99" s="1567"/>
      <c r="E99" s="1567"/>
      <c r="F99" s="1567"/>
      <c r="G99" s="1567"/>
      <c r="I99" s="1578"/>
      <c r="J99" s="1578"/>
      <c r="K99" s="1578"/>
      <c r="L99" s="1578"/>
      <c r="M99" s="1578"/>
      <c r="N99" s="1577"/>
      <c r="P99" s="315"/>
    </row>
    <row r="100" spans="1:16" s="305" customFormat="1" ht="13.35" customHeight="1">
      <c r="A100" s="333" t="s">
        <v>428</v>
      </c>
      <c r="B100" s="1570" t="s">
        <v>2800</v>
      </c>
      <c r="D100" s="1567"/>
      <c r="H100" s="3522" t="s">
        <v>2836</v>
      </c>
      <c r="I100" s="3552"/>
      <c r="J100" s="1578"/>
    </row>
    <row r="101" spans="1:16" s="305" customFormat="1" ht="4.5" customHeight="1">
      <c r="A101" s="501"/>
      <c r="D101" s="322"/>
      <c r="E101" s="1577"/>
      <c r="I101" s="322"/>
      <c r="J101" s="314"/>
      <c r="K101" s="1577"/>
      <c r="P101" s="315"/>
    </row>
    <row r="102" spans="1:16" s="305" customFormat="1" ht="13.35" customHeight="1">
      <c r="A102" s="333" t="s">
        <v>364</v>
      </c>
      <c r="B102" s="327" t="s">
        <v>1200</v>
      </c>
      <c r="D102" s="1577"/>
      <c r="E102" s="1577"/>
      <c r="F102" s="1577"/>
      <c r="G102" s="1577"/>
      <c r="H102" s="1577"/>
      <c r="I102" s="322"/>
      <c r="J102" s="314"/>
      <c r="K102" s="1577"/>
      <c r="P102" s="315"/>
    </row>
    <row r="103" spans="1:16" s="305" customFormat="1" ht="3" customHeight="1">
      <c r="A103" s="333"/>
      <c r="B103" s="501"/>
      <c r="C103" s="327"/>
      <c r="D103" s="1577"/>
      <c r="E103" s="1577"/>
      <c r="F103" s="1577"/>
      <c r="G103" s="1577"/>
      <c r="H103" s="1577"/>
      <c r="I103" s="322"/>
      <c r="J103" s="314"/>
      <c r="K103" s="1577"/>
    </row>
    <row r="104" spans="1:16" s="305" customFormat="1" ht="13.35" customHeight="1">
      <c r="A104" s="501"/>
      <c r="B104" s="501"/>
      <c r="C104" s="314" t="s">
        <v>557</v>
      </c>
      <c r="D104" s="1577"/>
      <c r="E104" s="3595"/>
      <c r="F104" s="3596"/>
      <c r="G104" s="3596"/>
      <c r="H104" s="3596"/>
      <c r="I104" s="3596"/>
      <c r="J104" s="3596"/>
      <c r="K104" s="3596"/>
      <c r="L104" s="3597"/>
      <c r="M104" s="1629" t="s">
        <v>558</v>
      </c>
      <c r="N104" s="1629"/>
      <c r="O104" s="3680"/>
      <c r="P104" s="3681"/>
    </row>
    <row r="105" spans="1:16" s="305" customFormat="1" ht="13.35" customHeight="1">
      <c r="C105" s="310" t="s">
        <v>1031</v>
      </c>
      <c r="D105" s="318"/>
      <c r="E105" s="3598"/>
      <c r="F105" s="3599"/>
      <c r="G105" s="3599"/>
      <c r="H105" s="3600"/>
      <c r="I105" s="3599"/>
      <c r="J105" s="3600"/>
      <c r="K105" s="3599"/>
      <c r="L105" s="3602"/>
      <c r="M105" s="1629" t="s">
        <v>816</v>
      </c>
      <c r="N105" s="1629"/>
      <c r="O105" s="3682"/>
      <c r="P105" s="3683"/>
    </row>
    <row r="106" spans="1:16" s="305" customFormat="1" ht="13.35" customHeight="1">
      <c r="C106" s="310" t="s">
        <v>624</v>
      </c>
      <c r="E106" s="3624"/>
      <c r="F106" s="3684"/>
      <c r="G106" s="3685"/>
      <c r="H106" s="1568" t="s">
        <v>1812</v>
      </c>
      <c r="I106" s="3686"/>
      <c r="J106" s="335" t="s">
        <v>2245</v>
      </c>
      <c r="K106" s="3687"/>
      <c r="L106" s="3688"/>
      <c r="M106" s="280" t="s">
        <v>3687</v>
      </c>
      <c r="N106" s="280"/>
      <c r="O106" s="3689"/>
      <c r="P106" s="3690"/>
    </row>
    <row r="107" spans="1:16" s="305" customFormat="1" ht="13.35" customHeight="1">
      <c r="C107" s="305" t="s">
        <v>2210</v>
      </c>
      <c r="E107" s="3624"/>
      <c r="F107" s="3684"/>
      <c r="G107" s="3685"/>
      <c r="H107" s="1039" t="s">
        <v>1996</v>
      </c>
      <c r="I107" s="3691"/>
      <c r="J107" s="3692"/>
      <c r="K107" s="3541"/>
      <c r="L107" s="1588" t="s">
        <v>2000</v>
      </c>
      <c r="M107" s="3595"/>
      <c r="N107" s="3693"/>
      <c r="O107" s="3694"/>
      <c r="P107" s="3695"/>
    </row>
    <row r="108" spans="1:16" s="305" customFormat="1" ht="13.35" customHeight="1">
      <c r="C108" s="310" t="s">
        <v>2209</v>
      </c>
      <c r="E108" s="3613"/>
      <c r="F108" s="3696"/>
      <c r="G108" s="3614"/>
      <c r="H108" s="1039" t="s">
        <v>1815</v>
      </c>
      <c r="I108" s="3613"/>
      <c r="J108" s="3697"/>
      <c r="K108" s="1568" t="s">
        <v>2722</v>
      </c>
      <c r="L108" s="3534"/>
      <c r="M108" s="3698"/>
      <c r="N108" s="3698"/>
      <c r="O108" s="3698"/>
      <c r="P108" s="3699"/>
    </row>
    <row r="109" spans="1:16" s="305" customFormat="1" ht="3" customHeight="1">
      <c r="A109" s="501"/>
      <c r="B109" s="501"/>
      <c r="G109" s="322"/>
      <c r="H109" s="1578"/>
      <c r="I109" s="1578"/>
      <c r="M109" s="315"/>
    </row>
    <row r="110" spans="1:16" s="305" customFormat="1" ht="13.35" customHeight="1">
      <c r="A110" s="333" t="s">
        <v>365</v>
      </c>
      <c r="B110" s="1570" t="s">
        <v>1682</v>
      </c>
      <c r="D110" s="322"/>
      <c r="E110" s="322"/>
      <c r="F110" s="1578"/>
      <c r="G110" s="1578"/>
      <c r="H110" s="1578"/>
      <c r="N110" s="1577"/>
      <c r="O110" s="1577"/>
      <c r="P110" s="315"/>
    </row>
    <row r="111" spans="1:16" s="305" customFormat="1" ht="3.6" customHeight="1">
      <c r="A111" s="333"/>
      <c r="B111" s="1570"/>
      <c r="D111" s="322"/>
      <c r="E111" s="322"/>
      <c r="F111" s="1578"/>
      <c r="G111" s="1578"/>
      <c r="H111" s="1578"/>
      <c r="I111" s="1578"/>
      <c r="J111" s="322"/>
      <c r="K111" s="1578"/>
      <c r="L111" s="1578"/>
      <c r="N111" s="1577"/>
      <c r="O111" s="1577"/>
      <c r="P111" s="315"/>
    </row>
    <row r="112" spans="1:16" s="305" customFormat="1" ht="13.35" customHeight="1">
      <c r="B112" s="329" t="s">
        <v>2169</v>
      </c>
      <c r="D112" s="336"/>
      <c r="E112" s="336"/>
      <c r="F112" s="336"/>
      <c r="G112" s="336"/>
      <c r="H112" s="336"/>
      <c r="I112" s="336"/>
      <c r="J112" s="336"/>
      <c r="K112" s="336"/>
      <c r="L112" s="336"/>
      <c r="M112" s="336"/>
      <c r="N112" s="336"/>
      <c r="O112" s="336"/>
      <c r="P112" s="336"/>
    </row>
    <row r="113" spans="1:16" s="305" customFormat="1" ht="5.0999999999999996" customHeight="1">
      <c r="A113" s="501"/>
      <c r="B113" s="501"/>
      <c r="C113" s="337"/>
      <c r="D113" s="337"/>
      <c r="E113" s="337"/>
      <c r="F113" s="337"/>
      <c r="G113" s="337"/>
      <c r="H113" s="337"/>
      <c r="I113" s="337"/>
      <c r="J113" s="337"/>
      <c r="K113" s="337"/>
      <c r="L113" s="337"/>
      <c r="M113" s="337"/>
      <c r="N113" s="337"/>
      <c r="O113" s="337"/>
      <c r="P113" s="337"/>
    </row>
    <row r="114" spans="1:16" s="305" customFormat="1" ht="13.35" customHeight="1">
      <c r="A114" s="501"/>
      <c r="B114" s="501" t="s">
        <v>1999</v>
      </c>
      <c r="C114" s="1570" t="s">
        <v>1424</v>
      </c>
      <c r="D114" s="1567"/>
      <c r="E114" s="1567"/>
      <c r="F114" s="1578"/>
      <c r="G114" s="1578"/>
      <c r="H114" s="3700">
        <v>3</v>
      </c>
      <c r="N114" s="1577"/>
      <c r="O114" s="1577"/>
    </row>
    <row r="115" spans="1:16" s="305" customFormat="1" ht="3.6" customHeight="1">
      <c r="A115" s="501"/>
      <c r="B115" s="501"/>
      <c r="C115" s="337"/>
      <c r="D115" s="337"/>
      <c r="E115" s="337"/>
      <c r="F115" s="337"/>
      <c r="G115" s="337"/>
      <c r="H115" s="337"/>
      <c r="J115" s="337"/>
      <c r="M115" s="337"/>
      <c r="N115" s="337"/>
      <c r="O115" s="337"/>
    </row>
    <row r="116" spans="1:16" s="305" customFormat="1" ht="13.35" customHeight="1">
      <c r="A116" s="501"/>
      <c r="B116" s="501" t="s">
        <v>2001</v>
      </c>
      <c r="C116" s="1570" t="s">
        <v>418</v>
      </c>
      <c r="D116" s="1567"/>
      <c r="E116" s="1567"/>
      <c r="F116" s="1578"/>
      <c r="G116" s="1578"/>
      <c r="H116" s="3701">
        <v>2439000</v>
      </c>
      <c r="J116" s="322"/>
      <c r="K116" s="1566"/>
      <c r="N116" s="1577"/>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35" customHeight="1">
      <c r="B118" s="501" t="s">
        <v>757</v>
      </c>
      <c r="C118" s="1570" t="s">
        <v>304</v>
      </c>
      <c r="D118" s="1567"/>
      <c r="E118" s="1567"/>
      <c r="F118" s="1578"/>
      <c r="G118" s="1578"/>
      <c r="H118" s="1578"/>
      <c r="I118" s="1578"/>
      <c r="J118" s="322"/>
      <c r="K118" s="1578"/>
      <c r="L118" s="1578"/>
      <c r="N118" s="1577"/>
      <c r="O118" s="1577"/>
    </row>
    <row r="119" spans="1:16" s="305" customFormat="1" ht="13.35" customHeight="1">
      <c r="B119" s="501"/>
      <c r="C119" s="1567" t="s">
        <v>2151</v>
      </c>
      <c r="D119" s="1567"/>
      <c r="F119" s="1567" t="s">
        <v>1144</v>
      </c>
      <c r="G119" s="1578"/>
      <c r="H119" s="1578"/>
      <c r="I119" s="1578" t="s">
        <v>1306</v>
      </c>
      <c r="J119" s="1567" t="s">
        <v>2151</v>
      </c>
      <c r="K119" s="1567"/>
      <c r="M119" s="1567" t="s">
        <v>1144</v>
      </c>
      <c r="N119" s="1578"/>
      <c r="O119" s="1578"/>
      <c r="P119" s="1578" t="s">
        <v>1306</v>
      </c>
    </row>
    <row r="120" spans="1:16" s="305" customFormat="1" ht="13.35" customHeight="1">
      <c r="A120" s="501"/>
      <c r="B120" s="501"/>
      <c r="C120" s="3702" t="s">
        <v>4658</v>
      </c>
      <c r="D120" s="3703"/>
      <c r="E120" s="3703"/>
      <c r="F120" s="3704" t="s">
        <v>4659</v>
      </c>
      <c r="G120" s="3451"/>
      <c r="H120" s="3705"/>
      <c r="I120" s="3706" t="s">
        <v>4660</v>
      </c>
      <c r="J120" s="3702" t="s">
        <v>4663</v>
      </c>
      <c r="K120" s="3703"/>
      <c r="L120" s="3703"/>
      <c r="M120" s="3704" t="s">
        <v>4664</v>
      </c>
      <c r="N120" s="3451"/>
      <c r="O120" s="3705"/>
      <c r="P120" s="3706" t="s">
        <v>4660</v>
      </c>
    </row>
    <row r="121" spans="1:16" s="305" customFormat="1" ht="13.35" customHeight="1">
      <c r="A121" s="501"/>
      <c r="B121" s="501"/>
      <c r="C121" s="3707">
        <v>2</v>
      </c>
      <c r="D121" s="3708"/>
      <c r="E121" s="3709"/>
      <c r="F121" s="3710" t="s">
        <v>4662</v>
      </c>
      <c r="G121" s="3711"/>
      <c r="H121" s="3712"/>
      <c r="I121" s="3713" t="s">
        <v>4660</v>
      </c>
      <c r="J121" s="3714">
        <v>8</v>
      </c>
      <c r="K121" s="3715"/>
      <c r="L121" s="3715"/>
      <c r="M121" s="3710" t="s">
        <v>4662</v>
      </c>
      <c r="N121" s="3711"/>
      <c r="O121" s="3712"/>
      <c r="P121" s="3713" t="s">
        <v>4660</v>
      </c>
    </row>
    <row r="122" spans="1:16" s="305" customFormat="1" ht="13.35" customHeight="1">
      <c r="A122" s="501"/>
      <c r="B122" s="501"/>
      <c r="C122" s="3714" t="s">
        <v>4667</v>
      </c>
      <c r="D122" s="3715"/>
      <c r="E122" s="3715"/>
      <c r="F122" s="3710" t="s">
        <v>4562</v>
      </c>
      <c r="G122" s="3711"/>
      <c r="H122" s="3712"/>
      <c r="I122" s="3713" t="s">
        <v>4660</v>
      </c>
      <c r="J122" s="3714"/>
      <c r="K122" s="3715"/>
      <c r="L122" s="3715"/>
      <c r="M122" s="3710"/>
      <c r="N122" s="3711"/>
      <c r="O122" s="3712"/>
      <c r="P122" s="3713"/>
    </row>
    <row r="123" spans="1:16" s="305" customFormat="1" ht="13.35" customHeight="1">
      <c r="A123" s="501"/>
      <c r="B123" s="501"/>
      <c r="C123" s="3714" t="s">
        <v>4661</v>
      </c>
      <c r="D123" s="3715"/>
      <c r="E123" s="3715"/>
      <c r="F123" s="3710" t="s">
        <v>4659</v>
      </c>
      <c r="G123" s="3711"/>
      <c r="H123" s="3712"/>
      <c r="I123" s="3713" t="s">
        <v>4660</v>
      </c>
      <c r="J123" s="3714" t="s">
        <v>4665</v>
      </c>
      <c r="K123" s="3715"/>
      <c r="L123" s="3715"/>
      <c r="M123" s="3710" t="s">
        <v>4664</v>
      </c>
      <c r="N123" s="3711"/>
      <c r="O123" s="3712"/>
      <c r="P123" s="3713" t="s">
        <v>4660</v>
      </c>
    </row>
    <row r="124" spans="1:16" s="305" customFormat="1" ht="13.35" customHeight="1">
      <c r="A124" s="501"/>
      <c r="B124" s="501"/>
      <c r="C124" s="3714">
        <v>5</v>
      </c>
      <c r="D124" s="3715"/>
      <c r="E124" s="3715"/>
      <c r="F124" s="3710" t="s">
        <v>4662</v>
      </c>
      <c r="G124" s="3711"/>
      <c r="H124" s="3712"/>
      <c r="I124" s="3713" t="s">
        <v>4660</v>
      </c>
      <c r="J124" s="3714">
        <v>11</v>
      </c>
      <c r="K124" s="3715"/>
      <c r="L124" s="3715"/>
      <c r="M124" s="3710" t="s">
        <v>4662</v>
      </c>
      <c r="N124" s="3711"/>
      <c r="O124" s="3712"/>
      <c r="P124" s="3713" t="s">
        <v>4660</v>
      </c>
    </row>
    <row r="125" spans="1:16" s="305" customFormat="1" ht="13.35" customHeight="1">
      <c r="A125" s="501"/>
      <c r="B125" s="501"/>
      <c r="C125" s="3716" t="s">
        <v>4667</v>
      </c>
      <c r="D125" s="3717"/>
      <c r="E125" s="3717"/>
      <c r="F125" s="3718" t="s">
        <v>4562</v>
      </c>
      <c r="G125" s="3719"/>
      <c r="H125" s="3720"/>
      <c r="I125" s="3721" t="s">
        <v>4660</v>
      </c>
      <c r="J125" s="3716">
        <v>12</v>
      </c>
      <c r="K125" s="3717"/>
      <c r="L125" s="3717"/>
      <c r="M125" s="3718"/>
      <c r="N125" s="3719"/>
      <c r="O125" s="3720"/>
      <c r="P125" s="3721"/>
    </row>
    <row r="126" spans="1:16" s="305" customFormat="1" ht="5.0999999999999996" customHeight="1">
      <c r="A126" s="501"/>
      <c r="B126" s="501"/>
      <c r="C126" s="337"/>
      <c r="D126" s="337"/>
      <c r="E126" s="337"/>
      <c r="F126" s="337"/>
      <c r="G126" s="337"/>
      <c r="H126" s="337"/>
      <c r="I126" s="337"/>
      <c r="J126" s="337"/>
      <c r="K126" s="337"/>
      <c r="L126" s="337"/>
      <c r="M126" s="337"/>
      <c r="N126" s="337"/>
      <c r="O126" s="337"/>
      <c r="P126" s="337"/>
    </row>
    <row r="127" spans="1:16" s="305" customFormat="1" ht="13.3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3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35" customHeight="1">
      <c r="B129" s="501"/>
      <c r="C129" s="1567" t="s">
        <v>2151</v>
      </c>
      <c r="D129" s="1567"/>
      <c r="F129" s="1567" t="s">
        <v>1144</v>
      </c>
      <c r="G129" s="1578"/>
      <c r="H129" s="1578"/>
      <c r="I129" s="1578"/>
      <c r="J129" s="1567" t="s">
        <v>2151</v>
      </c>
      <c r="K129" s="1567"/>
      <c r="M129" s="1567" t="s">
        <v>1144</v>
      </c>
      <c r="N129" s="1578"/>
      <c r="O129" s="1578"/>
      <c r="P129" s="1578"/>
    </row>
    <row r="130" spans="1:16" s="305" customFormat="1" ht="13.35" customHeight="1">
      <c r="A130" s="501"/>
      <c r="B130" s="501"/>
      <c r="C130" s="3702" t="s">
        <v>4658</v>
      </c>
      <c r="D130" s="3703"/>
      <c r="E130" s="3703"/>
      <c r="F130" s="3704" t="s">
        <v>4562</v>
      </c>
      <c r="G130" s="3451"/>
      <c r="H130" s="3451"/>
      <c r="I130" s="3452"/>
      <c r="J130" s="3702">
        <v>7</v>
      </c>
      <c r="K130" s="3703"/>
      <c r="L130" s="3703"/>
      <c r="M130" s="3704"/>
      <c r="N130" s="3451"/>
      <c r="O130" s="3451"/>
      <c r="P130" s="3452"/>
    </row>
    <row r="131" spans="1:16" s="305" customFormat="1" ht="13.35" customHeight="1">
      <c r="A131" s="501"/>
      <c r="B131" s="501"/>
      <c r="C131" s="3714">
        <v>2</v>
      </c>
      <c r="D131" s="3715"/>
      <c r="E131" s="3715"/>
      <c r="F131" s="3710"/>
      <c r="G131" s="3711"/>
      <c r="H131" s="3711"/>
      <c r="I131" s="3722"/>
      <c r="J131" s="3714">
        <v>8</v>
      </c>
      <c r="K131" s="3715"/>
      <c r="L131" s="3715"/>
      <c r="M131" s="3710"/>
      <c r="N131" s="3711"/>
      <c r="O131" s="3711"/>
      <c r="P131" s="3722"/>
    </row>
    <row r="132" spans="1:16" s="305" customFormat="1" ht="13.35" customHeight="1">
      <c r="A132" s="501"/>
      <c r="B132" s="501"/>
      <c r="C132" s="3714" t="s">
        <v>4661</v>
      </c>
      <c r="D132" s="3715"/>
      <c r="E132" s="3715"/>
      <c r="F132" s="3710" t="s">
        <v>4562</v>
      </c>
      <c r="G132" s="3711"/>
      <c r="H132" s="3711"/>
      <c r="I132" s="3722"/>
      <c r="J132" s="3714">
        <v>9</v>
      </c>
      <c r="K132" s="3715"/>
      <c r="L132" s="3715"/>
      <c r="M132" s="3710"/>
      <c r="N132" s="3711"/>
      <c r="O132" s="3711"/>
      <c r="P132" s="3722"/>
    </row>
    <row r="133" spans="1:16" s="305" customFormat="1" ht="13.35" customHeight="1">
      <c r="A133" s="501"/>
      <c r="B133" s="501"/>
      <c r="C133" s="3714">
        <v>4</v>
      </c>
      <c r="D133" s="3715"/>
      <c r="E133" s="3715"/>
      <c r="F133" s="3710"/>
      <c r="G133" s="3711"/>
      <c r="H133" s="3711"/>
      <c r="I133" s="3722"/>
      <c r="J133" s="3714">
        <v>10</v>
      </c>
      <c r="K133" s="3715"/>
      <c r="L133" s="3715"/>
      <c r="M133" s="3710"/>
      <c r="N133" s="3711"/>
      <c r="O133" s="3711"/>
      <c r="P133" s="3722"/>
    </row>
    <row r="134" spans="1:16" s="305" customFormat="1" ht="13.35" customHeight="1">
      <c r="A134" s="501"/>
      <c r="B134" s="501"/>
      <c r="C134" s="3714" t="s">
        <v>4666</v>
      </c>
      <c r="D134" s="3715"/>
      <c r="E134" s="3715"/>
      <c r="F134" s="3710" t="s">
        <v>4562</v>
      </c>
      <c r="G134" s="3711"/>
      <c r="H134" s="3711"/>
      <c r="I134" s="3722"/>
      <c r="J134" s="3714">
        <v>11</v>
      </c>
      <c r="K134" s="3715"/>
      <c r="L134" s="3715"/>
      <c r="M134" s="3710"/>
      <c r="N134" s="3711"/>
      <c r="O134" s="3711"/>
      <c r="P134" s="3722"/>
    </row>
    <row r="135" spans="1:16" s="305" customFormat="1" ht="13.35" customHeight="1">
      <c r="A135" s="501"/>
      <c r="B135" s="501"/>
      <c r="C135" s="3716">
        <v>6</v>
      </c>
      <c r="D135" s="3717"/>
      <c r="E135" s="3717"/>
      <c r="F135" s="3718"/>
      <c r="G135" s="3719"/>
      <c r="H135" s="3719"/>
      <c r="I135" s="3723"/>
      <c r="J135" s="3716">
        <v>12</v>
      </c>
      <c r="K135" s="3717"/>
      <c r="L135" s="3717"/>
      <c r="M135" s="3718"/>
      <c r="N135" s="3719"/>
      <c r="O135" s="3719"/>
      <c r="P135" s="3723"/>
    </row>
    <row r="136" spans="1:16" s="305" customFormat="1" ht="4.5" customHeight="1">
      <c r="A136" s="501"/>
      <c r="B136" s="501"/>
      <c r="C136" s="1567"/>
      <c r="D136" s="1567"/>
      <c r="E136" s="1567"/>
      <c r="F136" s="1578"/>
      <c r="G136" s="1578"/>
      <c r="H136" s="1578"/>
      <c r="I136" s="1578"/>
      <c r="J136" s="322"/>
      <c r="K136" s="1578"/>
      <c r="L136" s="1578"/>
      <c r="N136" s="1577"/>
      <c r="O136" s="1577"/>
      <c r="P136" s="315"/>
    </row>
    <row r="137" spans="1:16" s="305" customFormat="1" ht="3" customHeight="1">
      <c r="A137" s="501"/>
      <c r="B137" s="501"/>
      <c r="C137" s="1567"/>
      <c r="D137" s="1567"/>
      <c r="E137" s="1567"/>
      <c r="F137" s="1578"/>
      <c r="G137" s="1578"/>
      <c r="H137" s="1578"/>
      <c r="I137" s="1578"/>
      <c r="J137" s="322"/>
      <c r="K137" s="1578"/>
      <c r="L137" s="1578"/>
      <c r="N137" s="1577"/>
      <c r="O137" s="1577"/>
      <c r="P137" s="315"/>
    </row>
    <row r="138" spans="1:16" s="305" customFormat="1" ht="13.35" customHeight="1">
      <c r="A138" s="333" t="s">
        <v>366</v>
      </c>
      <c r="B138" s="330" t="s">
        <v>2434</v>
      </c>
      <c r="D138" s="330"/>
      <c r="E138" s="330"/>
      <c r="F138" s="330"/>
      <c r="I138" s="3670" t="s">
        <v>3012</v>
      </c>
      <c r="M138" s="1578"/>
      <c r="N138" s="1577"/>
      <c r="O138" s="1577"/>
      <c r="P138" s="315"/>
    </row>
    <row r="139" spans="1:16" s="305" customFormat="1" ht="3" customHeight="1">
      <c r="A139" s="333"/>
      <c r="B139" s="501"/>
      <c r="C139" s="1570"/>
      <c r="D139" s="1570"/>
      <c r="E139" s="1570"/>
      <c r="F139" s="1570"/>
      <c r="G139" s="1578"/>
      <c r="M139" s="1578"/>
      <c r="N139" s="1577"/>
      <c r="O139" s="1577"/>
    </row>
    <row r="140" spans="1:16" s="305" customFormat="1" ht="13.35" customHeight="1">
      <c r="A140" s="501"/>
      <c r="B140" s="501" t="s">
        <v>1999</v>
      </c>
      <c r="C140" s="311" t="s">
        <v>1726</v>
      </c>
      <c r="I140" s="3431"/>
      <c r="M140" s="1578"/>
      <c r="N140" s="1577"/>
      <c r="O140" s="1577"/>
      <c r="P140" s="315"/>
    </row>
    <row r="141" spans="1:16" s="305" customFormat="1" ht="13.35" customHeight="1">
      <c r="A141" s="501"/>
      <c r="B141" s="501"/>
      <c r="C141" s="1567" t="s">
        <v>2436</v>
      </c>
      <c r="D141" s="1567"/>
      <c r="E141" s="1567"/>
      <c r="F141" s="1578"/>
      <c r="I141" s="3724"/>
      <c r="N141" s="1577"/>
      <c r="O141" s="1577"/>
      <c r="P141" s="315"/>
    </row>
    <row r="142" spans="1:16" s="305" customFormat="1" ht="13.35" customHeight="1">
      <c r="A142" s="501"/>
      <c r="B142" s="501"/>
      <c r="C142" s="338" t="s">
        <v>1725</v>
      </c>
      <c r="D142" s="310"/>
      <c r="I142" s="3434"/>
      <c r="P142" s="315"/>
    </row>
    <row r="143" spans="1:16" s="305" customFormat="1" ht="13.35" customHeight="1">
      <c r="A143" s="501"/>
      <c r="B143" s="501"/>
      <c r="C143" s="1567" t="s">
        <v>2437</v>
      </c>
      <c r="D143" s="1567"/>
      <c r="E143" s="1567"/>
      <c r="F143" s="1578"/>
      <c r="I143" s="3724"/>
      <c r="K143" s="280" t="s">
        <v>2261</v>
      </c>
      <c r="O143" s="3595" t="s">
        <v>489</v>
      </c>
      <c r="P143" s="3597"/>
    </row>
    <row r="144" spans="1:16" s="305" customFormat="1" ht="13.35" customHeight="1">
      <c r="A144" s="501"/>
      <c r="B144" s="501"/>
      <c r="C144" s="1567" t="s">
        <v>2435</v>
      </c>
      <c r="F144" s="1578"/>
      <c r="I144" s="3725"/>
      <c r="K144" s="280" t="s">
        <v>2262</v>
      </c>
      <c r="O144" s="3627" t="s">
        <v>489</v>
      </c>
      <c r="P144" s="3601"/>
    </row>
    <row r="145" spans="1:16" s="305" customFormat="1" ht="13.35" customHeight="1">
      <c r="A145" s="501"/>
      <c r="B145" s="501"/>
      <c r="C145" s="1567" t="s">
        <v>2182</v>
      </c>
      <c r="D145" s="1567"/>
      <c r="E145" s="1567"/>
      <c r="F145" s="1578"/>
      <c r="I145" s="3726"/>
      <c r="J145" s="3727"/>
      <c r="N145" s="1577"/>
      <c r="O145" s="1577"/>
      <c r="P145" s="315"/>
    </row>
    <row r="146" spans="1:16" s="305" customFormat="1" ht="3" customHeight="1">
      <c r="A146" s="501"/>
      <c r="B146" s="501"/>
      <c r="C146" s="1567"/>
      <c r="D146" s="1567"/>
      <c r="E146" s="1567"/>
      <c r="F146" s="1578"/>
      <c r="N146" s="1577"/>
      <c r="O146" s="1577"/>
      <c r="P146" s="315"/>
    </row>
    <row r="147" spans="1:16" s="305" customFormat="1" ht="13.35" customHeight="1">
      <c r="A147" s="501"/>
      <c r="B147" s="501" t="s">
        <v>2001</v>
      </c>
      <c r="C147" s="1570" t="s">
        <v>2506</v>
      </c>
      <c r="D147" s="1567"/>
      <c r="E147" s="1567"/>
      <c r="F147" s="1578"/>
      <c r="I147" s="3700"/>
      <c r="N147" s="1577"/>
      <c r="O147" s="1577"/>
      <c r="P147" s="315"/>
    </row>
    <row r="148" spans="1:16" s="305" customFormat="1" ht="3" customHeight="1">
      <c r="A148" s="501"/>
      <c r="B148" s="501"/>
      <c r="C148" s="1567"/>
      <c r="D148" s="1567"/>
      <c r="E148" s="1567"/>
      <c r="F148" s="1578"/>
      <c r="G148" s="1578"/>
      <c r="M148" s="1578"/>
      <c r="N148" s="1577"/>
      <c r="O148" s="1577"/>
      <c r="P148" s="315"/>
    </row>
    <row r="149" spans="1:16" s="305" customFormat="1" ht="13.35" customHeight="1">
      <c r="A149" s="501"/>
      <c r="B149" s="501" t="s">
        <v>757</v>
      </c>
      <c r="C149" s="1570" t="s">
        <v>2719</v>
      </c>
      <c r="D149" s="1567"/>
      <c r="E149" s="1567"/>
      <c r="F149" s="1578"/>
      <c r="G149" s="1578"/>
      <c r="N149" s="1577"/>
      <c r="O149" s="1577"/>
      <c r="P149" s="315"/>
    </row>
    <row r="150" spans="1:16" s="305" customFormat="1" ht="13.35" customHeight="1">
      <c r="A150" s="501"/>
      <c r="B150" s="501"/>
      <c r="C150" s="1567" t="s">
        <v>726</v>
      </c>
      <c r="D150" s="1567"/>
      <c r="E150" s="1567"/>
      <c r="F150" s="1578"/>
      <c r="G150" s="1578"/>
      <c r="I150" s="3700"/>
      <c r="K150" s="1567" t="s">
        <v>1547</v>
      </c>
      <c r="L150" s="1567"/>
      <c r="M150" s="1578"/>
      <c r="N150" s="1578"/>
      <c r="O150" s="3700"/>
      <c r="P150" s="315"/>
    </row>
    <row r="151" spans="1:16" s="305" customFormat="1" ht="6" customHeight="1">
      <c r="A151" s="501"/>
      <c r="B151" s="501"/>
      <c r="C151" s="1567"/>
      <c r="D151" s="1567"/>
      <c r="E151" s="1567"/>
      <c r="F151" s="1578"/>
      <c r="G151" s="1578"/>
      <c r="H151" s="1578"/>
      <c r="I151" s="1578"/>
      <c r="J151" s="322"/>
      <c r="K151" s="1578"/>
      <c r="L151" s="1578"/>
      <c r="N151" s="1577"/>
      <c r="O151" s="1577"/>
      <c r="P151" s="315"/>
    </row>
    <row r="152" spans="1:16" s="305" customFormat="1" ht="13.35" customHeight="1">
      <c r="A152" s="333" t="s">
        <v>1739</v>
      </c>
      <c r="B152" s="330" t="s">
        <v>1201</v>
      </c>
      <c r="D152" s="330"/>
      <c r="E152" s="330"/>
      <c r="F152" s="330"/>
      <c r="G152" s="1578"/>
      <c r="H152" s="1578"/>
      <c r="I152" s="1578"/>
      <c r="J152" s="322"/>
      <c r="K152" s="1578"/>
      <c r="L152" s="1578"/>
      <c r="N152" s="1577"/>
      <c r="O152" s="1577"/>
      <c r="P152" s="315"/>
    </row>
    <row r="153" spans="1:16" s="305" customFormat="1" ht="2.1" customHeight="1">
      <c r="A153" s="333"/>
      <c r="B153" s="501"/>
      <c r="C153" s="1570"/>
      <c r="D153" s="1570"/>
      <c r="E153" s="1570"/>
      <c r="F153" s="1570"/>
      <c r="G153" s="1578"/>
      <c r="H153" s="1578"/>
      <c r="I153" s="1578"/>
      <c r="J153" s="322"/>
      <c r="K153" s="1578"/>
      <c r="L153" s="1578"/>
      <c r="N153" s="1577"/>
      <c r="O153" s="1577"/>
    </row>
    <row r="154" spans="1:16" s="305" customFormat="1" ht="13.35" customHeight="1">
      <c r="A154" s="501"/>
      <c r="B154" s="501" t="s">
        <v>1999</v>
      </c>
      <c r="C154" s="321" t="s">
        <v>1836</v>
      </c>
      <c r="F154" s="1578"/>
      <c r="G154" s="1578"/>
      <c r="H154" s="1578"/>
      <c r="I154" s="1578"/>
      <c r="J154" s="322"/>
      <c r="K154" s="1578"/>
      <c r="L154" s="1578"/>
      <c r="N154" s="1577"/>
      <c r="O154" s="1577"/>
      <c r="P154" s="315"/>
    </row>
    <row r="155" spans="1:16" s="305" customFormat="1" ht="12.6" customHeight="1">
      <c r="A155" s="501"/>
      <c r="B155" s="501"/>
      <c r="C155" s="329" t="s">
        <v>1539</v>
      </c>
      <c r="D155" s="322"/>
      <c r="E155" s="322"/>
      <c r="F155" s="1578"/>
      <c r="G155" s="1578"/>
      <c r="H155" s="1578"/>
      <c r="I155" s="1578"/>
      <c r="K155" s="3728" t="s">
        <v>3009</v>
      </c>
      <c r="N155" s="1577"/>
      <c r="O155" s="1577"/>
      <c r="P155" s="315"/>
    </row>
    <row r="156" spans="1:16" s="305" customFormat="1" ht="12.6" customHeight="1">
      <c r="A156" s="501"/>
      <c r="B156" s="501"/>
      <c r="C156" s="305" t="s">
        <v>621</v>
      </c>
      <c r="K156" s="3729">
        <v>66</v>
      </c>
      <c r="L156" s="310" t="s">
        <v>1808</v>
      </c>
      <c r="P156" s="339">
        <f>IF('Part VI-Revenues &amp; Expenses'!O$60=0,0,K156/'Part VI-Revenues &amp; Expenses'!$O$60)</f>
        <v>1</v>
      </c>
    </row>
    <row r="157" spans="1:16" s="305" customFormat="1" ht="12.6" customHeight="1">
      <c r="A157" s="501"/>
      <c r="B157" s="501"/>
      <c r="C157" s="305" t="s">
        <v>3752</v>
      </c>
      <c r="H157" s="3672">
        <v>66</v>
      </c>
      <c r="I157" s="179"/>
      <c r="J157" s="901" t="s">
        <v>3751</v>
      </c>
      <c r="K157" s="3729">
        <v>696</v>
      </c>
      <c r="L157" s="310" t="s">
        <v>1808</v>
      </c>
      <c r="O157" s="339">
        <f>IF('Part VI-Revenues &amp; Expenses'!$O$60=0,0,H157/'Part VI-Revenues &amp; Expenses'!$O$60)</f>
        <v>1</v>
      </c>
      <c r="P157" s="339">
        <f>IF('Part VI-Revenues &amp; Expenses'!O$60=0,0,K157/'Part VI-Revenues &amp; Expenses'!$O$60)</f>
        <v>10.545454545454545</v>
      </c>
    </row>
    <row r="158" spans="1:16" s="305" customFormat="1" ht="12.6" customHeight="1">
      <c r="A158" s="501"/>
      <c r="B158" s="501"/>
      <c r="C158" s="305" t="s">
        <v>1809</v>
      </c>
      <c r="E158" s="3595" t="s">
        <v>735</v>
      </c>
      <c r="F158" s="3596"/>
      <c r="G158" s="3596"/>
      <c r="H158" s="3596"/>
      <c r="I158" s="3596"/>
      <c r="J158" s="3596"/>
      <c r="K158" s="3633"/>
      <c r="L158" s="340" t="s">
        <v>1810</v>
      </c>
      <c r="M158" s="3730" t="s">
        <v>4558</v>
      </c>
      <c r="N158" s="3731"/>
      <c r="O158" s="3731"/>
      <c r="P158" s="3732"/>
    </row>
    <row r="159" spans="1:16" s="305" customFormat="1" ht="12.6" customHeight="1">
      <c r="A159" s="501"/>
      <c r="B159" s="501"/>
      <c r="C159" s="310" t="s">
        <v>1811</v>
      </c>
      <c r="D159" s="318"/>
      <c r="E159" s="3598" t="s">
        <v>4560</v>
      </c>
      <c r="F159" s="3599"/>
      <c r="G159" s="3599"/>
      <c r="H159" s="3600"/>
      <c r="I159" s="3599"/>
      <c r="J159" s="3600"/>
      <c r="K159" s="3601"/>
      <c r="L159" s="340" t="s">
        <v>1815</v>
      </c>
      <c r="M159" s="3733">
        <v>7063783940</v>
      </c>
      <c r="N159" s="3734"/>
      <c r="O159" s="3735"/>
    </row>
    <row r="160" spans="1:16" s="305" customFormat="1" ht="12.6" customHeight="1">
      <c r="A160" s="501"/>
      <c r="B160" s="501"/>
      <c r="C160" s="310" t="s">
        <v>624</v>
      </c>
      <c r="E160" s="3627" t="s">
        <v>2284</v>
      </c>
      <c r="F160" s="3600"/>
      <c r="G160" s="3600"/>
      <c r="H160" s="3601"/>
      <c r="I160" s="335" t="s">
        <v>2245</v>
      </c>
      <c r="J160" s="3604">
        <v>301610000</v>
      </c>
      <c r="K160" s="3606"/>
      <c r="L160" s="341" t="s">
        <v>1995</v>
      </c>
      <c r="M160" s="3733">
        <v>7062524635</v>
      </c>
      <c r="N160" s="3734"/>
      <c r="O160" s="3735"/>
    </row>
    <row r="161" spans="1:16" s="305" customFormat="1" ht="12.6" customHeight="1">
      <c r="A161" s="501"/>
      <c r="B161" s="501"/>
      <c r="C161" s="310" t="s">
        <v>1814</v>
      </c>
      <c r="E161" s="3613">
        <v>7063783940</v>
      </c>
      <c r="F161" s="3696"/>
      <c r="G161" s="3614"/>
      <c r="H161" s="1564"/>
      <c r="I161" s="1569" t="s">
        <v>1813</v>
      </c>
      <c r="J161" s="3736" t="s">
        <v>4561</v>
      </c>
      <c r="K161" s="3698"/>
      <c r="L161" s="3535"/>
      <c r="M161" s="3698"/>
      <c r="N161" s="3698"/>
      <c r="O161" s="3698"/>
      <c r="P161" s="3536"/>
    </row>
    <row r="162" spans="1:16" s="305" customFormat="1" ht="6" customHeight="1">
      <c r="A162" s="501"/>
      <c r="B162" s="501"/>
      <c r="C162" s="310"/>
      <c r="E162" s="342"/>
      <c r="F162" s="342"/>
      <c r="G162" s="342"/>
      <c r="H162" s="1578"/>
      <c r="I162" s="342"/>
      <c r="J162" s="342"/>
      <c r="K162" s="1578"/>
      <c r="L162" s="342"/>
      <c r="M162" s="342"/>
      <c r="N162" s="1578"/>
      <c r="O162" s="342"/>
      <c r="P162" s="342"/>
    </row>
    <row r="163" spans="1:16" s="305" customFormat="1" ht="12.6" customHeight="1">
      <c r="A163" s="501"/>
      <c r="B163" s="501" t="s">
        <v>2001</v>
      </c>
      <c r="C163" s="1570" t="s">
        <v>2720</v>
      </c>
      <c r="D163" s="1570"/>
      <c r="E163" s="1570"/>
      <c r="F163" s="1570"/>
      <c r="G163" s="1570"/>
      <c r="I163" s="3700" t="s">
        <v>3012</v>
      </c>
      <c r="J163" s="1621" t="s">
        <v>769</v>
      </c>
      <c r="K163" s="1622"/>
      <c r="L163" s="3700"/>
      <c r="M163" s="1623" t="s">
        <v>2342</v>
      </c>
      <c r="N163" s="1624"/>
      <c r="O163" s="1625"/>
      <c r="P163" s="3737"/>
    </row>
    <row r="164" spans="1:16" s="305" customFormat="1" ht="6" customHeight="1">
      <c r="A164" s="501"/>
      <c r="B164" s="501"/>
      <c r="C164" s="1570"/>
      <c r="D164" s="1570"/>
      <c r="E164" s="307"/>
      <c r="F164" s="1570"/>
      <c r="G164" s="1570"/>
      <c r="J164" s="314"/>
      <c r="K164" s="343"/>
      <c r="M164" s="1577"/>
      <c r="O164" s="1578"/>
      <c r="P164" s="315"/>
    </row>
    <row r="165" spans="1:16" s="305" customFormat="1" ht="12.6" customHeight="1">
      <c r="A165" s="501"/>
      <c r="B165" s="501"/>
      <c r="C165" s="1570" t="s">
        <v>2721</v>
      </c>
      <c r="D165" s="1570"/>
      <c r="E165" s="1570"/>
      <c r="F165" s="1570"/>
      <c r="G165" s="1570"/>
      <c r="I165" s="3700" t="s">
        <v>3009</v>
      </c>
      <c r="J165" s="1621" t="s">
        <v>769</v>
      </c>
      <c r="K165" s="1622"/>
      <c r="L165" s="3700">
        <v>2040</v>
      </c>
      <c r="M165" s="1623" t="s">
        <v>2342</v>
      </c>
      <c r="N165" s="1624"/>
      <c r="O165" s="1625"/>
      <c r="P165" s="3737">
        <v>5</v>
      </c>
    </row>
    <row r="166" spans="1:16" s="305" customFormat="1" ht="6" customHeight="1">
      <c r="A166" s="501"/>
      <c r="B166" s="501"/>
      <c r="C166" s="1570"/>
      <c r="D166" s="1570"/>
      <c r="E166" s="307"/>
      <c r="F166" s="1570"/>
      <c r="G166" s="1570"/>
      <c r="J166" s="314"/>
      <c r="K166" s="343"/>
      <c r="M166" s="1577"/>
      <c r="O166" s="1578"/>
      <c r="P166" s="315"/>
    </row>
    <row r="167" spans="1:16" s="305" customFormat="1" ht="12.6" customHeight="1">
      <c r="A167" s="501"/>
      <c r="B167" s="501" t="s">
        <v>757</v>
      </c>
      <c r="C167" s="1570" t="s">
        <v>1770</v>
      </c>
      <c r="D167" s="1570"/>
      <c r="E167" s="1570"/>
      <c r="F167" s="1570"/>
      <c r="G167" s="1570"/>
      <c r="I167" s="3700" t="s">
        <v>3012</v>
      </c>
      <c r="L167" s="280"/>
      <c r="M167" s="280"/>
      <c r="P167" s="315"/>
    </row>
    <row r="168" spans="1:16" s="305" customFormat="1" ht="6" customHeight="1">
      <c r="A168" s="501"/>
      <c r="B168" s="501"/>
      <c r="C168" s="310"/>
      <c r="E168" s="342"/>
      <c r="F168" s="342"/>
      <c r="G168" s="342"/>
      <c r="I168" s="342"/>
      <c r="J168" s="342"/>
      <c r="K168" s="1578"/>
      <c r="L168" s="342"/>
      <c r="M168" s="342"/>
      <c r="N168" s="1578"/>
      <c r="O168" s="342"/>
      <c r="P168" s="342"/>
    </row>
    <row r="169" spans="1:16" s="305" customFormat="1" ht="12.6" customHeight="1">
      <c r="A169" s="501"/>
      <c r="B169" s="501" t="s">
        <v>2131</v>
      </c>
      <c r="C169" s="1626" t="s">
        <v>1994</v>
      </c>
      <c r="D169" s="1626"/>
      <c r="E169" s="1626"/>
      <c r="F169" s="1626"/>
      <c r="G169" s="1570"/>
      <c r="I169" s="3700" t="s">
        <v>3012</v>
      </c>
      <c r="J169" s="345" t="s">
        <v>2770</v>
      </c>
      <c r="L169" s="1627" t="s">
        <v>3727</v>
      </c>
      <c r="M169" s="1627"/>
      <c r="N169" s="1570"/>
      <c r="O169" s="1570"/>
      <c r="P169" s="3671"/>
    </row>
    <row r="170" spans="1:16" s="305" customFormat="1" ht="12.6" customHeight="1">
      <c r="B170" s="501"/>
      <c r="L170" s="1620" t="s">
        <v>805</v>
      </c>
      <c r="M170" s="1620"/>
      <c r="N170" s="1570"/>
      <c r="O170" s="1570"/>
      <c r="P170" s="3673"/>
    </row>
    <row r="171" spans="1:16" s="305" customFormat="1" ht="12.6" customHeight="1">
      <c r="A171" s="501"/>
      <c r="B171" s="501"/>
      <c r="L171" s="1620" t="s">
        <v>1804</v>
      </c>
      <c r="M171" s="1620"/>
      <c r="N171" s="1570"/>
      <c r="O171" s="1570"/>
      <c r="P171" s="344" t="str">
        <f>IF(P169="","",P170/P169)</f>
        <v/>
      </c>
    </row>
    <row r="172" spans="1:16" s="305" customFormat="1" ht="13.35" customHeight="1">
      <c r="A172" s="501"/>
      <c r="B172" s="501" t="s">
        <v>1748</v>
      </c>
      <c r="C172" s="277" t="s">
        <v>1621</v>
      </c>
      <c r="D172" s="1567"/>
      <c r="E172" s="1567"/>
      <c r="F172" s="1567"/>
      <c r="G172" s="1567"/>
      <c r="H172" s="1578"/>
      <c r="J172" s="314"/>
      <c r="K172" s="322"/>
      <c r="M172" s="1577"/>
      <c r="O172" s="1578"/>
      <c r="P172" s="315"/>
    </row>
    <row r="173" spans="1:16" s="305" customFormat="1" ht="12.6" customHeight="1">
      <c r="A173" s="501"/>
      <c r="B173" s="501"/>
      <c r="C173" s="1577" t="s">
        <v>2228</v>
      </c>
      <c r="D173" s="316"/>
      <c r="E173" s="1577"/>
      <c r="F173" s="1577"/>
      <c r="I173" s="3728" t="s">
        <v>3012</v>
      </c>
      <c r="L173" s="1577" t="s">
        <v>1622</v>
      </c>
      <c r="M173" s="1577"/>
      <c r="N173" s="1577"/>
      <c r="P173" s="3728" t="s">
        <v>3009</v>
      </c>
    </row>
    <row r="174" spans="1:16" s="305" customFormat="1" ht="12.6" customHeight="1">
      <c r="A174" s="501"/>
      <c r="B174" s="501"/>
      <c r="C174" s="1577" t="s">
        <v>2229</v>
      </c>
      <c r="I174" s="3725" t="s">
        <v>3012</v>
      </c>
      <c r="L174" s="1577" t="s">
        <v>2862</v>
      </c>
      <c r="M174" s="1577"/>
      <c r="N174" s="1577"/>
      <c r="P174" s="3725" t="s">
        <v>3012</v>
      </c>
    </row>
    <row r="175" spans="1:16" s="305" customFormat="1" ht="12.6" customHeight="1">
      <c r="A175" s="501"/>
      <c r="C175" s="1577" t="s">
        <v>2740</v>
      </c>
      <c r="I175" s="3725" t="s">
        <v>3012</v>
      </c>
      <c r="L175" s="1577" t="s">
        <v>2707</v>
      </c>
      <c r="N175" s="3738"/>
      <c r="O175" s="3739"/>
      <c r="P175" s="3725"/>
    </row>
    <row r="176" spans="1:16" s="305" customFormat="1" ht="12.6" customHeight="1">
      <c r="A176" s="501"/>
      <c r="B176" s="501"/>
      <c r="C176" s="1577" t="s">
        <v>1297</v>
      </c>
      <c r="D176" s="346"/>
      <c r="I176" s="3725" t="s">
        <v>3012</v>
      </c>
      <c r="K176" s="316"/>
      <c r="L176" s="1577" t="s">
        <v>3504</v>
      </c>
      <c r="M176" s="1577"/>
      <c r="N176" s="1577"/>
      <c r="P176" s="3725" t="s">
        <v>3012</v>
      </c>
    </row>
    <row r="177" spans="1:21" s="305" customFormat="1" ht="12.6" customHeight="1">
      <c r="A177" s="501"/>
      <c r="B177" s="307"/>
      <c r="C177" s="1577" t="s">
        <v>1820</v>
      </c>
      <c r="I177" s="3725" t="s">
        <v>3012</v>
      </c>
      <c r="J177" s="345" t="s">
        <v>2771</v>
      </c>
      <c r="O177" s="3740"/>
      <c r="P177" s="3741"/>
    </row>
    <row r="178" spans="1:21" s="305" customFormat="1" ht="12.6" customHeight="1">
      <c r="A178" s="501"/>
      <c r="B178" s="501"/>
      <c r="C178" s="1577" t="s">
        <v>2920</v>
      </c>
      <c r="I178" s="3742" t="s">
        <v>3012</v>
      </c>
      <c r="J178" s="345" t="s">
        <v>2771</v>
      </c>
      <c r="O178" s="3743"/>
      <c r="P178" s="3744"/>
    </row>
    <row r="179" spans="1:21" s="305" customFormat="1" ht="3" customHeight="1">
      <c r="A179" s="501"/>
      <c r="B179" s="501"/>
      <c r="P179" s="314"/>
    </row>
    <row r="180" spans="1:21" s="305" customFormat="1" ht="13.35" customHeight="1">
      <c r="B180" s="501" t="s">
        <v>1749</v>
      </c>
      <c r="C180" s="311" t="s">
        <v>747</v>
      </c>
    </row>
    <row r="181" spans="1:21" s="305" customFormat="1" ht="12.6" customHeight="1">
      <c r="A181" s="501"/>
      <c r="B181" s="501"/>
      <c r="C181" s="310" t="s">
        <v>645</v>
      </c>
      <c r="D181" s="1567"/>
      <c r="E181" s="1567"/>
      <c r="F181" s="1578"/>
      <c r="G181" s="1578"/>
      <c r="H181" s="3680"/>
      <c r="I181" s="3681"/>
      <c r="N181" s="1577"/>
      <c r="O181" s="1577"/>
      <c r="P181" s="315"/>
    </row>
    <row r="182" spans="1:21" s="305" customFormat="1" ht="12.6" customHeight="1">
      <c r="A182" s="501"/>
      <c r="B182" s="501"/>
      <c r="C182" s="310" t="s">
        <v>278</v>
      </c>
      <c r="D182" s="1567"/>
      <c r="E182" s="1567"/>
      <c r="F182" s="1578"/>
      <c r="G182" s="1578"/>
      <c r="H182" s="3745"/>
      <c r="I182" s="3746"/>
      <c r="N182" s="1577"/>
      <c r="O182" s="1577"/>
      <c r="P182" s="315"/>
    </row>
    <row r="183" spans="1:21" s="305" customFormat="1" ht="12.6" customHeight="1">
      <c r="A183" s="501"/>
      <c r="B183" s="501"/>
      <c r="C183" s="310" t="s">
        <v>2311</v>
      </c>
      <c r="D183" s="1567"/>
      <c r="E183" s="1567"/>
      <c r="F183" s="1578"/>
      <c r="G183" s="1578"/>
      <c r="H183" s="3747">
        <v>44105</v>
      </c>
      <c r="I183" s="3748"/>
      <c r="N183" s="1577"/>
      <c r="O183" s="1577"/>
      <c r="P183" s="315"/>
    </row>
    <row r="184" spans="1:21" s="305" customFormat="1" ht="6" customHeight="1">
      <c r="B184" s="307"/>
      <c r="C184" s="1577"/>
      <c r="H184" s="1577"/>
      <c r="L184" s="324"/>
      <c r="M184" s="324"/>
      <c r="N184" s="324"/>
      <c r="O184" s="324"/>
      <c r="P184" s="312"/>
    </row>
    <row r="185" spans="1:21" ht="12" customHeight="1">
      <c r="A185" s="333" t="s">
        <v>2799</v>
      </c>
      <c r="C185" s="333" t="s">
        <v>577</v>
      </c>
      <c r="M185" s="333" t="s">
        <v>2267</v>
      </c>
      <c r="N185" s="333" t="s">
        <v>80</v>
      </c>
    </row>
    <row r="186" spans="1:21" ht="409.5" customHeight="1">
      <c r="A186" s="3578" t="s">
        <v>4742</v>
      </c>
      <c r="B186" s="3579"/>
      <c r="C186" s="3579"/>
      <c r="D186" s="3579"/>
      <c r="E186" s="3579"/>
      <c r="F186" s="3579"/>
      <c r="G186" s="3579"/>
      <c r="H186" s="3579"/>
      <c r="I186" s="3579"/>
      <c r="J186" s="3579"/>
      <c r="K186" s="3579"/>
      <c r="L186" s="3580"/>
      <c r="M186" s="3749"/>
      <c r="N186" s="3750"/>
      <c r="O186" s="3750"/>
      <c r="P186" s="3751"/>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3.1"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52"/>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52"/>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52"/>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52"/>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2902</v>
      </c>
      <c r="K207" s="1181"/>
      <c r="L207" s="1181"/>
      <c r="M207" s="1181"/>
      <c r="N207" s="1181"/>
      <c r="O207" s="1181"/>
      <c r="P207" s="1183"/>
      <c r="Q207" s="3752"/>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2903</v>
      </c>
      <c r="K208" s="1181"/>
      <c r="L208" s="1181"/>
      <c r="M208" s="1181"/>
      <c r="N208" s="1181"/>
      <c r="O208" s="1181"/>
      <c r="P208" s="1183"/>
      <c r="Q208" s="3752"/>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2904</v>
      </c>
      <c r="K209" s="1181"/>
      <c r="L209" s="1181"/>
      <c r="M209" s="1181"/>
      <c r="N209" s="1181"/>
      <c r="O209" s="1181"/>
      <c r="P209" s="1183"/>
      <c r="Q209" s="3752"/>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2905</v>
      </c>
      <c r="K210" s="1181"/>
      <c r="L210" s="1181"/>
      <c r="M210" s="1181"/>
      <c r="N210" s="1181"/>
      <c r="O210" s="1181"/>
      <c r="P210" s="1183"/>
      <c r="Q210" s="3752"/>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2906</v>
      </c>
      <c r="K211" s="1181"/>
      <c r="L211" s="1181"/>
      <c r="M211" s="1181"/>
      <c r="N211" s="1181"/>
      <c r="O211" s="1181"/>
      <c r="P211" s="1183"/>
      <c r="Q211" s="3752"/>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2907</v>
      </c>
      <c r="K212" s="1181"/>
      <c r="L212" s="1181"/>
      <c r="M212" s="1181"/>
      <c r="N212" s="1181"/>
      <c r="O212" s="1181"/>
      <c r="P212" s="1183"/>
      <c r="Q212" s="3752"/>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2908</v>
      </c>
      <c r="K213" s="1181"/>
      <c r="L213" s="1181"/>
      <c r="M213" s="1181"/>
      <c r="N213" s="1181"/>
      <c r="O213" s="1181"/>
      <c r="P213" s="1183"/>
      <c r="Q213" s="3752"/>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2909</v>
      </c>
      <c r="K214" s="1181"/>
      <c r="L214" s="1181"/>
      <c r="M214" s="1181"/>
      <c r="N214" s="1181"/>
      <c r="O214" s="1181"/>
      <c r="P214" s="1183"/>
      <c r="Q214" s="3752"/>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2910</v>
      </c>
      <c r="K215" s="1181"/>
      <c r="L215" s="1181"/>
      <c r="M215" s="1181"/>
      <c r="N215" s="1181"/>
      <c r="O215" s="1181"/>
      <c r="P215" s="1183"/>
      <c r="Q215" s="3752"/>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3899</v>
      </c>
      <c r="K216" s="1181"/>
      <c r="L216" s="1181"/>
      <c r="M216" s="1181"/>
      <c r="N216" s="1181"/>
      <c r="O216" s="1181"/>
      <c r="P216" s="1183"/>
      <c r="Q216" s="3752"/>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52"/>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52"/>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52"/>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52"/>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52"/>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53"/>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52"/>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52"/>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52"/>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53"/>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52"/>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52"/>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52"/>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52"/>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52"/>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52"/>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52"/>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52"/>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52"/>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52"/>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52"/>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52"/>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52"/>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54"/>
      <c r="Q240" s="3752"/>
      <c r="R240" s="1183"/>
      <c r="S240" s="3755"/>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52"/>
      <c r="R241" s="1183"/>
      <c r="S241" s="3755"/>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52"/>
      <c r="R242" s="1183"/>
      <c r="S242" s="3755"/>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52"/>
      <c r="R243" s="1183"/>
      <c r="S243" s="3755"/>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53"/>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52"/>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52"/>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54"/>
      <c r="Q248" s="3752"/>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52"/>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52"/>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52"/>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52"/>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52"/>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52"/>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52"/>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54"/>
      <c r="Q256" s="3752"/>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52"/>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52"/>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52"/>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52"/>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52"/>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52"/>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52"/>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52"/>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52"/>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52"/>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52"/>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52"/>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52"/>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52"/>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52"/>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52"/>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52"/>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52"/>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52"/>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52"/>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52"/>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52"/>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52"/>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52"/>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52"/>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52"/>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52"/>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52"/>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52"/>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52"/>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52"/>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52"/>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52"/>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52"/>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52"/>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52"/>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52"/>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52"/>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52"/>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52"/>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52"/>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54"/>
      <c r="Q298" s="3752"/>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52"/>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52"/>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52"/>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52"/>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52"/>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52"/>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52"/>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52"/>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52"/>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52"/>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52"/>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52"/>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52"/>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53"/>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52"/>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52"/>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52"/>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53"/>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52"/>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52"/>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54"/>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52"/>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52"/>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52"/>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53"/>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52"/>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54"/>
      <c r="Q327" s="3752"/>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52"/>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52"/>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52"/>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53"/>
      <c r="Q333" s="3752"/>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52"/>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52"/>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52"/>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52"/>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52"/>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52"/>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52"/>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52"/>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52"/>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52"/>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52"/>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52"/>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52"/>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52"/>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52"/>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52"/>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52"/>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54"/>
      <c r="Q351" s="3752"/>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52"/>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52"/>
      <c r="R353" s="1183"/>
      <c r="S353" s="3755"/>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52"/>
      <c r="R354" s="1183"/>
      <c r="S354" s="3755"/>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52"/>
      <c r="R355" s="1183"/>
      <c r="S355" s="3755"/>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55"/>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54"/>
      <c r="Q357" s="1181"/>
      <c r="R357" s="1183"/>
      <c r="S357" s="3755"/>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55"/>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55"/>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54"/>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54"/>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54"/>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54"/>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54"/>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54"/>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54"/>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54"/>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56"/>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57"/>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57"/>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57"/>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57"/>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57"/>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57"/>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57"/>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57"/>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57"/>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57"/>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57"/>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56"/>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56"/>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57"/>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57"/>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56"/>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57"/>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57"/>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57"/>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56"/>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57"/>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57"/>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57"/>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56"/>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57"/>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55" t="s">
        <v>95</v>
      </c>
      <c r="S613" s="3755" t="s">
        <v>97</v>
      </c>
      <c r="T613" s="3755"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55" t="s">
        <v>2578</v>
      </c>
      <c r="S614" s="3755" t="s">
        <v>634</v>
      </c>
      <c r="T614" s="3758"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57"/>
      <c r="R615" s="3755" t="s">
        <v>2579</v>
      </c>
      <c r="S615" s="3755" t="s">
        <v>321</v>
      </c>
      <c r="T615" s="3758"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55" t="s">
        <v>2580</v>
      </c>
      <c r="S616" s="3755" t="s">
        <v>2499</v>
      </c>
      <c r="T616" s="3758"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55" t="s">
        <v>2581</v>
      </c>
      <c r="S617" s="3755"/>
      <c r="T617" s="3758"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55" t="s">
        <v>2582</v>
      </c>
      <c r="S618" s="3755" t="s">
        <v>2023</v>
      </c>
      <c r="T618" s="3758"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55" t="s">
        <v>2583</v>
      </c>
      <c r="S619" s="3755" t="s">
        <v>2499</v>
      </c>
      <c r="T619" s="3758"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55" t="s">
        <v>2584</v>
      </c>
      <c r="S620" s="3755" t="s">
        <v>1339</v>
      </c>
      <c r="T620" s="3758"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55" t="s">
        <v>2585</v>
      </c>
      <c r="S621" s="3755" t="s">
        <v>2025</v>
      </c>
      <c r="T621" s="3758"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55" t="s">
        <v>2586</v>
      </c>
      <c r="S622" s="3755" t="s">
        <v>672</v>
      </c>
      <c r="T622" s="3758"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55" t="s">
        <v>2587</v>
      </c>
      <c r="S623" s="3755" t="s">
        <v>634</v>
      </c>
      <c r="T623" s="3758"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55" t="s">
        <v>2588</v>
      </c>
      <c r="S624" s="3755" t="s">
        <v>2188</v>
      </c>
      <c r="T624" s="3758"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55" t="s">
        <v>2589</v>
      </c>
      <c r="S625" s="3755" t="s">
        <v>2548</v>
      </c>
      <c r="T625" s="3758"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55" t="s">
        <v>2260</v>
      </c>
      <c r="S626" s="3755" t="s">
        <v>2545</v>
      </c>
      <c r="T626" s="3758"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55" t="s">
        <v>2590</v>
      </c>
      <c r="S627" s="3755" t="s">
        <v>2188</v>
      </c>
      <c r="T627" s="3758"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55" t="s">
        <v>2591</v>
      </c>
      <c r="S628" s="3755" t="s">
        <v>2502</v>
      </c>
      <c r="T628" s="3758"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56"/>
      <c r="R629" s="3755" t="s">
        <v>2592</v>
      </c>
      <c r="S629" s="3755" t="s">
        <v>2023</v>
      </c>
      <c r="T629" s="3758"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55" t="s">
        <v>1055</v>
      </c>
      <c r="S630" s="3755" t="s">
        <v>1468</v>
      </c>
      <c r="T630" s="3758"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57"/>
      <c r="R631" s="3755" t="s">
        <v>913</v>
      </c>
      <c r="S631" s="3755" t="s">
        <v>1113</v>
      </c>
      <c r="T631" s="3758"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55" t="s">
        <v>1056</v>
      </c>
      <c r="S632" s="3755" t="s">
        <v>634</v>
      </c>
      <c r="T632" s="3758"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55" t="s">
        <v>1057</v>
      </c>
      <c r="S633" s="3755" t="s">
        <v>1926</v>
      </c>
      <c r="T633" s="3758"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57"/>
      <c r="R634" s="3755" t="s">
        <v>1058</v>
      </c>
      <c r="S634" s="3755" t="s">
        <v>2021</v>
      </c>
      <c r="T634" s="3758"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55" t="s">
        <v>1059</v>
      </c>
      <c r="S635" s="3755" t="s">
        <v>1106</v>
      </c>
      <c r="T635" s="3758"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59"/>
      <c r="R636" s="3755" t="s">
        <v>1060</v>
      </c>
      <c r="S636" s="3755" t="s">
        <v>1532</v>
      </c>
      <c r="T636" s="3758"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55" t="s">
        <v>1061</v>
      </c>
      <c r="S637" s="3755" t="s">
        <v>2499</v>
      </c>
      <c r="T637" s="3758"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57"/>
      <c r="R638" s="3755" t="s">
        <v>1062</v>
      </c>
      <c r="S638" s="3755" t="s">
        <v>160</v>
      </c>
      <c r="T638" s="3758"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57"/>
      <c r="R639" s="3755" t="s">
        <v>1063</v>
      </c>
      <c r="S639" s="3755" t="s">
        <v>1346</v>
      </c>
      <c r="T639" s="3758"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55" t="s">
        <v>1064</v>
      </c>
      <c r="S640" s="3755" t="s">
        <v>1532</v>
      </c>
      <c r="T640" s="3758"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55" t="s">
        <v>1065</v>
      </c>
      <c r="S641" s="3755" t="s">
        <v>1120</v>
      </c>
      <c r="T641" s="3758"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55" t="s">
        <v>1066</v>
      </c>
      <c r="S642" s="3755" t="s">
        <v>2021</v>
      </c>
      <c r="T642" s="3758"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58"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55" t="s">
        <v>1067</v>
      </c>
      <c r="S644" s="3755" t="s">
        <v>2502</v>
      </c>
      <c r="T644" s="3758"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55" t="s">
        <v>1619</v>
      </c>
      <c r="S645" s="3755" t="s">
        <v>2545</v>
      </c>
      <c r="T645" s="3758"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55" t="s">
        <v>1068</v>
      </c>
      <c r="S646" s="3755"/>
      <c r="T646" s="3758"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55" t="s">
        <v>185</v>
      </c>
      <c r="S647" s="3755" t="s">
        <v>160</v>
      </c>
      <c r="T647" s="3758"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55" t="s">
        <v>1069</v>
      </c>
      <c r="S648" s="3755" t="s">
        <v>176</v>
      </c>
      <c r="T648" s="3758"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55" t="s">
        <v>2301</v>
      </c>
      <c r="S649" s="3755" t="s">
        <v>1218</v>
      </c>
      <c r="T649" s="3758"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55" t="s">
        <v>1070</v>
      </c>
      <c r="S650" s="3755" t="s">
        <v>634</v>
      </c>
      <c r="T650" s="3758"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55" t="s">
        <v>1071</v>
      </c>
      <c r="S651" s="3755" t="s">
        <v>634</v>
      </c>
      <c r="T651" s="3758"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55" t="s">
        <v>1072</v>
      </c>
      <c r="S652" s="3755" t="s">
        <v>634</v>
      </c>
      <c r="T652" s="3758"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55" t="s">
        <v>1073</v>
      </c>
      <c r="S653" s="3755" t="s">
        <v>634</v>
      </c>
      <c r="T653" s="3758"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55" t="s">
        <v>1074</v>
      </c>
      <c r="S654" s="3755" t="s">
        <v>1681</v>
      </c>
      <c r="T654" s="3758"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55" t="s">
        <v>1075</v>
      </c>
      <c r="S655" s="3755" t="s">
        <v>964</v>
      </c>
      <c r="T655" s="3758"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55" t="s">
        <v>1076</v>
      </c>
      <c r="S656" s="3755" t="s">
        <v>123</v>
      </c>
      <c r="T656" s="3758"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57"/>
      <c r="R657" s="3755" t="s">
        <v>1077</v>
      </c>
      <c r="S657" s="3755" t="s">
        <v>634</v>
      </c>
      <c r="T657" s="3758"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55" t="s">
        <v>1078</v>
      </c>
      <c r="S658" s="3755" t="s">
        <v>318</v>
      </c>
      <c r="T658" s="3758"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55" t="s">
        <v>1079</v>
      </c>
      <c r="S659" s="3755" t="s">
        <v>322</v>
      </c>
      <c r="T659" s="3758"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55" t="s">
        <v>840</v>
      </c>
      <c r="S660" s="3755" t="s">
        <v>1325</v>
      </c>
      <c r="T660" s="3758"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55" t="s">
        <v>1080</v>
      </c>
      <c r="S661" s="3755" t="s">
        <v>672</v>
      </c>
      <c r="T661" s="3758"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55" t="s">
        <v>1081</v>
      </c>
      <c r="S662" s="3755" t="s">
        <v>1532</v>
      </c>
      <c r="T662" s="3758"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55" t="s">
        <v>1082</v>
      </c>
      <c r="S663" s="3755" t="s">
        <v>634</v>
      </c>
      <c r="T663" s="3758"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55" t="s">
        <v>1083</v>
      </c>
      <c r="S664" s="3755" t="s">
        <v>664</v>
      </c>
      <c r="T664" s="3758"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55" t="s">
        <v>1084</v>
      </c>
      <c r="S665" s="3755" t="s">
        <v>160</v>
      </c>
      <c r="T665" s="3758"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56"/>
      <c r="R666" s="3755" t="s">
        <v>1085</v>
      </c>
      <c r="S666" s="3755" t="s">
        <v>1926</v>
      </c>
      <c r="T666" s="3758"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57"/>
      <c r="R667" s="3755" t="s">
        <v>1086</v>
      </c>
      <c r="S667" s="3755" t="s">
        <v>2021</v>
      </c>
      <c r="T667" s="3758"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55" t="s">
        <v>1087</v>
      </c>
      <c r="S668" s="3755" t="s">
        <v>634</v>
      </c>
      <c r="T668" s="3758"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55" t="s">
        <v>1088</v>
      </c>
      <c r="S669" s="3755" t="s">
        <v>1681</v>
      </c>
      <c r="T669" s="3758"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57"/>
      <c r="R670" s="3755" t="s">
        <v>1089</v>
      </c>
      <c r="S670" s="3755" t="s">
        <v>2502</v>
      </c>
      <c r="T670" s="3758"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55" t="s">
        <v>1090</v>
      </c>
      <c r="S671" s="3755" t="s">
        <v>160</v>
      </c>
      <c r="T671" s="3758"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55" t="s">
        <v>1091</v>
      </c>
      <c r="S672" s="3755" t="s">
        <v>160</v>
      </c>
      <c r="T672" s="3758"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57"/>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57"/>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57"/>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57"/>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57"/>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57"/>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59"/>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56"/>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57"/>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57"/>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56"/>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57"/>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56"/>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57"/>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57"/>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NeE/yonaa2WpzdaunYnXqlRSunoJwAQ/CNSk93OtIyAG5zzuMwEUMeuwY78JKzB/M4q+5zhCZtWTliAPWaoI0w==" saltValue="Hy/eBbioPv6ZrwirSoabC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Altoview Terrace</v>
      </c>
      <c r="C1" s="2247"/>
      <c r="D1" s="2247"/>
      <c r="E1" s="2247"/>
      <c r="F1" s="2247"/>
      <c r="G1" s="2247"/>
      <c r="H1" s="1441"/>
    </row>
    <row r="2" spans="1:8" ht="21.95" customHeight="1">
      <c r="A2" s="1469"/>
      <c r="B2" s="1469"/>
      <c r="C2" s="1469"/>
      <c r="D2" s="1469"/>
      <c r="E2" s="1469"/>
      <c r="F2" s="1469"/>
      <c r="G2" s="1469"/>
      <c r="H2" s="1469"/>
    </row>
    <row r="3" spans="1:8" ht="20.25" customHeight="1">
      <c r="C3" s="2246" t="s">
        <v>3096</v>
      </c>
      <c r="D3" s="2246"/>
      <c r="E3" s="2246"/>
      <c r="F3" s="2246"/>
    </row>
    <row r="5" spans="1:8" ht="15.75">
      <c r="D5" s="1402"/>
      <c r="E5" s="1402" t="s">
        <v>3097</v>
      </c>
    </row>
    <row r="6" spans="1:8" ht="15.75">
      <c r="D6" s="1442" t="s">
        <v>2496</v>
      </c>
      <c r="E6" s="1442" t="s">
        <v>3098</v>
      </c>
    </row>
    <row r="7" spans="1:8" ht="15">
      <c r="D7" s="1403"/>
      <c r="E7" s="1403"/>
    </row>
    <row r="8" spans="1:8" ht="21" customHeight="1">
      <c r="D8" s="1404">
        <v>1</v>
      </c>
      <c r="E8" s="1405">
        <f>-'Part VII-Pro Forma'!B23/12</f>
        <v>0</v>
      </c>
    </row>
    <row r="9" spans="1:8" ht="21" customHeight="1">
      <c r="D9" s="1404">
        <v>2</v>
      </c>
      <c r="E9" s="1405">
        <f>-'Part VII-Pro Forma'!C23/12</f>
        <v>0</v>
      </c>
    </row>
    <row r="10" spans="1:8" ht="21" customHeight="1">
      <c r="D10" s="1404">
        <v>3</v>
      </c>
      <c r="E10" s="1405">
        <f>-'Part VII-Pro Forma'!D23/12</f>
        <v>0</v>
      </c>
    </row>
    <row r="11" spans="1:8" ht="21" customHeight="1">
      <c r="D11" s="1406">
        <v>4</v>
      </c>
      <c r="E11" s="1405">
        <f>-'Part VII-Pro Forma'!E23/12</f>
        <v>0</v>
      </c>
    </row>
    <row r="12" spans="1:8" ht="21" customHeight="1">
      <c r="D12" s="1406">
        <v>5</v>
      </c>
      <c r="E12" s="1405">
        <f>-'Part VII-Pro Forma'!F23/12</f>
        <v>0</v>
      </c>
    </row>
    <row r="13" spans="1:8" ht="21" customHeight="1">
      <c r="D13" s="1404">
        <v>6</v>
      </c>
      <c r="E13" s="1405">
        <f>-'Part VII-Pro Forma'!G23/12</f>
        <v>0</v>
      </c>
    </row>
    <row r="14" spans="1:8" ht="21" customHeight="1">
      <c r="D14" s="1404">
        <v>7</v>
      </c>
      <c r="E14" s="1405">
        <f>-'Part VII-Pro Forma'!H23/12</f>
        <v>0</v>
      </c>
    </row>
    <row r="15" spans="1:8" ht="21" customHeight="1">
      <c r="D15" s="1406">
        <v>8</v>
      </c>
      <c r="E15" s="1405">
        <f>-'Part VII-Pro Forma'!I23/12</f>
        <v>0</v>
      </c>
    </row>
    <row r="16" spans="1:8" ht="21" customHeight="1">
      <c r="D16" s="1404">
        <v>9</v>
      </c>
      <c r="E16" s="1405">
        <f>-'Part VII-Pro Forma'!J23/12</f>
        <v>0</v>
      </c>
    </row>
    <row r="17" spans="4:8" ht="21" customHeight="1">
      <c r="D17" s="1404">
        <v>10</v>
      </c>
      <c r="E17" s="1405">
        <f>-'Part VII-Pro Forma'!K23/12</f>
        <v>0</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zoomScalePageLayoutView="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42578125" style="809" customWidth="1"/>
    <col min="5" max="5" width="13.7109375" style="809" customWidth="1"/>
    <col min="6" max="6" width="2.7109375" style="809" customWidth="1"/>
    <col min="7" max="7" width="11.7109375" style="809" customWidth="1"/>
    <col min="8" max="8" width="8.42578125" style="809" customWidth="1"/>
    <col min="9" max="9" width="13.7109375" style="809" customWidth="1"/>
    <col min="10" max="10" width="4.7109375" style="809" customWidth="1"/>
    <col min="11" max="11" width="25.7109375" style="809" customWidth="1"/>
    <col min="12" max="256" width="8.85546875" style="809"/>
    <col min="257" max="257" width="11.42578125" style="809" bestFit="1" customWidth="1"/>
    <col min="258" max="258" width="12.42578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42578125" style="809" bestFit="1" customWidth="1"/>
    <col min="514" max="514" width="12.42578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42578125" style="809" bestFit="1" customWidth="1"/>
    <col min="770" max="770" width="12.42578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42578125" style="809" bestFit="1" customWidth="1"/>
    <col min="1026" max="1026" width="12.42578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42578125" style="809" bestFit="1" customWidth="1"/>
    <col min="1282" max="1282" width="12.42578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42578125" style="809" bestFit="1" customWidth="1"/>
    <col min="1538" max="1538" width="12.42578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42578125" style="809" bestFit="1" customWidth="1"/>
    <col min="1794" max="1794" width="12.42578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42578125" style="809" bestFit="1" customWidth="1"/>
    <col min="2050" max="2050" width="12.42578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42578125" style="809" bestFit="1" customWidth="1"/>
    <col min="2306" max="2306" width="12.42578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42578125" style="809" bestFit="1" customWidth="1"/>
    <col min="2562" max="2562" width="12.42578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42578125" style="809" bestFit="1" customWidth="1"/>
    <col min="2818" max="2818" width="12.42578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42578125" style="809" bestFit="1" customWidth="1"/>
    <col min="3074" max="3074" width="12.42578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42578125" style="809" bestFit="1" customWidth="1"/>
    <col min="3330" max="3330" width="12.42578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42578125" style="809" bestFit="1" customWidth="1"/>
    <col min="3586" max="3586" width="12.42578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42578125" style="809" bestFit="1" customWidth="1"/>
    <col min="3842" max="3842" width="12.42578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42578125" style="809" bestFit="1" customWidth="1"/>
    <col min="4098" max="4098" width="12.42578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42578125" style="809" bestFit="1" customWidth="1"/>
    <col min="4354" max="4354" width="12.42578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42578125" style="809" bestFit="1" customWidth="1"/>
    <col min="4610" max="4610" width="12.42578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42578125" style="809" bestFit="1" customWidth="1"/>
    <col min="4866" max="4866" width="12.42578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42578125" style="809" bestFit="1" customWidth="1"/>
    <col min="5122" max="5122" width="12.42578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42578125" style="809" bestFit="1" customWidth="1"/>
    <col min="5378" max="5378" width="12.42578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42578125" style="809" bestFit="1" customWidth="1"/>
    <col min="5634" max="5634" width="12.42578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42578125" style="809" bestFit="1" customWidth="1"/>
    <col min="5890" max="5890" width="12.42578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42578125" style="809" bestFit="1" customWidth="1"/>
    <col min="6146" max="6146" width="12.42578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42578125" style="809" bestFit="1" customWidth="1"/>
    <col min="6402" max="6402" width="12.42578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42578125" style="809" bestFit="1" customWidth="1"/>
    <col min="6658" max="6658" width="12.42578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42578125" style="809" bestFit="1" customWidth="1"/>
    <col min="6914" max="6914" width="12.42578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42578125" style="809" bestFit="1" customWidth="1"/>
    <col min="7170" max="7170" width="12.42578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42578125" style="809" bestFit="1" customWidth="1"/>
    <col min="7426" max="7426" width="12.42578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42578125" style="809" bestFit="1" customWidth="1"/>
    <col min="7682" max="7682" width="12.42578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42578125" style="809" bestFit="1" customWidth="1"/>
    <col min="7938" max="7938" width="12.42578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42578125" style="809" bestFit="1" customWidth="1"/>
    <col min="8194" max="8194" width="12.42578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42578125" style="809" bestFit="1" customWidth="1"/>
    <col min="8450" max="8450" width="12.42578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42578125" style="809" bestFit="1" customWidth="1"/>
    <col min="8706" max="8706" width="12.42578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42578125" style="809" bestFit="1" customWidth="1"/>
    <col min="8962" max="8962" width="12.42578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42578125" style="809" bestFit="1" customWidth="1"/>
    <col min="9218" max="9218" width="12.42578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42578125" style="809" bestFit="1" customWidth="1"/>
    <col min="9474" max="9474" width="12.42578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42578125" style="809" bestFit="1" customWidth="1"/>
    <col min="9730" max="9730" width="12.42578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42578125" style="809" bestFit="1" customWidth="1"/>
    <col min="9986" max="9986" width="12.42578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42578125" style="809" bestFit="1" customWidth="1"/>
    <col min="10242" max="10242" width="12.42578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42578125" style="809" bestFit="1" customWidth="1"/>
    <col min="10498" max="10498" width="12.42578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42578125" style="809" bestFit="1" customWidth="1"/>
    <col min="10754" max="10754" width="12.42578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42578125" style="809" bestFit="1" customWidth="1"/>
    <col min="11010" max="11010" width="12.42578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42578125" style="809" bestFit="1" customWidth="1"/>
    <col min="11266" max="11266" width="12.42578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42578125" style="809" bestFit="1" customWidth="1"/>
    <col min="11522" max="11522" width="12.42578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42578125" style="809" bestFit="1" customWidth="1"/>
    <col min="11778" max="11778" width="12.42578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42578125" style="809" bestFit="1" customWidth="1"/>
    <col min="12034" max="12034" width="12.42578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42578125" style="809" bestFit="1" customWidth="1"/>
    <col min="12290" max="12290" width="12.42578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42578125" style="809" bestFit="1" customWidth="1"/>
    <col min="12546" max="12546" width="12.42578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42578125" style="809" bestFit="1" customWidth="1"/>
    <col min="12802" max="12802" width="12.42578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42578125" style="809" bestFit="1" customWidth="1"/>
    <col min="13058" max="13058" width="12.42578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42578125" style="809" bestFit="1" customWidth="1"/>
    <col min="13314" max="13314" width="12.42578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42578125" style="809" bestFit="1" customWidth="1"/>
    <col min="13570" max="13570" width="12.42578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42578125" style="809" bestFit="1" customWidth="1"/>
    <col min="13826" max="13826" width="12.42578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42578125" style="809" bestFit="1" customWidth="1"/>
    <col min="14082" max="14082" width="12.42578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42578125" style="809" bestFit="1" customWidth="1"/>
    <col min="14338" max="14338" width="12.42578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42578125" style="809" bestFit="1" customWidth="1"/>
    <col min="14594" max="14594" width="12.42578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42578125" style="809" bestFit="1" customWidth="1"/>
    <col min="14850" max="14850" width="12.42578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42578125" style="809" bestFit="1" customWidth="1"/>
    <col min="15106" max="15106" width="12.42578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42578125" style="809" bestFit="1" customWidth="1"/>
    <col min="15362" max="15362" width="12.42578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42578125" style="809" bestFit="1" customWidth="1"/>
    <col min="15618" max="15618" width="12.42578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42578125" style="809" bestFit="1" customWidth="1"/>
    <col min="15874" max="15874" width="12.42578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42578125" style="809" bestFit="1" customWidth="1"/>
    <col min="16130" max="16130" width="12.42578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3099</v>
      </c>
      <c r="B1" s="2248"/>
      <c r="C1" s="2248"/>
      <c r="D1" s="2248"/>
      <c r="E1" s="2248"/>
      <c r="F1" s="2248"/>
      <c r="G1" s="2248"/>
      <c r="H1" s="2248"/>
      <c r="I1" s="2248"/>
      <c r="J1" s="2248"/>
      <c r="K1" s="2248"/>
    </row>
    <row r="2" spans="1:11" ht="15">
      <c r="A2" s="2262" t="str">
        <f>Overview!C8</f>
        <v>Altoview Terrace</v>
      </c>
      <c r="B2" s="2262"/>
      <c r="C2" s="2262"/>
      <c r="D2" s="2262"/>
      <c r="E2" s="2262"/>
      <c r="F2" s="2262"/>
      <c r="G2" s="2262"/>
      <c r="H2" s="2262"/>
      <c r="I2" s="2262"/>
      <c r="J2" s="2262"/>
      <c r="K2" s="2262"/>
    </row>
    <row r="3" spans="1:11" ht="9" customHeight="1">
      <c r="A3" s="810"/>
      <c r="B3" s="810"/>
      <c r="C3" s="810"/>
    </row>
    <row r="4" spans="1:11" ht="18">
      <c r="A4" s="811" t="s">
        <v>3574</v>
      </c>
      <c r="B4" s="810"/>
      <c r="C4" s="810"/>
      <c r="K4" s="812"/>
    </row>
    <row r="5" spans="1:11" s="767" customFormat="1" ht="42" customHeight="1">
      <c r="C5" s="2249" t="s">
        <v>4524</v>
      </c>
      <c r="D5" s="2250"/>
      <c r="E5" s="2251"/>
      <c r="F5" s="593"/>
      <c r="G5" s="2249" t="s">
        <v>4525</v>
      </c>
      <c r="H5" s="2250"/>
      <c r="I5" s="2251"/>
      <c r="J5" s="809"/>
      <c r="K5" s="2260" t="s">
        <v>4526</v>
      </c>
    </row>
    <row r="6" spans="1:11" s="814" customFormat="1" ht="15" customHeight="1">
      <c r="A6" s="813" t="s">
        <v>2732</v>
      </c>
      <c r="C6" s="815" t="s">
        <v>3557</v>
      </c>
      <c r="D6" s="815" t="s">
        <v>4527</v>
      </c>
      <c r="E6" s="815" t="s">
        <v>2006</v>
      </c>
      <c r="G6" s="815" t="s">
        <v>3558</v>
      </c>
      <c r="H6" s="815" t="s">
        <v>4528</v>
      </c>
      <c r="I6" s="815" t="s">
        <v>2006</v>
      </c>
      <c r="K6" s="2261"/>
    </row>
    <row r="7" spans="1:11" s="593" customFormat="1" ht="13.5" customHeight="1">
      <c r="A7" s="593" t="s">
        <v>3100</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16</v>
      </c>
      <c r="E8" s="819">
        <f>C8*D8</f>
        <v>0</v>
      </c>
      <c r="G8" s="817"/>
      <c r="H8" s="818">
        <f>'Part VI-Revenues &amp; Expenses'!$K$62</f>
        <v>16</v>
      </c>
      <c r="I8" s="819">
        <f>G8*H8</f>
        <v>0</v>
      </c>
      <c r="K8" s="816" t="s">
        <v>3559</v>
      </c>
    </row>
    <row r="9" spans="1:11" s="593" customFormat="1" ht="13.5" customHeight="1">
      <c r="A9" s="593" t="s">
        <v>2731</v>
      </c>
      <c r="C9" s="817"/>
      <c r="D9" s="1407">
        <f>'Part VI-Revenues &amp; Expenses'!$L$58</f>
        <v>32</v>
      </c>
      <c r="E9" s="819">
        <f>C9*D9</f>
        <v>0</v>
      </c>
      <c r="G9" s="817"/>
      <c r="H9" s="818">
        <f>'Part VI-Revenues &amp; Expenses'!$L$62</f>
        <v>32</v>
      </c>
      <c r="I9" s="819">
        <f>G9*H9</f>
        <v>0</v>
      </c>
      <c r="K9" s="1414">
        <f>'Part IV-A-Uses of Funds'!$G$132</f>
        <v>13480710.35</v>
      </c>
    </row>
    <row r="10" spans="1:11" s="593" customFormat="1" ht="13.5" customHeight="1">
      <c r="A10" s="593" t="s">
        <v>2734</v>
      </c>
      <c r="C10" s="817"/>
      <c r="D10" s="1407">
        <f>'Part VI-Revenues &amp; Expenses'!$M$58</f>
        <v>16</v>
      </c>
      <c r="E10" s="819">
        <f>C10*D10</f>
        <v>0</v>
      </c>
      <c r="G10" s="817"/>
      <c r="H10" s="818">
        <f>'Part VI-Revenues &amp; Expenses'!$M$62</f>
        <v>16</v>
      </c>
      <c r="I10" s="819">
        <f>G10*H10</f>
        <v>0</v>
      </c>
      <c r="K10" s="816" t="s">
        <v>3560</v>
      </c>
    </row>
    <row r="11" spans="1:11" s="593" customFormat="1" ht="13.5" customHeight="1">
      <c r="A11" s="821" t="s">
        <v>3556</v>
      </c>
      <c r="C11" s="822"/>
      <c r="D11" s="1408">
        <f>'Part VI-Revenues &amp; Expenses'!$N$58</f>
        <v>2</v>
      </c>
      <c r="E11" s="824">
        <f>C11*D11</f>
        <v>0</v>
      </c>
      <c r="G11" s="822"/>
      <c r="H11" s="823">
        <f>'Part VI-Revenues &amp; Expenses'!$N$62</f>
        <v>2</v>
      </c>
      <c r="I11" s="824">
        <f>G11*H11</f>
        <v>0</v>
      </c>
      <c r="K11" s="2252" t="s">
        <v>3564</v>
      </c>
    </row>
    <row r="12" spans="1:11" ht="13.5" customHeight="1" thickBot="1">
      <c r="A12" s="825" t="s">
        <v>3526</v>
      </c>
      <c r="D12" s="856">
        <f>SUM(D7:D11)</f>
        <v>66</v>
      </c>
      <c r="E12" s="826"/>
      <c r="G12" s="825" t="s">
        <v>1806</v>
      </c>
      <c r="H12" s="1413">
        <f>SUM(H7:H11)</f>
        <v>66</v>
      </c>
      <c r="I12" s="826"/>
      <c r="K12" s="2253"/>
    </row>
    <row r="13" spans="1:11" s="593" customFormat="1" ht="13.5" customHeight="1" thickBot="1">
      <c r="A13" s="825" t="s">
        <v>3101</v>
      </c>
      <c r="B13" s="827"/>
      <c r="E13" s="828">
        <f>SUM(E7:E11)</f>
        <v>0</v>
      </c>
      <c r="G13" s="825" t="s">
        <v>3337</v>
      </c>
      <c r="H13" s="827"/>
      <c r="I13" s="829">
        <f>SUM(I7:I11)</f>
        <v>0</v>
      </c>
      <c r="K13" s="1414">
        <f>'Part VIII-Threshold Criteria'!$P$63</f>
        <v>13494772</v>
      </c>
    </row>
    <row r="14" spans="1:11" ht="11.25" customHeight="1">
      <c r="G14" s="830" t="s">
        <v>3561</v>
      </c>
    </row>
    <row r="15" spans="1:11" s="593" customFormat="1" ht="9" customHeight="1"/>
    <row r="16" spans="1:11" ht="16.5" customHeight="1">
      <c r="A16" s="811" t="s">
        <v>3575</v>
      </c>
    </row>
    <row r="17" spans="1:11" ht="6" customHeight="1"/>
    <row r="18" spans="1:11" s="593" customFormat="1" ht="13.5" customHeight="1">
      <c r="A18" s="593" t="s">
        <v>3563</v>
      </c>
      <c r="E18" s="1415" t="s">
        <v>4312</v>
      </c>
      <c r="F18" s="1416"/>
      <c r="G18" s="1416"/>
      <c r="H18" s="1416"/>
      <c r="I18" s="1416"/>
      <c r="K18" s="1392">
        <f>Overview!$E$13</f>
        <v>66</v>
      </c>
    </row>
    <row r="19" spans="1:11" s="593" customFormat="1" ht="13.5" customHeight="1">
      <c r="A19" s="593" t="s">
        <v>3102</v>
      </c>
      <c r="E19" s="1410"/>
      <c r="K19" s="680">
        <f>Overview!$C$13</f>
        <v>66</v>
      </c>
    </row>
    <row r="20" spans="1:11" ht="3" customHeight="1">
      <c r="A20" s="831"/>
      <c r="E20" s="1411"/>
    </row>
    <row r="21" spans="1:11" s="593" customFormat="1" ht="13.5" customHeight="1">
      <c r="A21" s="593" t="s">
        <v>3103</v>
      </c>
      <c r="E21" s="1409" t="s">
        <v>3562</v>
      </c>
      <c r="K21" s="832">
        <f>K18/K19</f>
        <v>1</v>
      </c>
    </row>
    <row r="22" spans="1:11" ht="6.75" customHeight="1">
      <c r="E22" s="1411"/>
    </row>
    <row r="23" spans="1:11" s="593" customFormat="1" ht="13.5" customHeight="1">
      <c r="A23" s="593" t="s">
        <v>3525</v>
      </c>
      <c r="C23" s="833"/>
      <c r="E23" s="1409" t="s">
        <v>3106</v>
      </c>
      <c r="K23" s="680">
        <f>K9</f>
        <v>13480710.35</v>
      </c>
    </row>
    <row r="24" spans="1:11" s="593" customFormat="1" ht="13.5" customHeight="1">
      <c r="A24" s="834" t="s">
        <v>1773</v>
      </c>
      <c r="E24" s="1410"/>
      <c r="K24" s="820">
        <f>'Part IV-A-Uses of Funds'!$G$122</f>
        <v>139406</v>
      </c>
    </row>
    <row r="25" spans="1:11" s="593" customFormat="1" ht="13.5" customHeight="1">
      <c r="A25" s="834" t="s">
        <v>3107</v>
      </c>
      <c r="E25" s="1410"/>
      <c r="K25" s="835">
        <v>0</v>
      </c>
    </row>
    <row r="26" spans="1:11" s="593" customFormat="1" ht="13.5" customHeight="1">
      <c r="A26" s="834" t="s">
        <v>3107</v>
      </c>
      <c r="E26" s="1410"/>
      <c r="K26" s="835">
        <v>0</v>
      </c>
    </row>
    <row r="27" spans="1:11" ht="3" customHeight="1">
      <c r="A27" s="836"/>
      <c r="E27" s="1411"/>
      <c r="K27" s="837">
        <v>0</v>
      </c>
    </row>
    <row r="28" spans="1:11" s="827" customFormat="1" ht="13.5" customHeight="1">
      <c r="A28" s="827" t="s">
        <v>3108</v>
      </c>
      <c r="E28" s="1412"/>
      <c r="K28" s="838">
        <f>K23-SUM(K24:K27)</f>
        <v>13341304.35</v>
      </c>
    </row>
    <row r="29" spans="1:11" ht="6.75" customHeight="1">
      <c r="A29" s="831"/>
      <c r="E29" s="1411"/>
      <c r="K29" s="839"/>
    </row>
    <row r="30" spans="1:11" s="593" customFormat="1" ht="15" customHeight="1">
      <c r="A30" s="827" t="s">
        <v>3109</v>
      </c>
      <c r="E30" s="1409" t="s">
        <v>3569</v>
      </c>
      <c r="F30" s="840"/>
      <c r="G30" s="840"/>
      <c r="H30" s="840"/>
      <c r="I30" s="840"/>
      <c r="K30" s="841">
        <f>K21*K28</f>
        <v>13341304.35</v>
      </c>
    </row>
    <row r="31" spans="1:11" ht="13.5" customHeight="1">
      <c r="E31" s="1411"/>
      <c r="K31" s="839"/>
    </row>
    <row r="32" spans="1:11" s="593" customFormat="1" ht="16.5" customHeight="1">
      <c r="A32" s="842" t="s">
        <v>3576</v>
      </c>
      <c r="B32" s="827"/>
      <c r="C32" s="827"/>
      <c r="D32" s="827"/>
      <c r="E32" s="1409"/>
    </row>
    <row r="33" spans="1:11" ht="6" customHeight="1" thickBot="1">
      <c r="E33" s="1411"/>
    </row>
    <row r="34" spans="1:11" s="593" customFormat="1" ht="18" customHeight="1" thickBot="1">
      <c r="A34" s="843" t="s">
        <v>3572</v>
      </c>
      <c r="B34" s="827"/>
      <c r="C34" s="827"/>
      <c r="D34" s="827"/>
      <c r="E34" s="1409" t="s">
        <v>3570</v>
      </c>
      <c r="K34" s="844">
        <f>MIN(E13,K30)</f>
        <v>0</v>
      </c>
    </row>
    <row r="35" spans="1:11" ht="6" customHeight="1">
      <c r="E35" s="1411"/>
    </row>
    <row r="36" spans="1:11" s="593" customFormat="1" ht="15" customHeight="1">
      <c r="A36" s="827" t="s">
        <v>3573</v>
      </c>
      <c r="E36" s="1409" t="s">
        <v>3571</v>
      </c>
      <c r="K36" s="845">
        <f>Overview!C25</f>
        <v>0</v>
      </c>
    </row>
    <row r="37" spans="1:11" s="593" customFormat="1" ht="9" customHeight="1" thickBot="1">
      <c r="E37" s="846"/>
      <c r="F37" s="846"/>
      <c r="G37" s="846"/>
      <c r="H37" s="846"/>
      <c r="K37" s="847"/>
    </row>
    <row r="38" spans="1:11" s="593" customFormat="1" ht="15.75" customHeight="1">
      <c r="A38" s="2254" t="s">
        <v>3567</v>
      </c>
      <c r="B38" s="2254"/>
      <c r="C38" s="2254"/>
      <c r="D38" s="2255" t="s">
        <v>3104</v>
      </c>
      <c r="E38" s="2255"/>
      <c r="F38" s="2255" t="s">
        <v>3105</v>
      </c>
      <c r="G38" s="2255"/>
      <c r="H38" s="2255"/>
      <c r="I38" s="1470" t="s">
        <v>2846</v>
      </c>
      <c r="K38" s="2256">
        <f>ROUND((D39/F39)*I39,0)</f>
        <v>0</v>
      </c>
    </row>
    <row r="39" spans="1:11" s="593" customFormat="1" ht="15.75" customHeight="1" thickBot="1">
      <c r="A39" s="2254"/>
      <c r="B39" s="2254"/>
      <c r="C39" s="2254"/>
      <c r="D39" s="2258">
        <f>K36</f>
        <v>0</v>
      </c>
      <c r="E39" s="2258"/>
      <c r="F39" s="2259">
        <f>K28</f>
        <v>13341304.35</v>
      </c>
      <c r="G39" s="2259"/>
      <c r="H39" s="2259"/>
      <c r="I39" s="848">
        <f>K19</f>
        <v>66</v>
      </c>
      <c r="K39" s="2257"/>
    </row>
    <row r="40" spans="1:11" ht="12.75" customHeight="1">
      <c r="D40" s="849" t="s">
        <v>3568</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2018-045  Altoview Terrace</v>
      </c>
      <c r="B1" s="2263"/>
      <c r="C1" s="2263"/>
      <c r="D1" s="2263"/>
      <c r="E1" s="2263"/>
      <c r="F1" s="2263"/>
      <c r="G1" s="2263"/>
      <c r="H1" s="2263"/>
    </row>
    <row r="3" spans="1:13" ht="12" customHeight="1">
      <c r="A3" s="2264" t="s">
        <v>3528</v>
      </c>
      <c r="B3" s="2264"/>
      <c r="C3" s="2264"/>
      <c r="D3" s="2264"/>
      <c r="E3" s="2264"/>
      <c r="F3" s="2264"/>
      <c r="G3" s="2264"/>
      <c r="H3" s="2264"/>
      <c r="I3" s="1474"/>
      <c r="J3" s="2266" t="s">
        <v>4313</v>
      </c>
      <c r="K3" s="2266"/>
      <c r="L3" s="882"/>
      <c r="M3" s="882"/>
    </row>
    <row r="4" spans="1:13">
      <c r="J4" s="2266"/>
      <c r="K4" s="2266"/>
    </row>
    <row r="5" spans="1:13" ht="12" customHeight="1">
      <c r="A5" s="809">
        <v>1</v>
      </c>
      <c r="C5" s="809" t="s">
        <v>3111</v>
      </c>
      <c r="E5" s="864" t="str">
        <f>Overview!H9</f>
        <v>Altoview Terrace, LP</v>
      </c>
      <c r="J5" s="2266"/>
      <c r="K5" s="2266"/>
    </row>
    <row r="6" spans="1:13" ht="3" customHeight="1">
      <c r="H6" s="826"/>
      <c r="J6" s="2266"/>
      <c r="K6" s="2266"/>
    </row>
    <row r="7" spans="1:13" ht="12" customHeight="1">
      <c r="A7" s="809">
        <v>2</v>
      </c>
      <c r="C7" s="809" t="s">
        <v>3112</v>
      </c>
      <c r="E7" s="864" t="str">
        <f>'Part II-Development Team'!H6</f>
        <v>329 West 9th St</v>
      </c>
      <c r="J7" s="2266"/>
      <c r="K7" s="2266"/>
    </row>
    <row r="8" spans="1:13" ht="12" customHeight="1">
      <c r="E8" s="864" t="str">
        <f>+'Part II-Development Team'!H7&amp;","&amp;" "&amp;'Part II-Development Team'!H8&amp;" "&amp;LEFT('Part II-Development Team'!J8,5)</f>
        <v>Rome, GA 30161</v>
      </c>
      <c r="J8" s="2266"/>
      <c r="K8" s="2266"/>
    </row>
    <row r="9" spans="1:13" ht="12" customHeight="1">
      <c r="C9" s="809" t="s">
        <v>3113</v>
      </c>
      <c r="E9" s="2265">
        <f>'Part II-Development Team'!L7</f>
        <v>0</v>
      </c>
      <c r="F9" s="2265"/>
      <c r="J9" s="2266"/>
      <c r="K9" s="2266"/>
    </row>
    <row r="10" spans="1:13" ht="12" customHeight="1">
      <c r="C10" s="809" t="s">
        <v>3114</v>
      </c>
      <c r="E10" s="864" t="str">
        <f>'Part II-Development Team'!Q5</f>
        <v>Sandra Hudson</v>
      </c>
    </row>
    <row r="11" spans="1:13" ht="12" customHeight="1">
      <c r="C11" s="809" t="s">
        <v>4318</v>
      </c>
      <c r="E11" s="864" t="str">
        <f>'Part II-Development Team'!L9</f>
        <v>shudson@nwgha.com</v>
      </c>
    </row>
    <row r="12" spans="1:13" ht="12" customHeight="1">
      <c r="C12" s="809" t="s">
        <v>4314</v>
      </c>
      <c r="E12" s="1475">
        <f>'Part II-Development Team'!H9</f>
        <v>7063783940</v>
      </c>
    </row>
    <row r="13" spans="1:13" ht="12" customHeight="1">
      <c r="C13" s="809" t="s">
        <v>4317</v>
      </c>
      <c r="E13" s="1475">
        <f>'Part II-Development Team'!Q7</f>
        <v>7063783940</v>
      </c>
    </row>
    <row r="14" spans="1:13" ht="3" customHeight="1"/>
    <row r="15" spans="1:13" ht="12" customHeight="1">
      <c r="A15" s="809">
        <v>3</v>
      </c>
      <c r="C15" s="809" t="s">
        <v>3115</v>
      </c>
      <c r="E15" s="864" t="str">
        <f>Overview!C8</f>
        <v>Altoview Terrace</v>
      </c>
    </row>
    <row r="16" spans="1:13" ht="12" customHeight="1">
      <c r="C16" s="809" t="s">
        <v>3116</v>
      </c>
      <c r="E16" s="864" t="str">
        <f>'Part I-Project Information'!$F$35</f>
        <v>Near East 14th St and Maple St</v>
      </c>
    </row>
    <row r="17" spans="1:8" ht="12" customHeight="1">
      <c r="E17" s="864" t="str">
        <f>+'Part I-Project Information'!$F$38&amp;","&amp;" GA "&amp;LEFT('Part I-Project Information'!$J$38,5)</f>
        <v>Rome, GA 30161</v>
      </c>
    </row>
    <row r="18" spans="1:8" ht="3" customHeight="1"/>
    <row r="19" spans="1:8" ht="12" customHeight="1">
      <c r="A19" s="809">
        <v>4</v>
      </c>
      <c r="C19" s="809" t="s">
        <v>3117</v>
      </c>
      <c r="E19" s="864" t="str">
        <f>'Part II-Development Team'!H92</f>
        <v>Northwest Georgia Housing Authority</v>
      </c>
    </row>
    <row r="20" spans="1:8" ht="12" customHeight="1">
      <c r="C20" s="809" t="s">
        <v>3118</v>
      </c>
      <c r="E20" s="864" t="str">
        <f>'Part II-Development Team'!H93</f>
        <v>329 West 9th St</v>
      </c>
    </row>
    <row r="21" spans="1:8" ht="12" customHeight="1">
      <c r="E21" s="864" t="str">
        <f>+'Part II-Development Team'!H94&amp;","&amp;" "&amp;'Part II-Development Team'!H95&amp;" "&amp;LEFT('Part II-Development Team'!L95,5)</f>
        <v>Rome, GA 30165</v>
      </c>
    </row>
    <row r="22" spans="1:8" ht="12" customHeight="1">
      <c r="C22" s="809" t="s">
        <v>4314</v>
      </c>
      <c r="E22" s="1475">
        <f>'Part II-Development Team'!H96</f>
        <v>7063783940</v>
      </c>
    </row>
    <row r="23" spans="1:8" ht="12" customHeight="1">
      <c r="C23" s="809" t="s">
        <v>4317</v>
      </c>
      <c r="E23" s="1475">
        <f>'Part II-Development Team'!Q94</f>
        <v>7063783940</v>
      </c>
    </row>
    <row r="24" spans="1:8" ht="12" customHeight="1">
      <c r="C24" s="809" t="s">
        <v>4318</v>
      </c>
      <c r="E24" s="1475" t="str">
        <f>'Part II-Development Team'!L96</f>
        <v>shudson@nwgha.com</v>
      </c>
    </row>
    <row r="25" spans="1:8" ht="3" customHeight="1">
      <c r="E25" s="864"/>
    </row>
    <row r="26" spans="1:8" ht="12" customHeight="1">
      <c r="A26" s="809">
        <v>5</v>
      </c>
      <c r="C26" s="809" t="s">
        <v>3119</v>
      </c>
      <c r="E26" s="864" t="str">
        <f>Overview!$H$7</f>
        <v>New Construction</v>
      </c>
    </row>
    <row r="27" spans="1:8" ht="12" customHeight="1">
      <c r="E27" s="1473" t="s">
        <v>1784</v>
      </c>
    </row>
    <row r="28" spans="1:8" ht="12" customHeight="1">
      <c r="C28" s="809" t="s">
        <v>3527</v>
      </c>
      <c r="E28" s="809" t="str">
        <f>Overview!$C$9</f>
        <v>&lt;&lt;Select&gt;&gt;</v>
      </c>
    </row>
    <row r="29" spans="1:8" ht="3" customHeight="1">
      <c r="H29" s="886"/>
    </row>
    <row r="30" spans="1:8" ht="12" customHeight="1">
      <c r="A30" s="809">
        <v>6</v>
      </c>
      <c r="C30" s="809" t="s">
        <v>3120</v>
      </c>
      <c r="E30" s="809" t="s">
        <v>2425</v>
      </c>
      <c r="F30" s="1476">
        <f>'Part III-Sources of Funds'!L19</f>
        <v>9130000</v>
      </c>
      <c r="G30" s="809" t="s">
        <v>3121</v>
      </c>
    </row>
    <row r="31" spans="1:8" ht="12" customHeight="1">
      <c r="F31" s="1476" t="s">
        <v>3122</v>
      </c>
      <c r="G31" s="809" t="s">
        <v>3123</v>
      </c>
    </row>
    <row r="32" spans="1:8" ht="3" customHeight="1">
      <c r="F32" s="854"/>
    </row>
    <row r="33" spans="1:7" ht="12" customHeight="1">
      <c r="A33" s="809">
        <v>7</v>
      </c>
      <c r="C33" s="809" t="s">
        <v>3124</v>
      </c>
      <c r="F33" s="1477">
        <v>0</v>
      </c>
    </row>
    <row r="34" spans="1:7" ht="3" customHeight="1">
      <c r="F34" s="854"/>
    </row>
    <row r="35" spans="1:7" ht="12" customHeight="1">
      <c r="A35" s="809">
        <v>8</v>
      </c>
      <c r="C35" s="809" t="s">
        <v>3125</v>
      </c>
      <c r="E35" s="809" t="s">
        <v>2425</v>
      </c>
      <c r="F35" s="1478">
        <v>0.01</v>
      </c>
    </row>
    <row r="36" spans="1:7" ht="3" customHeight="1">
      <c r="F36" s="1477"/>
    </row>
    <row r="37" spans="1:7" ht="12" customHeight="1">
      <c r="A37" s="809">
        <v>9</v>
      </c>
      <c r="C37" s="809" t="s">
        <v>3126</v>
      </c>
      <c r="F37" s="1479">
        <v>24</v>
      </c>
      <c r="G37" s="809" t="s">
        <v>3127</v>
      </c>
    </row>
    <row r="38" spans="1:7" ht="3" customHeight="1">
      <c r="F38" s="1477"/>
    </row>
    <row r="39" spans="1:7" ht="12" customHeight="1">
      <c r="A39" s="809">
        <v>10</v>
      </c>
      <c r="C39" s="809" t="s">
        <v>3128</v>
      </c>
      <c r="E39" s="809" t="s">
        <v>2425</v>
      </c>
      <c r="F39" s="854">
        <f>'Part III-Sources of Funds'!L37*12</f>
        <v>0</v>
      </c>
      <c r="G39" s="809" t="s">
        <v>3127</v>
      </c>
    </row>
    <row r="40" spans="1:7" ht="3" customHeight="1">
      <c r="F40" s="854"/>
    </row>
    <row r="41" spans="1:7" ht="12" customHeight="1">
      <c r="A41" s="809">
        <v>11</v>
      </c>
      <c r="C41" s="809" t="s">
        <v>3129</v>
      </c>
      <c r="F41" s="1480">
        <v>24</v>
      </c>
      <c r="G41" s="809" t="s">
        <v>3127</v>
      </c>
    </row>
    <row r="42" spans="1:7" ht="3" customHeight="1"/>
    <row r="43" spans="1:7" ht="12" customHeight="1">
      <c r="A43" s="809">
        <v>12</v>
      </c>
      <c r="C43" s="809" t="s">
        <v>3130</v>
      </c>
      <c r="F43" s="1481" t="s">
        <v>3131</v>
      </c>
    </row>
    <row r="44" spans="1:7" ht="3" customHeight="1"/>
    <row r="45" spans="1:7" ht="12" customHeight="1">
      <c r="A45" s="809">
        <v>13</v>
      </c>
      <c r="C45" s="809" t="s">
        <v>3132</v>
      </c>
      <c r="E45" s="809" t="s">
        <v>2425</v>
      </c>
      <c r="F45" s="864" t="s">
        <v>3133</v>
      </c>
    </row>
    <row r="46" spans="1:7" ht="3" customHeight="1">
      <c r="F46" s="826"/>
    </row>
    <row r="47" spans="1:7" ht="12" customHeight="1">
      <c r="A47" s="809">
        <v>14</v>
      </c>
      <c r="C47" s="809" t="s">
        <v>3134</v>
      </c>
      <c r="E47" s="864" t="str">
        <f>'Part II-Development Team'!H14</f>
        <v>Altoview Terrace GP 2018, LLC</v>
      </c>
    </row>
    <row r="48" spans="1:7" ht="3" customHeight="1">
      <c r="E48" s="864"/>
    </row>
    <row r="49" spans="1:7" ht="12" customHeight="1">
      <c r="A49" s="809">
        <v>15</v>
      </c>
      <c r="C49" s="809" t="s">
        <v>4320</v>
      </c>
      <c r="E49" s="864" t="str">
        <f>'Part II-Development Team'!Q98</f>
        <v>Stewart Duncan</v>
      </c>
      <c r="G49" s="864" t="str">
        <f>'Part II-Development Team'!H98</f>
        <v>Brinson Askew Berry</v>
      </c>
    </row>
    <row r="50" spans="1:7" ht="12" customHeight="1">
      <c r="C50" s="809" t="s">
        <v>3135</v>
      </c>
      <c r="E50" s="864">
        <f>'Part II-Development Team'!O102</f>
        <v>0</v>
      </c>
      <c r="F50" s="854"/>
    </row>
    <row r="51" spans="1:7" ht="3" customHeight="1">
      <c r="F51" s="854"/>
    </row>
    <row r="52" spans="1:7" ht="12" customHeight="1">
      <c r="A52" s="809">
        <v>16</v>
      </c>
      <c r="C52" s="809" t="s">
        <v>3136</v>
      </c>
      <c r="F52" s="1480">
        <f>Overview!C13</f>
        <v>66</v>
      </c>
    </row>
    <row r="53" spans="1:7" ht="3" customHeight="1">
      <c r="F53" s="854"/>
    </row>
    <row r="54" spans="1:7" ht="12" customHeight="1">
      <c r="A54" s="882">
        <v>17</v>
      </c>
      <c r="B54" s="882"/>
      <c r="C54" s="882" t="s">
        <v>3137</v>
      </c>
      <c r="D54" s="882"/>
      <c r="E54" s="882"/>
      <c r="F54" s="1482">
        <f>'Subsidy Layering WS'!K18</f>
        <v>66</v>
      </c>
      <c r="G54" s="882"/>
    </row>
    <row r="55" spans="1:7" ht="3" customHeight="1">
      <c r="F55" s="854"/>
    </row>
    <row r="56" spans="1:7" ht="12" customHeight="1">
      <c r="A56" s="809">
        <v>18</v>
      </c>
      <c r="C56" s="809" t="s">
        <v>3138</v>
      </c>
      <c r="F56" s="1482">
        <f>'Part VI-Revenues &amp; Expenses'!O61</f>
        <v>0</v>
      </c>
      <c r="G56" s="809" t="s">
        <v>4319</v>
      </c>
    </row>
    <row r="57" spans="1:7" ht="3" customHeight="1">
      <c r="F57" s="854"/>
    </row>
    <row r="58" spans="1:7" ht="12" customHeight="1">
      <c r="A58" s="809">
        <v>19</v>
      </c>
      <c r="C58" s="809" t="s">
        <v>3139</v>
      </c>
      <c r="F58" s="1483"/>
      <c r="G58" s="809" t="s">
        <v>3529</v>
      </c>
    </row>
    <row r="59" spans="1:7" ht="3" customHeight="1">
      <c r="F59" s="854"/>
    </row>
    <row r="60" spans="1:7" ht="12" customHeight="1">
      <c r="A60" s="809">
        <v>20</v>
      </c>
      <c r="C60" s="809" t="s">
        <v>3140</v>
      </c>
      <c r="F60" s="1484" t="s">
        <v>979</v>
      </c>
      <c r="G60" s="882"/>
    </row>
    <row r="61" spans="1:7" ht="3" customHeight="1"/>
    <row r="62" spans="1:7" ht="12" customHeight="1">
      <c r="A62" s="809">
        <v>21</v>
      </c>
      <c r="C62" s="809" t="s">
        <v>3544</v>
      </c>
      <c r="E62" s="1485" t="s">
        <v>3530</v>
      </c>
      <c r="F62" s="1486" t="s">
        <v>3531</v>
      </c>
      <c r="G62" s="1485" t="s">
        <v>3141</v>
      </c>
    </row>
    <row r="63" spans="1:7" ht="12" customHeight="1">
      <c r="E63" s="1485" t="s">
        <v>3530</v>
      </c>
      <c r="F63" s="1486" t="s">
        <v>3531</v>
      </c>
      <c r="G63" s="1485"/>
    </row>
    <row r="64" spans="1:7" ht="3" customHeight="1"/>
    <row r="65" spans="1:7" ht="12" customHeight="1">
      <c r="A65" s="809">
        <v>22</v>
      </c>
      <c r="C65" s="809" t="s">
        <v>3142</v>
      </c>
      <c r="E65" s="864" t="str">
        <f>Overview!H9</f>
        <v>Altoview Terrace, LP</v>
      </c>
    </row>
    <row r="66" spans="1:7" ht="3" customHeight="1"/>
    <row r="67" spans="1:7" ht="12" customHeight="1">
      <c r="A67" s="809">
        <v>23</v>
      </c>
      <c r="C67" s="809" t="s">
        <v>3143</v>
      </c>
      <c r="F67" s="854" t="s">
        <v>3144</v>
      </c>
    </row>
    <row r="68" spans="1:7" ht="3" customHeight="1"/>
    <row r="69" spans="1:7" ht="12" customHeight="1">
      <c r="A69" s="809">
        <v>24</v>
      </c>
      <c r="C69" s="809" t="s">
        <v>3145</v>
      </c>
      <c r="E69" s="809" t="s">
        <v>2425</v>
      </c>
      <c r="F69" s="854">
        <v>20</v>
      </c>
      <c r="G69" s="809" t="s">
        <v>2485</v>
      </c>
    </row>
    <row r="70" spans="1:7" ht="3" customHeight="1"/>
    <row r="71" spans="1:7" ht="12" customHeight="1">
      <c r="A71" s="809">
        <v>25</v>
      </c>
      <c r="C71" s="809" t="s">
        <v>3146</v>
      </c>
      <c r="F71" s="1487">
        <f>'Part IV-A-Uses of Funds'!$G$122</f>
        <v>139406</v>
      </c>
    </row>
    <row r="72" spans="1:7" ht="3" customHeight="1">
      <c r="F72" s="1487"/>
    </row>
    <row r="73" spans="1:7" ht="12" customHeight="1">
      <c r="A73" s="809">
        <v>26</v>
      </c>
      <c r="C73" s="809" t="s">
        <v>3147</v>
      </c>
      <c r="F73" s="1487">
        <f>'Part IV-A-Uses of Funds'!$G$123</f>
        <v>0</v>
      </c>
    </row>
    <row r="74" spans="1:7" ht="3" customHeight="1">
      <c r="F74" s="1487"/>
    </row>
    <row r="75" spans="1:7" ht="12" customHeight="1">
      <c r="A75" s="809">
        <v>27</v>
      </c>
      <c r="C75" s="809" t="s">
        <v>3148</v>
      </c>
      <c r="F75" s="1488">
        <f>'Part IV-A-Uses of Funds'!$G$121</f>
        <v>69703</v>
      </c>
    </row>
    <row r="76" spans="1:7" ht="3" customHeight="1">
      <c r="F76" s="1487"/>
    </row>
    <row r="77" spans="1:7" ht="12" customHeight="1">
      <c r="A77" s="809">
        <v>28</v>
      </c>
      <c r="C77" s="809" t="s">
        <v>3149</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sqref="A1:XFD1048576"/>
    </sheetView>
  </sheetViews>
  <sheetFormatPr defaultColWidth="9.140625" defaultRowHeight="12.75"/>
  <cols>
    <col min="1" max="1" width="23.42578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3339</v>
      </c>
      <c r="B1" s="2281"/>
      <c r="C1" s="2281"/>
      <c r="D1" s="2281"/>
      <c r="E1" s="2281"/>
      <c r="F1" s="2281"/>
      <c r="G1" s="2281"/>
      <c r="H1" s="2281"/>
      <c r="I1" s="2281"/>
      <c r="J1" s="2281"/>
    </row>
    <row r="2" spans="1:13" ht="15">
      <c r="A2" s="2281" t="str">
        <f>Overview!E8&amp;"  "&amp;Overview!C8</f>
        <v>2018-045  Altoview Terrace</v>
      </c>
      <c r="B2" s="2281"/>
      <c r="C2" s="2281"/>
      <c r="D2" s="2281"/>
      <c r="E2" s="2281"/>
      <c r="F2" s="2281"/>
      <c r="G2" s="2281"/>
      <c r="H2" s="2281"/>
      <c r="I2" s="2281"/>
      <c r="J2" s="2281"/>
    </row>
    <row r="3" spans="1:13" ht="6" customHeight="1">
      <c r="K3" s="2266" t="s">
        <v>4313</v>
      </c>
      <c r="L3" s="2266"/>
      <c r="M3" s="2266"/>
    </row>
    <row r="4" spans="1:13" ht="12" customHeight="1">
      <c r="A4" s="850" t="s">
        <v>3150</v>
      </c>
      <c r="K4" s="2266"/>
      <c r="L4" s="2266"/>
      <c r="M4" s="2266"/>
    </row>
    <row r="5" spans="1:13" ht="12" customHeight="1">
      <c r="A5" s="809" t="s">
        <v>3151</v>
      </c>
      <c r="C5" s="851" t="str">
        <f>'Subsidy Layering Memo'!D6</f>
        <v>(Underwriter)</v>
      </c>
      <c r="I5" s="851"/>
      <c r="K5" s="2266"/>
      <c r="L5" s="2266"/>
      <c r="M5" s="2266"/>
    </row>
    <row r="6" spans="1:13" ht="6" customHeight="1">
      <c r="C6" s="746"/>
      <c r="D6" s="851"/>
      <c r="I6" s="851"/>
      <c r="K6" s="2266"/>
      <c r="L6" s="2266"/>
      <c r="M6" s="2266"/>
    </row>
    <row r="7" spans="1:13" ht="12" customHeight="1">
      <c r="A7" s="850" t="s">
        <v>3152</v>
      </c>
      <c r="C7" s="746"/>
      <c r="D7" s="851"/>
      <c r="I7" s="851"/>
      <c r="K7" s="2266"/>
      <c r="L7" s="2266"/>
      <c r="M7" s="2266"/>
    </row>
    <row r="8" spans="1:13" ht="12" customHeight="1">
      <c r="A8" s="809" t="s">
        <v>3153</v>
      </c>
      <c r="C8" s="851" t="str">
        <f>Overview!$H$9</f>
        <v>Altoview Terrace, LP</v>
      </c>
      <c r="I8" s="851"/>
      <c r="K8" s="2266"/>
      <c r="L8" s="2266"/>
      <c r="M8" s="2266"/>
    </row>
    <row r="9" spans="1:13" ht="3" customHeight="1">
      <c r="C9" s="746"/>
      <c r="D9" s="851"/>
      <c r="I9" s="851"/>
    </row>
    <row r="10" spans="1:13" ht="12" customHeight="1">
      <c r="A10" s="809" t="s">
        <v>3154</v>
      </c>
      <c r="C10" s="1419" t="s">
        <v>1784</v>
      </c>
      <c r="I10" s="851"/>
    </row>
    <row r="11" spans="1:13" ht="12" customHeight="1">
      <c r="C11" s="1419" t="s">
        <v>1784</v>
      </c>
      <c r="I11" s="851"/>
    </row>
    <row r="12" spans="1:13" ht="12" customHeight="1">
      <c r="C12" s="851" t="s">
        <v>2696</v>
      </c>
      <c r="D12" s="872" t="s">
        <v>1784</v>
      </c>
      <c r="I12" s="851"/>
    </row>
    <row r="13" spans="1:13" ht="12" customHeight="1">
      <c r="C13" s="851" t="s">
        <v>3155</v>
      </c>
      <c r="D13" s="2274"/>
      <c r="E13" s="2274"/>
      <c r="F13" s="2274"/>
      <c r="G13" s="2274"/>
      <c r="H13" s="2274"/>
      <c r="I13" s="2274"/>
      <c r="J13" s="2274"/>
    </row>
    <row r="14" spans="1:13" ht="3" customHeight="1">
      <c r="G14" s="746"/>
      <c r="H14" s="851"/>
      <c r="I14" s="851"/>
    </row>
    <row r="15" spans="1:13" ht="12" customHeight="1">
      <c r="A15" s="809" t="s">
        <v>3156</v>
      </c>
      <c r="C15" s="853" t="str">
        <f>'Preview term'!E10</f>
        <v>Sandra Hudson</v>
      </c>
      <c r="G15" s="746"/>
      <c r="I15" s="851"/>
    </row>
    <row r="16" spans="1:13" ht="12" customHeight="1">
      <c r="A16" s="864" t="s">
        <v>4529</v>
      </c>
      <c r="C16" s="853" t="str">
        <f>'Part II-Development Team'!Q6</f>
        <v>Manager of GP</v>
      </c>
      <c r="G16" s="746"/>
      <c r="I16" s="851"/>
    </row>
    <row r="17" spans="1:9" ht="3" customHeight="1">
      <c r="G17" s="746"/>
      <c r="H17" s="851"/>
      <c r="I17" s="851"/>
    </row>
    <row r="18" spans="1:9" ht="12" customHeight="1">
      <c r="A18" s="809" t="s">
        <v>3157</v>
      </c>
      <c r="C18" s="853" t="str">
        <f>'Preview term'!$E$7</f>
        <v>329 West 9th St</v>
      </c>
      <c r="G18" s="746"/>
      <c r="I18" s="851"/>
    </row>
    <row r="19" spans="1:9" ht="12" customHeight="1">
      <c r="C19" s="853" t="str">
        <f>'Preview term'!$E$8</f>
        <v>Rome, GA 30161</v>
      </c>
      <c r="G19" s="746"/>
      <c r="I19" s="851"/>
    </row>
    <row r="20" spans="1:9" ht="3" customHeight="1">
      <c r="G20" s="746"/>
      <c r="H20" s="851"/>
      <c r="I20" s="851"/>
    </row>
    <row r="21" spans="1:9" ht="12" customHeight="1">
      <c r="A21" s="809" t="s">
        <v>3158</v>
      </c>
      <c r="C21" s="853" t="str">
        <f>CONCATENATE('Preview term'!E49," of  ",'Preview term'!G49)</f>
        <v>Stewart Duncan of  Brinson Askew Berry</v>
      </c>
      <c r="G21" s="746"/>
      <c r="I21" s="851"/>
    </row>
    <row r="22" spans="1:9" ht="3" customHeight="1">
      <c r="C22" s="853"/>
      <c r="G22" s="746"/>
      <c r="I22" s="851"/>
    </row>
    <row r="23" spans="1:9" ht="12" customHeight="1">
      <c r="A23" s="809" t="s">
        <v>3159</v>
      </c>
      <c r="C23" s="853">
        <f>'Preview term'!E12</f>
        <v>7063783940</v>
      </c>
      <c r="G23" s="746"/>
      <c r="I23" s="851"/>
    </row>
    <row r="24" spans="1:9" ht="3" customHeight="1">
      <c r="C24" s="853"/>
      <c r="G24" s="746"/>
      <c r="I24" s="851"/>
    </row>
    <row r="25" spans="1:9" ht="12" customHeight="1">
      <c r="A25" s="809" t="s">
        <v>3160</v>
      </c>
      <c r="C25" s="1421" t="str">
        <f>'Preview term'!E11</f>
        <v>shudson@nwgha.com</v>
      </c>
      <c r="G25" s="746"/>
    </row>
    <row r="26" spans="1:9" ht="6" customHeight="1">
      <c r="G26" s="746"/>
      <c r="H26" s="851"/>
      <c r="I26" s="851"/>
    </row>
    <row r="27" spans="1:9" ht="12" customHeight="1">
      <c r="A27" s="850" t="s">
        <v>3161</v>
      </c>
      <c r="G27" s="746"/>
      <c r="H27" s="851"/>
      <c r="I27" s="851"/>
    </row>
    <row r="28" spans="1:9" ht="12" customHeight="1">
      <c r="A28" s="809" t="s">
        <v>3162</v>
      </c>
      <c r="C28" s="853" t="str">
        <f>Overview!$C$8</f>
        <v>Altoview Terrace</v>
      </c>
      <c r="I28" s="851"/>
    </row>
    <row r="29" spans="1:9" ht="3" customHeight="1">
      <c r="C29" s="853"/>
      <c r="I29" s="851"/>
    </row>
    <row r="30" spans="1:9" ht="12" customHeight="1">
      <c r="A30" s="809" t="s">
        <v>3163</v>
      </c>
      <c r="C30" s="853" t="str">
        <f>'Preview term'!E16</f>
        <v>Near East 14th St and Maple St</v>
      </c>
      <c r="I30" s="851"/>
    </row>
    <row r="31" spans="1:9">
      <c r="C31" s="851" t="str">
        <f>'Preview term'!E17</f>
        <v>Rome, GA 30161</v>
      </c>
      <c r="I31" s="851"/>
    </row>
    <row r="32" spans="1:9" ht="3" customHeight="1">
      <c r="C32" s="746"/>
      <c r="D32" s="746"/>
      <c r="I32" s="746"/>
    </row>
    <row r="33" spans="1:10" ht="12" customHeight="1">
      <c r="A33" s="809" t="s">
        <v>3164</v>
      </c>
      <c r="C33" s="746" t="s">
        <v>3165</v>
      </c>
      <c r="D33" s="1420">
        <f>'Preview term'!F54</f>
        <v>66</v>
      </c>
      <c r="I33" s="746"/>
    </row>
    <row r="34" spans="1:10" ht="12" customHeight="1">
      <c r="C34" s="746" t="s">
        <v>3166</v>
      </c>
      <c r="D34" s="855">
        <f>'Subsidy Layering WS'!H12-'Subsidy Layering WS'!D12</f>
        <v>0</v>
      </c>
      <c r="I34" s="746"/>
    </row>
    <row r="35" spans="1:10" ht="12" customHeight="1">
      <c r="C35" s="746" t="s">
        <v>3167</v>
      </c>
      <c r="D35" s="856">
        <f>SUM(D33:D34)</f>
        <v>66</v>
      </c>
      <c r="I35" s="746"/>
    </row>
    <row r="36" spans="1:10" ht="3" customHeight="1">
      <c r="C36" s="746"/>
      <c r="D36" s="746"/>
      <c r="I36" s="746"/>
    </row>
    <row r="37" spans="1:10" ht="12" customHeight="1">
      <c r="A37" s="809" t="s">
        <v>3168</v>
      </c>
      <c r="C37" s="1485" t="s">
        <v>1784</v>
      </c>
      <c r="D37" s="1418">
        <f>'Preview term'!F56</f>
        <v>0</v>
      </c>
      <c r="E37" s="746" t="s">
        <v>3169</v>
      </c>
      <c r="I37" s="746"/>
    </row>
    <row r="38" spans="1:10" ht="3" customHeight="1">
      <c r="G38" s="857"/>
      <c r="H38" s="746"/>
      <c r="I38" s="746"/>
    </row>
    <row r="39" spans="1:10" ht="25.5" customHeight="1">
      <c r="A39" s="858" t="s">
        <v>3170</v>
      </c>
      <c r="C39" s="2282"/>
      <c r="D39" s="2282"/>
      <c r="E39" s="2282"/>
      <c r="F39" s="2282"/>
      <c r="G39" s="2282"/>
      <c r="H39" s="2282"/>
      <c r="I39" s="2282"/>
      <c r="J39" s="2282"/>
    </row>
    <row r="40" spans="1:10" ht="3" customHeight="1">
      <c r="G40" s="746"/>
      <c r="H40" s="746"/>
      <c r="I40" s="746"/>
    </row>
    <row r="41" spans="1:10" ht="25.5" customHeight="1">
      <c r="A41" s="858" t="s">
        <v>3171</v>
      </c>
      <c r="C41" s="2283" t="s">
        <v>3532</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3172</v>
      </c>
      <c r="C43" s="678" t="str">
        <f>'Part I-Project Information'!J39</f>
        <v>Floyd</v>
      </c>
      <c r="D43" s="591"/>
      <c r="F43" s="592"/>
      <c r="I43" s="593"/>
      <c r="J43" s="592"/>
    </row>
    <row r="44" spans="1:10" ht="3" customHeight="1">
      <c r="C44" s="591"/>
      <c r="D44" s="591"/>
      <c r="E44" s="591"/>
      <c r="F44" s="592"/>
      <c r="I44" s="593"/>
      <c r="J44" s="592"/>
    </row>
    <row r="45" spans="1:10" ht="12" customHeight="1">
      <c r="A45" s="809" t="s">
        <v>3173</v>
      </c>
      <c r="C45" s="872" t="s">
        <v>1784</v>
      </c>
      <c r="I45" s="593"/>
      <c r="J45" s="592"/>
    </row>
    <row r="46" spans="1:10" ht="3" customHeight="1">
      <c r="C46" s="746"/>
      <c r="D46" s="859"/>
      <c r="I46" s="746"/>
    </row>
    <row r="47" spans="1:10" ht="12" customHeight="1">
      <c r="A47" s="809" t="s">
        <v>3174</v>
      </c>
      <c r="C47" s="860"/>
      <c r="I47" s="861"/>
      <c r="J47" s="861"/>
    </row>
    <row r="48" spans="1:10" ht="3" customHeight="1">
      <c r="D48" s="861"/>
      <c r="E48" s="861"/>
      <c r="F48" s="861"/>
      <c r="G48" s="862"/>
      <c r="H48" s="746"/>
      <c r="I48" s="861"/>
      <c r="J48" s="861"/>
    </row>
    <row r="49" spans="1:10" ht="12" customHeight="1">
      <c r="A49" s="746"/>
      <c r="B49" s="809" t="s">
        <v>3175</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3176</v>
      </c>
      <c r="B52" s="858"/>
      <c r="C52" s="863" t="s">
        <v>3177</v>
      </c>
      <c r="D52" s="863" t="s">
        <v>3533</v>
      </c>
      <c r="E52" s="2279"/>
      <c r="F52" s="2279"/>
      <c r="G52" s="2279"/>
      <c r="H52" s="2279"/>
      <c r="I52" s="2279"/>
      <c r="J52" s="2279"/>
    </row>
    <row r="53" spans="1:10" ht="12" customHeight="1">
      <c r="A53" s="858"/>
      <c r="B53" s="858"/>
      <c r="C53" s="858"/>
      <c r="D53" s="863" t="s">
        <v>3534</v>
      </c>
      <c r="E53" s="2280"/>
      <c r="F53" s="2280"/>
      <c r="G53" s="2280"/>
      <c r="H53" s="2280"/>
      <c r="I53" s="2280"/>
      <c r="J53" s="2280"/>
    </row>
    <row r="54" spans="1:10" ht="12" customHeight="1">
      <c r="A54" s="850" t="s">
        <v>3178</v>
      </c>
      <c r="G54" s="746"/>
      <c r="H54" s="746"/>
      <c r="I54" s="746"/>
    </row>
    <row r="55" spans="1:10" ht="18" customHeight="1">
      <c r="A55" s="809" t="s">
        <v>3179</v>
      </c>
      <c r="C55" s="852" t="str">
        <f>Overview!C10</f>
        <v>Altoview Terrace GP 2018, LLC</v>
      </c>
      <c r="G55" s="746"/>
      <c r="I55" s="746"/>
    </row>
    <row r="56" spans="1:10" ht="3" customHeight="1">
      <c r="C56" s="852"/>
      <c r="G56" s="746"/>
      <c r="I56" s="746"/>
    </row>
    <row r="57" spans="1:10" ht="12" customHeight="1">
      <c r="A57" s="809" t="s">
        <v>3180</v>
      </c>
      <c r="C57" s="852" t="str">
        <f>Overview!C11</f>
        <v/>
      </c>
      <c r="E57" s="852" t="str">
        <f>Overview!E11</f>
        <v/>
      </c>
      <c r="G57" s="746"/>
      <c r="I57" s="746"/>
    </row>
    <row r="58" spans="1:10" ht="3" customHeight="1">
      <c r="C58" s="852"/>
      <c r="G58" s="746"/>
      <c r="I58" s="746"/>
    </row>
    <row r="59" spans="1:10" ht="12" customHeight="1">
      <c r="A59" s="809" t="s">
        <v>3181</v>
      </c>
      <c r="C59" s="852" t="s">
        <v>2841</v>
      </c>
      <c r="G59" s="746"/>
      <c r="I59" s="746"/>
    </row>
    <row r="60" spans="1:10" ht="6" customHeight="1">
      <c r="G60" s="746"/>
      <c r="H60" s="746"/>
      <c r="I60" s="746"/>
    </row>
    <row r="61" spans="1:10" ht="12" customHeight="1">
      <c r="A61" s="850" t="s">
        <v>3182</v>
      </c>
      <c r="G61" s="746"/>
      <c r="H61" s="746"/>
      <c r="I61" s="746"/>
    </row>
    <row r="62" spans="1:10" ht="12" customHeight="1">
      <c r="A62" s="809" t="s">
        <v>3183</v>
      </c>
      <c r="C62" s="809" t="s">
        <v>3184</v>
      </c>
      <c r="D62" s="1422">
        <f>'Preview term'!F30</f>
        <v>9130000</v>
      </c>
      <c r="G62" s="746"/>
      <c r="I62" s="746"/>
    </row>
    <row r="63" spans="1:10" ht="3" customHeight="1">
      <c r="D63" s="864"/>
      <c r="G63" s="746"/>
      <c r="H63" s="865"/>
      <c r="I63" s="746"/>
    </row>
    <row r="64" spans="1:10" ht="12" customHeight="1">
      <c r="A64" s="809" t="s">
        <v>3185</v>
      </c>
      <c r="C64" s="809" t="s">
        <v>3187</v>
      </c>
      <c r="D64" s="852" t="s">
        <v>979</v>
      </c>
      <c r="G64" s="746"/>
      <c r="I64" s="746"/>
    </row>
    <row r="65" spans="1:10" ht="3" customHeight="1">
      <c r="D65" s="864"/>
      <c r="G65" s="746"/>
      <c r="H65" s="746"/>
      <c r="I65" s="746"/>
    </row>
    <row r="66" spans="1:10" ht="12" customHeight="1">
      <c r="A66" s="809" t="s">
        <v>3188</v>
      </c>
      <c r="C66" s="1423" t="s">
        <v>1784</v>
      </c>
      <c r="D66" s="878"/>
      <c r="I66" s="746"/>
    </row>
    <row r="67" spans="1:10" ht="12" customHeight="1">
      <c r="C67" s="809" t="s">
        <v>3189</v>
      </c>
      <c r="D67" s="1472" t="s">
        <v>1784</v>
      </c>
      <c r="I67" s="746"/>
    </row>
    <row r="68" spans="1:10" ht="12" customHeight="1">
      <c r="C68" s="809" t="s">
        <v>3155</v>
      </c>
      <c r="D68" s="2274"/>
      <c r="E68" s="2274"/>
      <c r="F68" s="2274"/>
      <c r="G68" s="2274"/>
      <c r="H68" s="2274"/>
      <c r="I68" s="2274"/>
      <c r="J68" s="2274"/>
    </row>
    <row r="69" spans="1:10" ht="3" customHeight="1">
      <c r="D69" s="864"/>
      <c r="E69" s="746"/>
      <c r="F69" s="746"/>
      <c r="I69" s="746"/>
    </row>
    <row r="70" spans="1:10" ht="12" customHeight="1">
      <c r="A70" s="809" t="s">
        <v>3190</v>
      </c>
      <c r="C70" s="809" t="s">
        <v>2425</v>
      </c>
      <c r="D70" s="872" t="s">
        <v>1784</v>
      </c>
      <c r="I70" s="746"/>
    </row>
    <row r="71" spans="1:10" ht="3" customHeight="1">
      <c r="D71" s="746"/>
      <c r="E71" s="746"/>
      <c r="I71" s="746"/>
    </row>
    <row r="72" spans="1:10" ht="12" customHeight="1">
      <c r="A72" s="809" t="s">
        <v>3191</v>
      </c>
      <c r="C72" s="1423" t="s">
        <v>1784</v>
      </c>
      <c r="I72" s="746"/>
    </row>
    <row r="73" spans="1:10" ht="3" customHeight="1">
      <c r="C73" s="864"/>
      <c r="G73" s="866"/>
      <c r="H73" s="746"/>
      <c r="I73" s="746"/>
    </row>
    <row r="74" spans="1:10" ht="12" customHeight="1">
      <c r="A74" s="809" t="s">
        <v>3192</v>
      </c>
      <c r="C74" s="864" t="s">
        <v>3193</v>
      </c>
      <c r="D74" s="1425">
        <v>0</v>
      </c>
      <c r="J74" s="746"/>
    </row>
    <row r="75" spans="1:10" ht="12" customHeight="1">
      <c r="C75" s="867" t="s">
        <v>3351</v>
      </c>
      <c r="D75" s="1426">
        <v>0.01</v>
      </c>
      <c r="J75" s="746"/>
    </row>
    <row r="76" spans="1:10" ht="3" customHeight="1">
      <c r="C76" s="864"/>
      <c r="D76" s="864"/>
      <c r="G76" s="746"/>
      <c r="H76" s="746"/>
      <c r="I76" s="746"/>
    </row>
    <row r="77" spans="1:10" ht="12" customHeight="1">
      <c r="A77" s="809" t="s">
        <v>3194</v>
      </c>
      <c r="C77" s="864" t="s">
        <v>3583</v>
      </c>
      <c r="D77" s="869">
        <v>24</v>
      </c>
      <c r="I77" s="746"/>
    </row>
    <row r="78" spans="1:10" ht="3" customHeight="1">
      <c r="D78" s="864"/>
      <c r="E78" s="746"/>
      <c r="F78" s="746"/>
      <c r="I78" s="746"/>
    </row>
    <row r="79" spans="1:10" ht="12" customHeight="1">
      <c r="A79" s="809" t="s">
        <v>3195</v>
      </c>
      <c r="C79" s="809" t="s">
        <v>2425</v>
      </c>
      <c r="D79" s="870">
        <f>'Preview term'!F39</f>
        <v>0</v>
      </c>
      <c r="E79" s="746" t="s">
        <v>3537</v>
      </c>
      <c r="I79" s="746"/>
    </row>
    <row r="80" spans="1:10" ht="3" customHeight="1">
      <c r="D80" s="864"/>
      <c r="G80" s="746"/>
      <c r="H80" s="746"/>
      <c r="I80" s="746"/>
    </row>
    <row r="81" spans="1:9" ht="12" customHeight="1">
      <c r="A81" s="809" t="s">
        <v>3196</v>
      </c>
      <c r="D81" s="1424">
        <v>0</v>
      </c>
      <c r="E81" s="871">
        <f>D81*12</f>
        <v>0</v>
      </c>
      <c r="F81" s="746" t="s">
        <v>3584</v>
      </c>
    </row>
    <row r="82" spans="1:9" ht="3" customHeight="1">
      <c r="D82" s="852"/>
      <c r="E82" s="746"/>
      <c r="G82" s="746"/>
    </row>
    <row r="83" spans="1:9" ht="12" customHeight="1">
      <c r="A83" s="809" t="s">
        <v>3197</v>
      </c>
      <c r="D83" s="1472" t="s">
        <v>979</v>
      </c>
      <c r="E83" s="746" t="s">
        <v>3198</v>
      </c>
      <c r="G83" s="746"/>
    </row>
    <row r="84" spans="1:9" ht="3" customHeight="1">
      <c r="G84" s="746"/>
      <c r="H84" s="746"/>
      <c r="I84" s="746"/>
    </row>
    <row r="85" spans="1:9" ht="12" customHeight="1">
      <c r="A85" s="809" t="s">
        <v>3199</v>
      </c>
      <c r="C85" s="1422" t="str">
        <f>'Part VII-Pro Forma'!K67</f>
        <v/>
      </c>
      <c r="D85" s="873" t="s">
        <v>3535</v>
      </c>
      <c r="I85" s="746"/>
    </row>
    <row r="86" spans="1:9" ht="3" customHeight="1">
      <c r="C86" s="746" t="s">
        <v>1784</v>
      </c>
      <c r="D86" s="746"/>
      <c r="E86" s="746"/>
      <c r="I86" s="746"/>
    </row>
    <row r="87" spans="1:9" ht="12" customHeight="1">
      <c r="A87" s="809" t="s">
        <v>3200</v>
      </c>
      <c r="B87" s="874"/>
      <c r="C87" s="1423" t="s">
        <v>1784</v>
      </c>
      <c r="D87" s="1428"/>
      <c r="I87" s="746"/>
    </row>
    <row r="88" spans="1:9" ht="3" customHeight="1">
      <c r="G88" s="746"/>
      <c r="H88" s="746"/>
      <c r="I88" s="746"/>
    </row>
    <row r="89" spans="1:9" ht="12" customHeight="1">
      <c r="A89" s="809" t="s">
        <v>3201</v>
      </c>
      <c r="C89" s="864" t="s">
        <v>3202</v>
      </c>
      <c r="D89" s="852" t="s">
        <v>3131</v>
      </c>
      <c r="I89" s="746"/>
    </row>
    <row r="90" spans="1:9" ht="12" customHeight="1">
      <c r="C90" s="864" t="s">
        <v>3203</v>
      </c>
      <c r="D90" s="852" t="s">
        <v>979</v>
      </c>
      <c r="I90" s="746"/>
    </row>
    <row r="91" spans="1:9" ht="3" customHeight="1">
      <c r="G91" s="746"/>
      <c r="H91" s="746"/>
      <c r="I91" s="746"/>
    </row>
    <row r="92" spans="1:9" ht="12" customHeight="1">
      <c r="A92" s="809" t="s">
        <v>3204</v>
      </c>
      <c r="C92" s="864" t="s">
        <v>3193</v>
      </c>
      <c r="D92" s="746" t="s">
        <v>3205</v>
      </c>
      <c r="E92" s="864" t="str">
        <f>'Part III-Sources of Funds'!H19</f>
        <v>Synovus Bank of Rome</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3351</v>
      </c>
      <c r="D96" s="746" t="s">
        <v>3205</v>
      </c>
      <c r="E96" s="864">
        <f>'Part III-Sources of Funds'!E37</f>
        <v>0</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3206</v>
      </c>
      <c r="D101" s="1472" t="str">
        <f>'Part IX A-Scoring Criteria'!O318</f>
        <v>Yes</v>
      </c>
      <c r="E101" s="746" t="s">
        <v>3186</v>
      </c>
      <c r="G101" s="809">
        <f>'Part IX A-Scoring Criteria'!O316</f>
        <v>1</v>
      </c>
      <c r="H101" s="809" t="s">
        <v>3536</v>
      </c>
      <c r="I101" s="746"/>
    </row>
    <row r="102" spans="1:10" ht="3" customHeight="1">
      <c r="E102" s="746"/>
      <c r="F102" s="746"/>
      <c r="I102" s="746"/>
    </row>
    <row r="103" spans="1:10" ht="12" customHeight="1">
      <c r="A103" s="746" t="s">
        <v>3352</v>
      </c>
      <c r="D103" s="809" t="s">
        <v>979</v>
      </c>
      <c r="E103" s="746"/>
      <c r="I103" s="746"/>
    </row>
    <row r="104" spans="1:10" ht="6" customHeight="1">
      <c r="G104" s="746"/>
      <c r="H104" s="746"/>
      <c r="I104" s="746"/>
    </row>
    <row r="105" spans="1:10" ht="12" customHeight="1">
      <c r="A105" s="850" t="s">
        <v>3353</v>
      </c>
      <c r="I105" s="746"/>
    </row>
    <row r="106" spans="1:10" ht="12" customHeight="1">
      <c r="A106" s="809" t="s">
        <v>3207</v>
      </c>
      <c r="C106" s="1427" t="s">
        <v>1784</v>
      </c>
      <c r="D106" s="2272"/>
      <c r="E106" s="2272"/>
      <c r="F106" s="2272"/>
      <c r="G106" s="2272"/>
      <c r="H106" s="2272"/>
      <c r="I106" s="2272"/>
      <c r="J106" s="2273"/>
    </row>
    <row r="107" spans="1:10" ht="3" customHeight="1">
      <c r="C107" s="864"/>
      <c r="D107" s="746"/>
      <c r="I107" s="746"/>
    </row>
    <row r="108" spans="1:10" ht="12" customHeight="1">
      <c r="A108" s="809" t="s">
        <v>3208</v>
      </c>
      <c r="C108" s="1472" t="s">
        <v>1784</v>
      </c>
    </row>
    <row r="109" spans="1:10" ht="3" customHeight="1">
      <c r="C109" s="864"/>
      <c r="E109" s="746"/>
      <c r="F109" s="746"/>
      <c r="I109" s="746"/>
    </row>
    <row r="110" spans="1:10" ht="12" customHeight="1">
      <c r="A110" s="809" t="s">
        <v>3209</v>
      </c>
      <c r="C110" s="1472" t="s">
        <v>1784</v>
      </c>
      <c r="I110" s="746"/>
    </row>
    <row r="111" spans="1:10" ht="3" customHeight="1">
      <c r="D111" s="857"/>
      <c r="I111" s="746"/>
    </row>
    <row r="112" spans="1:10" ht="12" customHeight="1">
      <c r="A112" s="809" t="s">
        <v>3210</v>
      </c>
      <c r="D112" s="870">
        <v>24</v>
      </c>
      <c r="E112" s="746" t="s">
        <v>3211</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3212</v>
      </c>
      <c r="D116" s="876">
        <v>0</v>
      </c>
      <c r="E116" s="877" t="s">
        <v>3213</v>
      </c>
      <c r="I116" s="746"/>
    </row>
    <row r="117" spans="1:10" ht="3" customHeight="1">
      <c r="D117" s="864"/>
      <c r="E117" s="746"/>
      <c r="F117" s="746"/>
      <c r="I117" s="746"/>
    </row>
    <row r="118" spans="1:10" ht="12" customHeight="1">
      <c r="A118" s="809" t="s">
        <v>3214</v>
      </c>
      <c r="C118" s="1423" t="s">
        <v>1784</v>
      </c>
      <c r="D118" s="878"/>
      <c r="I118" s="746"/>
    </row>
    <row r="119" spans="1:10" ht="12" customHeight="1">
      <c r="C119" s="746" t="s">
        <v>3215</v>
      </c>
      <c r="D119" s="868"/>
      <c r="E119" s="2276" t="s">
        <v>4323</v>
      </c>
      <c r="F119" s="2276"/>
      <c r="G119" s="2276"/>
      <c r="H119" s="2276"/>
      <c r="I119" s="2276"/>
      <c r="J119" s="2276"/>
    </row>
    <row r="120" spans="1:10" ht="12" customHeight="1">
      <c r="C120" s="746" t="s">
        <v>3216</v>
      </c>
      <c r="D120" s="1429"/>
      <c r="E120" s="2276"/>
      <c r="F120" s="2276"/>
      <c r="G120" s="2276"/>
      <c r="H120" s="2276"/>
      <c r="I120" s="2276"/>
      <c r="J120" s="2276"/>
    </row>
    <row r="121" spans="1:10" ht="12" customHeight="1">
      <c r="C121" s="746" t="s">
        <v>3217</v>
      </c>
      <c r="D121" s="1429"/>
      <c r="E121" s="2276"/>
      <c r="F121" s="2276"/>
      <c r="G121" s="2276"/>
      <c r="H121" s="2276"/>
      <c r="I121" s="2276"/>
      <c r="J121" s="2276"/>
    </row>
    <row r="122" spans="1:10" ht="3" customHeight="1">
      <c r="E122" s="746"/>
      <c r="F122" s="746"/>
      <c r="I122" s="746"/>
    </row>
    <row r="123" spans="1:10" ht="12" customHeight="1">
      <c r="A123" s="809" t="s">
        <v>3218</v>
      </c>
      <c r="D123" s="879" t="s">
        <v>3186</v>
      </c>
      <c r="I123" s="746"/>
    </row>
    <row r="124" spans="1:10" ht="3" customHeight="1">
      <c r="D124" s="746"/>
      <c r="I124" s="746"/>
    </row>
    <row r="125" spans="1:10" ht="12" customHeight="1">
      <c r="A125" s="809" t="s">
        <v>3219</v>
      </c>
      <c r="D125" s="746" t="s">
        <v>3186</v>
      </c>
      <c r="I125" s="746"/>
    </row>
    <row r="126" spans="1:10" ht="3" customHeight="1">
      <c r="G126" s="746"/>
      <c r="H126" s="746"/>
      <c r="I126" s="746"/>
    </row>
    <row r="127" spans="1:10" ht="12" customHeight="1">
      <c r="A127" s="809" t="s">
        <v>3220</v>
      </c>
      <c r="D127" s="746" t="s">
        <v>3221</v>
      </c>
      <c r="G127" s="746"/>
      <c r="I127" s="746"/>
    </row>
    <row r="128" spans="1:10" ht="7.5" customHeight="1">
      <c r="G128" s="746"/>
      <c r="H128" s="746"/>
      <c r="I128" s="746"/>
    </row>
    <row r="129" spans="1:10" ht="12" customHeight="1">
      <c r="A129" s="850" t="s">
        <v>3222</v>
      </c>
      <c r="G129" s="746"/>
      <c r="H129" s="746"/>
      <c r="I129" s="746"/>
    </row>
    <row r="130" spans="1:10" ht="12" customHeight="1">
      <c r="A130" s="809" t="s">
        <v>3223</v>
      </c>
      <c r="C130" s="852" t="str">
        <f>Overview!H11</f>
        <v>Rea Ventures Group, LLC</v>
      </c>
      <c r="D130" s="852" t="str">
        <f>Overview!K11</f>
        <v>Northwest Georgia Housing Authority</v>
      </c>
      <c r="G130" s="852">
        <f>Overview!M11</f>
        <v>0</v>
      </c>
      <c r="I130" s="746"/>
    </row>
    <row r="131" spans="1:10" ht="12" customHeight="1">
      <c r="G131" s="746"/>
      <c r="I131" s="746"/>
    </row>
    <row r="132" spans="1:10" ht="3" customHeight="1">
      <c r="C132" s="746"/>
      <c r="G132" s="746"/>
      <c r="I132" s="746"/>
    </row>
    <row r="133" spans="1:10" ht="12" customHeight="1">
      <c r="A133" s="809" t="s">
        <v>3224</v>
      </c>
      <c r="C133" s="880">
        <f>('Part IV-A-Uses of Funds'!G118-'Part III-Sources of Funds'!I42)/2</f>
        <v>733980</v>
      </c>
      <c r="G133" s="746"/>
      <c r="I133" s="746"/>
    </row>
    <row r="134" spans="1:10" ht="3" customHeight="1">
      <c r="C134" s="746"/>
      <c r="G134" s="746"/>
      <c r="I134" s="746"/>
    </row>
    <row r="135" spans="1:10" ht="12" customHeight="1">
      <c r="A135" s="809" t="s">
        <v>3225</v>
      </c>
      <c r="C135" s="1472" t="s">
        <v>3226</v>
      </c>
      <c r="G135" s="746"/>
      <c r="I135" s="746"/>
    </row>
    <row r="136" spans="1:10" ht="3" customHeight="1">
      <c r="C136" s="852"/>
      <c r="G136" s="746"/>
      <c r="I136" s="746"/>
    </row>
    <row r="137" spans="1:10" ht="12" customHeight="1">
      <c r="A137" s="809" t="s">
        <v>3227</v>
      </c>
      <c r="C137" s="852" t="str">
        <f>'Preview term'!E19</f>
        <v>Northwest Georgia Housing Authority</v>
      </c>
      <c r="G137" s="746"/>
      <c r="I137" s="746"/>
      <c r="J137" s="881"/>
    </row>
    <row r="138" spans="1:10" ht="3" customHeight="1">
      <c r="C138" s="852"/>
      <c r="G138" s="746"/>
      <c r="I138" s="746"/>
    </row>
    <row r="139" spans="1:10" ht="12" customHeight="1">
      <c r="A139" s="809" t="s">
        <v>3228</v>
      </c>
      <c r="C139" s="853" t="str">
        <f>C8</f>
        <v>Altoview Terrace, LP</v>
      </c>
      <c r="G139" s="746"/>
      <c r="I139" s="851"/>
      <c r="J139" s="882"/>
    </row>
    <row r="140" spans="1:10" ht="3" customHeight="1">
      <c r="C140" s="853"/>
      <c r="G140" s="746"/>
      <c r="I140" s="851"/>
      <c r="J140" s="882"/>
    </row>
    <row r="141" spans="1:10" ht="12" customHeight="1">
      <c r="A141" s="809" t="s">
        <v>3229</v>
      </c>
      <c r="C141" s="853" t="str">
        <f>C18</f>
        <v>329 West 9th St</v>
      </c>
      <c r="G141" s="746"/>
      <c r="I141" s="851"/>
      <c r="J141" s="882"/>
    </row>
    <row r="142" spans="1:10">
      <c r="C142" s="853" t="str">
        <f>C19</f>
        <v>Rome, GA 30161</v>
      </c>
      <c r="G142" s="746"/>
      <c r="I142" s="851"/>
      <c r="J142" s="882"/>
    </row>
    <row r="143" spans="1:10" ht="3" customHeight="1">
      <c r="C143" s="883"/>
      <c r="G143" s="746"/>
      <c r="I143" s="851"/>
      <c r="J143" s="882"/>
    </row>
    <row r="144" spans="1:10" ht="12" customHeight="1">
      <c r="A144" s="809" t="s">
        <v>3230</v>
      </c>
      <c r="C144" s="853" t="str">
        <f>Overview!H10</f>
        <v>Boston Capital</v>
      </c>
      <c r="G144" s="746"/>
      <c r="I144" s="851"/>
      <c r="J144" s="881"/>
    </row>
    <row r="145" spans="1:10" ht="3" customHeight="1">
      <c r="C145" s="853"/>
      <c r="G145" s="746"/>
      <c r="I145" s="851"/>
      <c r="J145" s="882"/>
    </row>
    <row r="146" spans="1:10" ht="12" customHeight="1">
      <c r="A146" s="809" t="s">
        <v>3231</v>
      </c>
      <c r="C146" s="853" t="str">
        <f>Overview!K10</f>
        <v>Boston Capital</v>
      </c>
      <c r="G146" s="746"/>
      <c r="I146" s="851"/>
      <c r="J146" s="881"/>
    </row>
    <row r="147" spans="1:10" ht="3" customHeight="1">
      <c r="C147" s="883"/>
      <c r="G147" s="746"/>
      <c r="I147" s="851"/>
      <c r="J147" s="882"/>
    </row>
    <row r="148" spans="1:10" ht="12" customHeight="1">
      <c r="A148" s="809" t="s">
        <v>3232</v>
      </c>
      <c r="C148" s="884" t="s">
        <v>3186</v>
      </c>
      <c r="G148" s="746"/>
      <c r="I148" s="746"/>
    </row>
    <row r="149" spans="1:10" ht="3" customHeight="1">
      <c r="C149" s="884"/>
      <c r="G149" s="746"/>
      <c r="I149" s="746"/>
    </row>
    <row r="150" spans="1:10" ht="12" customHeight="1">
      <c r="A150" s="809" t="s">
        <v>3233</v>
      </c>
      <c r="C150" s="884" t="s">
        <v>3186</v>
      </c>
      <c r="G150" s="746"/>
      <c r="I150" s="746"/>
    </row>
    <row r="151" spans="1:10" ht="7.5" customHeight="1">
      <c r="G151" s="746"/>
      <c r="H151" s="746"/>
      <c r="I151" s="746"/>
    </row>
    <row r="152" spans="1:10" ht="12" customHeight="1">
      <c r="A152" s="850" t="s">
        <v>3234</v>
      </c>
      <c r="G152" s="746"/>
      <c r="H152" s="746"/>
      <c r="I152" s="746"/>
    </row>
    <row r="153" spans="1:10" ht="3" customHeight="1">
      <c r="D153" s="746"/>
      <c r="E153" s="746"/>
      <c r="G153" s="746"/>
    </row>
    <row r="154" spans="1:10" ht="12" customHeight="1">
      <c r="A154" s="809" t="s">
        <v>3235</v>
      </c>
      <c r="C154" s="746" t="s">
        <v>3538</v>
      </c>
      <c r="D154" s="746"/>
      <c r="G154" s="746"/>
      <c r="H154" s="746"/>
      <c r="I154" s="746"/>
    </row>
    <row r="155" spans="1:10" ht="3" customHeight="1">
      <c r="D155" s="746"/>
      <c r="E155" s="746"/>
      <c r="G155" s="746"/>
    </row>
    <row r="156" spans="1:10" ht="12" customHeight="1">
      <c r="A156" s="809" t="s">
        <v>3236</v>
      </c>
      <c r="D156" s="1472">
        <v>20</v>
      </c>
      <c r="E156" s="746" t="s">
        <v>2425</v>
      </c>
    </row>
    <row r="157" spans="1:10" ht="3" customHeight="1">
      <c r="D157" s="746"/>
      <c r="E157" s="746"/>
      <c r="G157" s="746"/>
    </row>
    <row r="158" spans="1:10" ht="12" customHeight="1">
      <c r="A158" s="809" t="s">
        <v>3237</v>
      </c>
      <c r="C158" s="1423" t="s">
        <v>1784</v>
      </c>
      <c r="D158" s="746" t="s">
        <v>3585</v>
      </c>
      <c r="G158" s="746"/>
    </row>
    <row r="159" spans="1:10" ht="3" customHeight="1">
      <c r="G159" s="746"/>
      <c r="H159" s="746"/>
      <c r="I159" s="746"/>
    </row>
    <row r="160" spans="1:10" ht="12" customHeight="1">
      <c r="A160" s="809" t="s">
        <v>3238</v>
      </c>
      <c r="G160" s="746"/>
      <c r="H160" s="746"/>
      <c r="I160" s="746"/>
    </row>
    <row r="161" spans="1:13" ht="7.5" customHeight="1">
      <c r="G161" s="746"/>
      <c r="H161" s="746"/>
      <c r="I161" s="746"/>
    </row>
    <row r="162" spans="1:13" ht="12" customHeight="1">
      <c r="A162" s="850" t="s">
        <v>3239</v>
      </c>
      <c r="G162" s="746"/>
      <c r="H162" s="746"/>
      <c r="I162" s="746"/>
    </row>
    <row r="163" spans="1:13" ht="12" customHeight="1">
      <c r="A163" s="809" t="s">
        <v>3343</v>
      </c>
      <c r="C163" s="809" t="s">
        <v>3344</v>
      </c>
      <c r="E163" s="872">
        <f>'Preview term'!F77</f>
        <v>0</v>
      </c>
      <c r="G163" s="746"/>
      <c r="I163" s="746"/>
    </row>
    <row r="164" spans="1:13" ht="12" customHeight="1">
      <c r="C164" s="809" t="s">
        <v>3539</v>
      </c>
      <c r="E164" s="2274"/>
      <c r="F164" s="2274"/>
      <c r="G164" s="2274"/>
      <c r="I164" s="746"/>
    </row>
    <row r="165" spans="1:13" ht="3" customHeight="1">
      <c r="E165" s="746"/>
      <c r="G165" s="746"/>
      <c r="I165" s="746"/>
    </row>
    <row r="166" spans="1:13" ht="12" customHeight="1">
      <c r="A166" s="809" t="s">
        <v>3240</v>
      </c>
      <c r="C166" s="809" t="s">
        <v>3241</v>
      </c>
      <c r="E166" s="885">
        <f>'Preview term'!F71</f>
        <v>139406</v>
      </c>
      <c r="G166" s="746"/>
      <c r="I166" s="746"/>
    </row>
    <row r="167" spans="1:13" ht="12" customHeight="1">
      <c r="C167" s="809" t="s">
        <v>3539</v>
      </c>
      <c r="E167" s="2274"/>
      <c r="F167" s="2274"/>
      <c r="G167" s="2274"/>
      <c r="I167" s="746"/>
    </row>
    <row r="168" spans="1:13" ht="12" customHeight="1">
      <c r="C168" s="809" t="s">
        <v>3242</v>
      </c>
      <c r="E168" s="852" t="s">
        <v>2841</v>
      </c>
      <c r="G168" s="746"/>
      <c r="I168" s="746"/>
    </row>
    <row r="169" spans="1:13" ht="3" customHeight="1">
      <c r="E169" s="852"/>
      <c r="G169" s="746"/>
      <c r="I169" s="746"/>
    </row>
    <row r="170" spans="1:13" ht="12" customHeight="1">
      <c r="A170" s="809" t="s">
        <v>3345</v>
      </c>
      <c r="C170" s="809" t="s">
        <v>3346</v>
      </c>
      <c r="E170" s="885">
        <f>'Preview term'!F73</f>
        <v>0</v>
      </c>
      <c r="G170" s="746"/>
      <c r="I170" s="746"/>
    </row>
    <row r="171" spans="1:13" ht="12" customHeight="1">
      <c r="C171" s="809" t="s">
        <v>3243</v>
      </c>
      <c r="E171" s="885">
        <f>'Preview term'!F73</f>
        <v>0</v>
      </c>
      <c r="G171" s="746"/>
      <c r="I171" s="851"/>
      <c r="J171" s="882"/>
      <c r="K171" s="882"/>
      <c r="L171" s="882"/>
      <c r="M171" s="882"/>
    </row>
    <row r="172" spans="1:13" ht="12" customHeight="1">
      <c r="C172" s="809" t="s">
        <v>3244</v>
      </c>
      <c r="E172" s="880">
        <f>'Part VI-Revenues &amp; Expenses'!P179</f>
        <v>17180</v>
      </c>
      <c r="F172" s="851" t="s">
        <v>3245</v>
      </c>
      <c r="J172" s="882"/>
      <c r="K172" s="882"/>
      <c r="L172" s="882"/>
      <c r="M172" s="882"/>
    </row>
    <row r="173" spans="1:13">
      <c r="E173" s="885">
        <f>E172/12</f>
        <v>1431.6666666666667</v>
      </c>
      <c r="F173" s="746" t="s">
        <v>3097</v>
      </c>
    </row>
    <row r="174" spans="1:13" ht="12" customHeight="1">
      <c r="C174" s="809" t="s">
        <v>3540</v>
      </c>
      <c r="E174" s="2274"/>
      <c r="F174" s="2274"/>
      <c r="G174" s="2274"/>
      <c r="I174" s="746"/>
    </row>
    <row r="175" spans="1:13" ht="12" customHeight="1">
      <c r="C175" s="809" t="s">
        <v>3246</v>
      </c>
      <c r="E175" s="746" t="s">
        <v>3009</v>
      </c>
      <c r="I175" s="746"/>
    </row>
    <row r="176" spans="1:13" ht="12" customHeight="1">
      <c r="C176" s="809" t="s">
        <v>3247</v>
      </c>
      <c r="E176" s="746" t="s">
        <v>2841</v>
      </c>
      <c r="I176" s="746"/>
    </row>
    <row r="177" spans="1:10" ht="3" customHeight="1">
      <c r="E177" s="746"/>
      <c r="F177" s="746"/>
      <c r="I177" s="746"/>
    </row>
    <row r="178" spans="1:10" ht="12" customHeight="1">
      <c r="A178" s="809" t="s">
        <v>3341</v>
      </c>
      <c r="C178" s="809" t="s">
        <v>3342</v>
      </c>
      <c r="E178" s="872" t="s">
        <v>1784</v>
      </c>
      <c r="F178" s="886"/>
      <c r="I178" s="746"/>
    </row>
    <row r="179" spans="1:10" ht="12" customHeight="1">
      <c r="C179" s="809" t="s">
        <v>3248</v>
      </c>
      <c r="E179" s="872" t="s">
        <v>1784</v>
      </c>
      <c r="F179" s="2274"/>
      <c r="G179" s="2274"/>
      <c r="H179" s="2274"/>
      <c r="I179" s="2274"/>
      <c r="J179" s="2274"/>
    </row>
    <row r="180" spans="1:10" ht="12" customHeight="1">
      <c r="C180" s="809" t="s">
        <v>3541</v>
      </c>
      <c r="E180" s="746" t="s">
        <v>3186</v>
      </c>
      <c r="I180" s="746"/>
    </row>
    <row r="181" spans="1:10" ht="12" customHeight="1">
      <c r="C181" s="809" t="s">
        <v>3249</v>
      </c>
      <c r="E181" s="746" t="s">
        <v>2841</v>
      </c>
      <c r="I181" s="746"/>
    </row>
    <row r="182" spans="1:10" ht="3" customHeight="1">
      <c r="G182" s="746"/>
      <c r="H182" s="746"/>
      <c r="I182" s="746"/>
    </row>
    <row r="183" spans="1:10" ht="12" customHeight="1">
      <c r="A183" s="809" t="s">
        <v>3347</v>
      </c>
      <c r="C183" s="809" t="s">
        <v>3348</v>
      </c>
      <c r="E183" s="885">
        <f>'Preview term'!F75</f>
        <v>69703</v>
      </c>
      <c r="G183" s="746"/>
      <c r="I183" s="746"/>
    </row>
    <row r="184" spans="1:10" ht="12" customHeight="1">
      <c r="C184" s="809" t="s">
        <v>3539</v>
      </c>
      <c r="E184" s="852">
        <f>E167</f>
        <v>0</v>
      </c>
      <c r="G184" s="746"/>
      <c r="I184" s="746"/>
    </row>
    <row r="185" spans="1:10" ht="12" customHeight="1">
      <c r="C185" s="809" t="s">
        <v>3250</v>
      </c>
      <c r="E185" s="852" t="s">
        <v>3186</v>
      </c>
      <c r="G185" s="746"/>
      <c r="I185" s="746"/>
    </row>
    <row r="186" spans="1:10" ht="3" customHeight="1">
      <c r="E186" s="852"/>
      <c r="G186" s="746"/>
      <c r="I186" s="746"/>
    </row>
    <row r="187" spans="1:10" ht="12" customHeight="1">
      <c r="A187" s="809" t="s">
        <v>3349</v>
      </c>
      <c r="C187" s="809" t="s">
        <v>3350</v>
      </c>
      <c r="E187" s="852" t="s">
        <v>3186</v>
      </c>
      <c r="G187" s="746"/>
      <c r="I187" s="746"/>
    </row>
    <row r="188" spans="1:10" ht="12" customHeight="1">
      <c r="C188" s="809" t="s">
        <v>3241</v>
      </c>
      <c r="E188" s="864"/>
      <c r="G188" s="746"/>
      <c r="H188" s="871"/>
      <c r="I188" s="746"/>
    </row>
    <row r="189" spans="1:10" ht="12" customHeight="1">
      <c r="C189" s="809" t="s">
        <v>3539</v>
      </c>
      <c r="E189" s="864"/>
      <c r="I189" s="852"/>
    </row>
    <row r="190" spans="1:10" ht="12" customHeight="1">
      <c r="C190" s="809" t="s">
        <v>3242</v>
      </c>
      <c r="E190" s="864"/>
      <c r="G190" s="746"/>
      <c r="H190" s="746"/>
      <c r="I190" s="746"/>
    </row>
    <row r="191" spans="1:10" ht="9" customHeight="1">
      <c r="G191" s="746"/>
      <c r="H191" s="746"/>
      <c r="I191" s="746"/>
    </row>
    <row r="192" spans="1:10" ht="12" customHeight="1">
      <c r="A192" s="850" t="s">
        <v>3251</v>
      </c>
      <c r="C192" s="746" t="s">
        <v>3252</v>
      </c>
      <c r="E192" s="746"/>
      <c r="I192" s="746"/>
    </row>
    <row r="193" spans="1:10" ht="9" customHeight="1">
      <c r="E193" s="746"/>
      <c r="F193" s="746"/>
      <c r="I193" s="746"/>
    </row>
    <row r="194" spans="1:10" ht="12" customHeight="1">
      <c r="A194" s="850" t="s">
        <v>3253</v>
      </c>
      <c r="E194" s="746"/>
      <c r="F194" s="746"/>
      <c r="I194" s="746"/>
    </row>
    <row r="195" spans="1:10" ht="12" customHeight="1">
      <c r="A195" s="809" t="s">
        <v>3254</v>
      </c>
      <c r="C195" s="1419" t="s">
        <v>1784</v>
      </c>
      <c r="E195" s="746"/>
      <c r="F195" s="746"/>
      <c r="I195" s="746"/>
    </row>
    <row r="196" spans="1:10" ht="3" customHeight="1">
      <c r="G196" s="746"/>
      <c r="H196" s="746"/>
      <c r="I196" s="746"/>
    </row>
    <row r="197" spans="1:10">
      <c r="A197" s="858" t="s">
        <v>3543</v>
      </c>
      <c r="B197" s="858"/>
      <c r="C197" s="858"/>
      <c r="D197" s="858"/>
      <c r="E197" s="863" t="s">
        <v>3542</v>
      </c>
      <c r="F197" s="2275">
        <f>'Part VIII-Threshold Criteria'!E393</f>
        <v>0</v>
      </c>
      <c r="G197" s="2275"/>
      <c r="H197" s="2275"/>
      <c r="I197" s="2275"/>
      <c r="J197" s="2275"/>
    </row>
    <row r="198" spans="1:10" ht="9" customHeight="1">
      <c r="G198" s="746"/>
      <c r="H198" s="746"/>
      <c r="I198" s="746"/>
    </row>
    <row r="199" spans="1:10" ht="12" customHeight="1">
      <c r="A199" s="887" t="s">
        <v>3340</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3255</v>
      </c>
      <c r="G202" s="746"/>
      <c r="H202" s="746"/>
      <c r="I202" s="746"/>
    </row>
    <row r="203" spans="1:10" ht="3" customHeight="1">
      <c r="G203" s="746"/>
      <c r="H203" s="746"/>
      <c r="I203" s="746"/>
    </row>
    <row r="204" spans="1:10" ht="76.5" customHeight="1">
      <c r="A204" s="2267" t="s">
        <v>2962</v>
      </c>
      <c r="B204" s="2267"/>
      <c r="C204" s="2267"/>
      <c r="D204" s="2267"/>
      <c r="E204" s="2267"/>
      <c r="F204" s="2267"/>
      <c r="G204" s="2267"/>
      <c r="H204" s="2267"/>
      <c r="I204" s="2267"/>
      <c r="J204" s="2267"/>
    </row>
    <row r="205" spans="1:10">
      <c r="A205" s="746" t="s">
        <v>2963</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G13" sqref="G13:H13"/>
    </sheetView>
  </sheetViews>
  <sheetFormatPr defaultColWidth="9.140625" defaultRowHeight="12.75"/>
  <cols>
    <col min="1" max="1" width="3.42578125" style="809" customWidth="1"/>
    <col min="2" max="2" width="4.28515625" style="809" customWidth="1"/>
    <col min="3" max="3" width="18.42578125" style="809" customWidth="1"/>
    <col min="4" max="4" width="2.7109375" style="809" customWidth="1"/>
    <col min="5" max="5" width="6.42578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3256</v>
      </c>
      <c r="H1" s="854" t="str">
        <f>Overview!C8</f>
        <v>Altoview Terrace</v>
      </c>
    </row>
    <row r="2" spans="1:11">
      <c r="A2" s="746" t="s">
        <v>3257</v>
      </c>
      <c r="H2" s="809" t="str">
        <f>Overview!E8</f>
        <v>2018-045</v>
      </c>
    </row>
    <row r="3" spans="1:11" ht="3" customHeight="1"/>
    <row r="4" spans="1:11" ht="51.75" customHeight="1">
      <c r="A4" s="2268" t="s">
        <v>3357</v>
      </c>
      <c r="B4" s="2268"/>
      <c r="C4" s="2268"/>
      <c r="D4" s="2268"/>
      <c r="E4" s="2268"/>
      <c r="F4" s="2268"/>
      <c r="G4" s="2268"/>
      <c r="H4" s="2268"/>
      <c r="J4" s="1444">
        <f>SUM('Part VII-Pro Forma'!B14:B16)/12</f>
        <v>31408.146000000004</v>
      </c>
      <c r="K4" s="1443" t="s">
        <v>4530</v>
      </c>
    </row>
    <row r="5" spans="1:11" ht="1.5" customHeight="1">
      <c r="C5" s="888"/>
      <c r="D5" s="888"/>
      <c r="E5" s="888"/>
      <c r="F5" s="888"/>
      <c r="G5" s="888"/>
      <c r="H5" s="888"/>
    </row>
    <row r="6" spans="1:11" ht="12.75" customHeight="1">
      <c r="B6" s="889" t="s">
        <v>2451</v>
      </c>
      <c r="C6" s="2268" t="s">
        <v>3258</v>
      </c>
      <c r="D6" s="2268"/>
      <c r="E6" s="2268"/>
      <c r="F6" s="2268"/>
      <c r="G6" s="2268"/>
      <c r="H6" s="2268"/>
    </row>
    <row r="7" spans="1:11" ht="12.75" customHeight="1">
      <c r="B7" s="889" t="s">
        <v>2452</v>
      </c>
      <c r="C7" s="2268" t="s">
        <v>3259</v>
      </c>
      <c r="D7" s="2268"/>
      <c r="E7" s="2268"/>
      <c r="F7" s="2268"/>
      <c r="G7" s="2268"/>
      <c r="H7" s="2268"/>
    </row>
    <row r="8" spans="1:11" ht="3" customHeight="1"/>
    <row r="9" spans="1:11">
      <c r="A9" s="809" t="s">
        <v>3260</v>
      </c>
    </row>
    <row r="10" spans="1:11" ht="1.5" customHeight="1"/>
    <row r="11" spans="1:11" ht="26.25" customHeight="1">
      <c r="A11" s="890" t="s">
        <v>1999</v>
      </c>
      <c r="B11" s="2287" t="s">
        <v>3354</v>
      </c>
      <c r="C11" s="2287"/>
      <c r="D11" s="2287"/>
      <c r="E11" s="2287"/>
      <c r="F11" s="2287"/>
      <c r="G11" s="2288">
        <f>'Part III-Sources of Funds'!I49+'Part III-Sources of Funds'!I50</f>
        <v>13298670</v>
      </c>
      <c r="H11" s="2288"/>
    </row>
    <row r="12" spans="1:11" ht="1.5" customHeight="1">
      <c r="G12" s="858"/>
      <c r="H12" s="858"/>
    </row>
    <row r="13" spans="1:11" ht="26.25" customHeight="1">
      <c r="A13" s="890" t="s">
        <v>2001</v>
      </c>
      <c r="B13" s="2287" t="s">
        <v>3355</v>
      </c>
      <c r="C13" s="2287"/>
      <c r="D13" s="2287"/>
      <c r="E13" s="2287"/>
      <c r="F13" s="2287"/>
      <c r="G13" s="2289" t="s">
        <v>3186</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3359</v>
      </c>
      <c r="F16" s="882"/>
      <c r="G16" s="2265" t="s">
        <v>3012</v>
      </c>
      <c r="H16" s="2265"/>
    </row>
    <row r="17" spans="1:8" ht="1.5" customHeight="1">
      <c r="G17" s="864"/>
    </row>
    <row r="18" spans="1:8" ht="12" customHeight="1">
      <c r="A18" s="890" t="s">
        <v>2131</v>
      </c>
      <c r="B18" s="858" t="s">
        <v>3356</v>
      </c>
      <c r="C18" s="890"/>
      <c r="D18" s="890"/>
      <c r="E18" s="890"/>
      <c r="G18" s="2282" t="s">
        <v>2841</v>
      </c>
      <c r="H18" s="2282"/>
    </row>
    <row r="19" spans="1:8" ht="12" hidden="1" customHeight="1">
      <c r="B19" s="2282"/>
      <c r="C19" s="2282"/>
      <c r="D19" s="2282"/>
      <c r="E19" s="2282"/>
      <c r="F19" s="2282"/>
      <c r="G19" s="2282"/>
      <c r="H19" s="2282"/>
    </row>
    <row r="20" spans="1:8" ht="13.5" customHeight="1"/>
    <row r="21" spans="1:8" ht="12" customHeight="1">
      <c r="A21" s="746" t="s">
        <v>3261</v>
      </c>
    </row>
    <row r="22" spans="1:8" ht="3" customHeight="1"/>
    <row r="23" spans="1:8" ht="26.25" customHeight="1">
      <c r="A23" s="2285" t="s">
        <v>3358</v>
      </c>
      <c r="B23" s="2285"/>
      <c r="C23" s="2285"/>
      <c r="D23" s="2285"/>
      <c r="E23" s="2285"/>
      <c r="F23" s="2285"/>
      <c r="G23" s="2285"/>
      <c r="H23" s="2285"/>
    </row>
    <row r="24" spans="1:8" ht="26.25" customHeight="1">
      <c r="A24" s="2286" t="s">
        <v>3262</v>
      </c>
      <c r="B24" s="2286"/>
      <c r="C24" s="2286"/>
      <c r="D24" s="2286"/>
      <c r="E24" s="2286"/>
      <c r="F24" s="2286"/>
      <c r="G24" s="2286"/>
      <c r="H24" s="2286"/>
    </row>
    <row r="25" spans="1:8" ht="9" customHeight="1">
      <c r="A25" s="831"/>
    </row>
    <row r="26" spans="1:8">
      <c r="A26" s="864" t="s">
        <v>3360</v>
      </c>
      <c r="B26" s="891"/>
      <c r="C26" s="864" t="s">
        <v>3361</v>
      </c>
      <c r="D26" s="892" t="s">
        <v>3549</v>
      </c>
    </row>
    <row r="27" spans="1:8" ht="6" customHeight="1"/>
    <row r="28" spans="1:8" ht="12.75" customHeight="1">
      <c r="C28" s="858" t="s">
        <v>3263</v>
      </c>
      <c r="D28" s="893" t="s">
        <v>2002</v>
      </c>
      <c r="E28" s="894"/>
      <c r="F28" s="2268" t="s">
        <v>3264</v>
      </c>
      <c r="G28" s="2268"/>
      <c r="H28" s="2268"/>
    </row>
    <row r="29" spans="1:8" ht="12.75" customHeight="1">
      <c r="C29" s="895" t="s">
        <v>1365</v>
      </c>
      <c r="D29" s="893" t="s">
        <v>2004</v>
      </c>
      <c r="E29" s="2268" t="s">
        <v>3365</v>
      </c>
      <c r="F29" s="2268"/>
      <c r="G29" s="2268"/>
      <c r="H29" s="2268"/>
    </row>
    <row r="30" spans="1:8" ht="12.75" customHeight="1">
      <c r="E30" s="2268" t="s">
        <v>3545</v>
      </c>
      <c r="F30" s="2268"/>
      <c r="G30" s="2268"/>
      <c r="H30" s="2268"/>
    </row>
    <row r="31" spans="1:8" ht="12.75" customHeight="1">
      <c r="D31" s="896" t="s">
        <v>3364</v>
      </c>
      <c r="E31" s="2268" t="s">
        <v>3546</v>
      </c>
      <c r="F31" s="2268"/>
      <c r="G31" s="2268"/>
      <c r="H31" s="2268"/>
    </row>
    <row r="32" spans="1:8" ht="3" customHeight="1">
      <c r="D32" s="893"/>
      <c r="E32" s="1471"/>
      <c r="F32" s="1471"/>
      <c r="G32" s="1471"/>
      <c r="H32" s="1471"/>
    </row>
    <row r="33" spans="1:11">
      <c r="A33" s="864" t="s">
        <v>3360</v>
      </c>
      <c r="B33" s="891"/>
      <c r="C33" s="864" t="s">
        <v>3362</v>
      </c>
      <c r="D33" s="892" t="s">
        <v>3550</v>
      </c>
    </row>
    <row r="34" spans="1:11" ht="4.5" customHeight="1"/>
    <row r="35" spans="1:11" ht="12.75" customHeight="1">
      <c r="C35" s="858" t="s">
        <v>3263</v>
      </c>
      <c r="D35" s="893" t="s">
        <v>2002</v>
      </c>
      <c r="E35" s="894"/>
      <c r="F35" s="2268" t="s">
        <v>3264</v>
      </c>
      <c r="G35" s="2268"/>
      <c r="H35" s="2268"/>
    </row>
    <row r="36" spans="1:11" ht="12.75" customHeight="1">
      <c r="C36" s="895" t="s">
        <v>1365</v>
      </c>
      <c r="D36" s="893" t="s">
        <v>2004</v>
      </c>
      <c r="E36" s="2268" t="s">
        <v>3366</v>
      </c>
      <c r="F36" s="2268"/>
      <c r="G36" s="2268"/>
      <c r="H36" s="2268"/>
    </row>
    <row r="37" spans="1:11" ht="12.75" customHeight="1">
      <c r="E37" s="2268" t="s">
        <v>3545</v>
      </c>
      <c r="F37" s="2268"/>
      <c r="G37" s="2268"/>
      <c r="H37" s="2268"/>
    </row>
    <row r="38" spans="1:11" ht="12.75" customHeight="1">
      <c r="D38" s="896" t="s">
        <v>3364</v>
      </c>
      <c r="E38" s="2268" t="s">
        <v>3546</v>
      </c>
      <c r="F38" s="2268"/>
      <c r="G38" s="2268"/>
      <c r="H38" s="2268"/>
    </row>
    <row r="39" spans="1:11" ht="3" customHeight="1">
      <c r="D39" s="893"/>
      <c r="E39" s="1471"/>
      <c r="F39" s="1471"/>
      <c r="G39" s="1471"/>
      <c r="H39" s="1471"/>
    </row>
    <row r="40" spans="1:11">
      <c r="A40" s="864" t="s">
        <v>3360</v>
      </c>
      <c r="B40" s="891"/>
      <c r="C40" s="864" t="s">
        <v>3363</v>
      </c>
      <c r="D40" s="892" t="s">
        <v>3551</v>
      </c>
    </row>
    <row r="41" spans="1:11" ht="4.5" customHeight="1"/>
    <row r="42" spans="1:11" ht="12.75" customHeight="1">
      <c r="C42" s="858" t="s">
        <v>3263</v>
      </c>
      <c r="D42" s="893" t="s">
        <v>2002</v>
      </c>
      <c r="E42" s="894"/>
      <c r="F42" s="2268" t="s">
        <v>3264</v>
      </c>
      <c r="G42" s="2268"/>
      <c r="H42" s="2268"/>
      <c r="K42" s="809" t="s">
        <v>245</v>
      </c>
    </row>
    <row r="43" spans="1:11" ht="12.75" customHeight="1">
      <c r="C43" s="895" t="s">
        <v>1365</v>
      </c>
      <c r="D43" s="893" t="s">
        <v>2004</v>
      </c>
      <c r="E43" s="2268" t="s">
        <v>3366</v>
      </c>
      <c r="F43" s="2268"/>
      <c r="G43" s="2268"/>
      <c r="H43" s="2268"/>
    </row>
    <row r="44" spans="1:11" ht="12.75" customHeight="1">
      <c r="E44" s="2268" t="s">
        <v>3545</v>
      </c>
      <c r="F44" s="2268"/>
      <c r="G44" s="2268"/>
      <c r="H44" s="2268"/>
    </row>
    <row r="45" spans="1:11" ht="12.75" customHeight="1">
      <c r="D45" s="896" t="s">
        <v>3364</v>
      </c>
      <c r="E45" s="2268" t="s">
        <v>3546</v>
      </c>
      <c r="F45" s="2268"/>
      <c r="G45" s="2268"/>
      <c r="H45" s="2268"/>
    </row>
    <row r="46" spans="1:11" ht="9" customHeight="1"/>
    <row r="47" spans="1:11" ht="7.5" customHeight="1">
      <c r="E47" s="2268"/>
      <c r="F47" s="2268"/>
      <c r="G47" s="2268"/>
      <c r="H47" s="2268"/>
    </row>
    <row r="48" spans="1:11" ht="24.75" customHeight="1">
      <c r="A48" s="2284" t="s">
        <v>4294</v>
      </c>
      <c r="B48" s="2284"/>
      <c r="C48" s="2284"/>
      <c r="D48" s="2284"/>
      <c r="E48" s="2284"/>
      <c r="F48" s="2284"/>
      <c r="G48" s="2284"/>
      <c r="H48" s="2284"/>
    </row>
    <row r="49" spans="1:11" ht="9" customHeight="1"/>
    <row r="50" spans="1:11" ht="26.25" customHeight="1">
      <c r="A50" s="2285" t="s">
        <v>3547</v>
      </c>
      <c r="B50" s="2285"/>
      <c r="C50" s="2285"/>
      <c r="D50" s="2285"/>
      <c r="E50" s="2285"/>
      <c r="F50" s="2285"/>
      <c r="G50" s="2285"/>
      <c r="H50" s="2285"/>
    </row>
    <row r="51" spans="1:11" ht="9" customHeight="1">
      <c r="A51" s="831"/>
    </row>
    <row r="52" spans="1:11">
      <c r="A52" s="864" t="s">
        <v>3360</v>
      </c>
      <c r="B52" s="891"/>
      <c r="C52" s="864" t="s">
        <v>3361</v>
      </c>
      <c r="D52" s="892" t="s">
        <v>3548</v>
      </c>
    </row>
    <row r="53" spans="1:11" ht="4.5" customHeight="1"/>
    <row r="54" spans="1:11" ht="12.75" customHeight="1">
      <c r="C54" s="858" t="s">
        <v>3263</v>
      </c>
      <c r="D54" s="893" t="s">
        <v>2002</v>
      </c>
      <c r="E54" s="894"/>
      <c r="F54" s="2268" t="s">
        <v>3264</v>
      </c>
      <c r="G54" s="2268"/>
      <c r="H54" s="2268"/>
    </row>
    <row r="55" spans="1:11" ht="12.75" customHeight="1">
      <c r="C55" s="895" t="s">
        <v>1365</v>
      </c>
      <c r="D55" s="893" t="s">
        <v>2004</v>
      </c>
      <c r="E55" s="2268" t="s">
        <v>3554</v>
      </c>
      <c r="F55" s="2268"/>
      <c r="G55" s="2268"/>
      <c r="H55" s="2268"/>
    </row>
    <row r="56" spans="1:11" ht="3" customHeight="1">
      <c r="D56" s="893"/>
      <c r="E56" s="1471"/>
      <c r="F56" s="1471"/>
      <c r="G56" s="1471"/>
      <c r="H56" s="1471"/>
    </row>
    <row r="57" spans="1:11">
      <c r="A57" s="864" t="s">
        <v>3360</v>
      </c>
      <c r="B57" s="891"/>
      <c r="C57" s="864" t="s">
        <v>3362</v>
      </c>
      <c r="D57" s="892" t="s">
        <v>3552</v>
      </c>
    </row>
    <row r="58" spans="1:11" ht="4.5" customHeight="1"/>
    <row r="59" spans="1:11">
      <c r="C59" s="858" t="s">
        <v>3263</v>
      </c>
      <c r="D59" s="893" t="s">
        <v>2002</v>
      </c>
      <c r="E59" s="894"/>
      <c r="F59" s="2268" t="s">
        <v>3264</v>
      </c>
      <c r="G59" s="2268"/>
      <c r="H59" s="2268"/>
    </row>
    <row r="60" spans="1:11" ht="12.75" customHeight="1">
      <c r="C60" s="895" t="s">
        <v>1365</v>
      </c>
      <c r="D60" s="893" t="s">
        <v>2004</v>
      </c>
      <c r="E60" s="2268" t="s">
        <v>3554</v>
      </c>
      <c r="F60" s="2268"/>
      <c r="G60" s="2268"/>
      <c r="H60" s="2268"/>
    </row>
    <row r="61" spans="1:11" ht="3" customHeight="1">
      <c r="D61" s="893"/>
      <c r="E61" s="1471"/>
      <c r="F61" s="1471"/>
      <c r="G61" s="1471"/>
      <c r="H61" s="1471"/>
    </row>
    <row r="62" spans="1:11">
      <c r="A62" s="864" t="s">
        <v>3360</v>
      </c>
      <c r="B62" s="891"/>
      <c r="C62" s="864" t="s">
        <v>3363</v>
      </c>
      <c r="D62" s="892" t="s">
        <v>3553</v>
      </c>
    </row>
    <row r="63" spans="1:11" ht="4.5" customHeight="1"/>
    <row r="64" spans="1:11">
      <c r="C64" s="858" t="s">
        <v>3263</v>
      </c>
      <c r="D64" s="893" t="s">
        <v>2002</v>
      </c>
      <c r="E64" s="894"/>
      <c r="F64" s="2268" t="s">
        <v>3264</v>
      </c>
      <c r="G64" s="2268"/>
      <c r="H64" s="2268"/>
      <c r="K64" s="809" t="s">
        <v>245</v>
      </c>
    </row>
    <row r="65" spans="3:8" ht="12.75" customHeight="1">
      <c r="C65" s="895" t="s">
        <v>1365</v>
      </c>
      <c r="D65" s="893" t="s">
        <v>2004</v>
      </c>
      <c r="E65" s="2268" t="s">
        <v>3554</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4337</v>
      </c>
      <c r="C1" s="2305"/>
      <c r="D1" s="2305"/>
      <c r="E1" s="2305"/>
      <c r="F1" s="2305"/>
      <c r="G1" s="2305"/>
      <c r="H1" s="2305"/>
      <c r="I1" s="2305"/>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2306" t="s">
        <v>3265</v>
      </c>
      <c r="C4" s="2306"/>
      <c r="D4" s="2306"/>
      <c r="E4" s="2312" t="s">
        <v>3266</v>
      </c>
      <c r="F4" s="2314"/>
      <c r="G4" s="2312" t="s">
        <v>623</v>
      </c>
      <c r="H4" s="2313"/>
      <c r="I4" s="2314"/>
      <c r="J4" s="1485" t="s">
        <v>3110</v>
      </c>
      <c r="K4" s="1485"/>
      <c r="L4" s="1493"/>
      <c r="M4" s="1493"/>
    </row>
    <row r="5" spans="2:13">
      <c r="B5" s="2307" t="str">
        <f>'Closing term sheet'!C8</f>
        <v>Altoview Terrace, LP</v>
      </c>
      <c r="C5" s="2308"/>
      <c r="D5" s="2308"/>
      <c r="E5" s="2318"/>
      <c r="F5" s="2319"/>
      <c r="G5" s="2315" t="str">
        <f>'Closing term sheet'!C28</f>
        <v>Altoview Terrace</v>
      </c>
      <c r="H5" s="2316"/>
      <c r="I5" s="2317"/>
      <c r="K5" s="809"/>
    </row>
    <row r="6" spans="2:13" ht="4.5" customHeight="1">
      <c r="D6" s="1494"/>
      <c r="E6" s="1494"/>
      <c r="F6" s="1494"/>
      <c r="G6" s="1494"/>
      <c r="H6" s="1494"/>
      <c r="I6" s="1494"/>
      <c r="K6" s="809"/>
    </row>
    <row r="7" spans="2:13">
      <c r="B7" s="2309" t="s">
        <v>3267</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3268</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3269</v>
      </c>
      <c r="C12" s="1501"/>
      <c r="D12" s="1501"/>
      <c r="E12" s="1501"/>
      <c r="F12" s="1501"/>
      <c r="G12" s="1501"/>
      <c r="H12" s="1501"/>
      <c r="I12" s="1502" t="s">
        <v>3012</v>
      </c>
    </row>
    <row r="13" spans="2:13">
      <c r="B13" s="1503"/>
      <c r="C13" s="1504"/>
      <c r="D13" s="1495"/>
      <c r="E13" s="866" t="s">
        <v>3270</v>
      </c>
      <c r="F13" s="1495"/>
      <c r="G13" s="1495"/>
      <c r="H13" s="1495"/>
      <c r="I13" s="1505"/>
    </row>
    <row r="14" spans="2:13" ht="7.5" customHeight="1">
      <c r="B14" s="1506"/>
      <c r="C14" s="1495"/>
      <c r="D14" s="1495"/>
      <c r="E14" s="1495"/>
      <c r="F14" s="1499"/>
      <c r="G14" s="1495"/>
      <c r="H14" s="1495"/>
      <c r="I14" s="1505"/>
    </row>
    <row r="15" spans="2:13">
      <c r="B15" s="1506" t="s">
        <v>3367</v>
      </c>
      <c r="C15" s="1495"/>
      <c r="D15" s="1495"/>
      <c r="E15" s="1495"/>
      <c r="F15" s="886"/>
      <c r="G15" s="1495"/>
      <c r="H15" s="1495"/>
      <c r="I15" s="1507"/>
    </row>
    <row r="16" spans="2:13">
      <c r="B16" s="1508" t="s">
        <v>4328</v>
      </c>
      <c r="C16" s="1495"/>
      <c r="D16" s="1495"/>
      <c r="E16" s="1509" t="s">
        <v>3462</v>
      </c>
      <c r="F16" s="1495"/>
      <c r="G16" s="1495"/>
      <c r="H16" s="1495"/>
      <c r="I16" s="1507"/>
    </row>
    <row r="17" spans="2:9" ht="7.5" customHeight="1">
      <c r="B17" s="1503"/>
      <c r="C17" s="1495"/>
      <c r="D17" s="1495"/>
      <c r="E17" s="1495"/>
      <c r="F17" s="1495"/>
      <c r="G17" s="1495"/>
      <c r="H17" s="1495"/>
      <c r="I17" s="1505"/>
    </row>
    <row r="18" spans="2:9">
      <c r="B18" s="1506" t="s">
        <v>3271</v>
      </c>
      <c r="C18" s="1495"/>
      <c r="D18" s="1495"/>
      <c r="E18" s="1495"/>
      <c r="F18" s="1495"/>
      <c r="G18" s="1495"/>
      <c r="H18" s="1495"/>
      <c r="I18" s="1510" t="s">
        <v>3012</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3272</v>
      </c>
      <c r="C27" s="1495"/>
      <c r="D27" s="1518">
        <v>2</v>
      </c>
      <c r="F27" s="1495"/>
      <c r="G27" s="886" t="s">
        <v>3273</v>
      </c>
      <c r="H27" s="1495"/>
      <c r="I27" s="1519">
        <v>2</v>
      </c>
    </row>
    <row r="28" spans="2:9">
      <c r="B28" s="1503"/>
      <c r="C28" s="1509" t="s">
        <v>3274</v>
      </c>
      <c r="D28" s="1520"/>
      <c r="E28" s="1520"/>
      <c r="F28" s="1520"/>
      <c r="H28" s="1520" t="s">
        <v>3275</v>
      </c>
      <c r="I28" s="1505"/>
    </row>
    <row r="29" spans="2:9">
      <c r="B29" s="1503"/>
      <c r="C29" s="1509" t="s">
        <v>3276</v>
      </c>
      <c r="D29" s="1520"/>
      <c r="E29" s="1520"/>
      <c r="F29" s="1520"/>
      <c r="H29" s="1520" t="s">
        <v>3277</v>
      </c>
      <c r="I29" s="1505"/>
    </row>
    <row r="30" spans="2:9">
      <c r="B30" s="1503"/>
      <c r="C30" s="1509" t="s">
        <v>3278</v>
      </c>
      <c r="D30" s="1520"/>
      <c r="E30" s="1520"/>
      <c r="F30" s="1520"/>
      <c r="H30" s="1520" t="s">
        <v>3279</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2290" t="s">
        <v>4345</v>
      </c>
      <c r="I35" s="2291"/>
    </row>
    <row r="36" spans="2:9">
      <c r="B36" s="1522" t="s">
        <v>4344</v>
      </c>
      <c r="C36" s="1520"/>
      <c r="D36" s="1520"/>
      <c r="E36" s="1495"/>
      <c r="F36" s="1523"/>
      <c r="G36" s="1524"/>
      <c r="H36" s="2290"/>
      <c r="I36" s="2291"/>
    </row>
    <row r="37" spans="2:9">
      <c r="B37" s="1522" t="s">
        <v>4342</v>
      </c>
      <c r="D37" s="1520"/>
      <c r="E37" s="1495"/>
      <c r="F37" s="1525"/>
      <c r="G37" s="1524"/>
      <c r="H37" s="2290"/>
      <c r="I37" s="2291"/>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3280</v>
      </c>
      <c r="C48" s="1520"/>
      <c r="D48" s="1520" t="s">
        <v>3281</v>
      </c>
      <c r="E48" s="1495"/>
      <c r="F48" s="2299" t="str">
        <f>'Closing term sheet'!$C$30</f>
        <v>Near East 14th St and Maple St</v>
      </c>
      <c r="G48" s="2300"/>
      <c r="H48" s="2300"/>
      <c r="I48" s="2301"/>
    </row>
    <row r="49" spans="2:9">
      <c r="B49" s="1511" t="s">
        <v>3282</v>
      </c>
      <c r="D49" s="1520" t="s">
        <v>3283</v>
      </c>
      <c r="E49" s="1495"/>
      <c r="F49" s="2302"/>
      <c r="G49" s="2303"/>
      <c r="H49" s="2303"/>
      <c r="I49" s="2304"/>
    </row>
    <row r="50" spans="2:9">
      <c r="B50" s="1511" t="s">
        <v>3284</v>
      </c>
      <c r="D50" s="1495"/>
      <c r="E50" s="1495"/>
      <c r="F50" s="1535"/>
      <c r="G50" s="1536"/>
      <c r="H50" s="1536"/>
      <c r="I50" s="1537"/>
    </row>
    <row r="51" spans="2:9" ht="7.5" customHeight="1">
      <c r="B51" s="1503"/>
      <c r="C51" s="1495"/>
      <c r="D51" s="1495"/>
      <c r="E51" s="1495"/>
      <c r="F51" s="1495"/>
      <c r="G51" s="1495"/>
      <c r="H51" s="1495"/>
      <c r="I51" s="1505"/>
    </row>
    <row r="52" spans="2:9">
      <c r="B52" s="1538" t="s">
        <v>4347</v>
      </c>
      <c r="C52" s="2322" t="str">
        <f>'Part I-Project Information'!F38</f>
        <v>Rome</v>
      </c>
      <c r="D52" s="2323"/>
      <c r="E52" s="1539" t="s">
        <v>4348</v>
      </c>
      <c r="F52" s="1497" t="s">
        <v>856</v>
      </c>
      <c r="G52" s="1539" t="s">
        <v>4349</v>
      </c>
      <c r="H52" s="1540">
        <f>'Part I-Project Information'!J38</f>
        <v>301610000</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66</v>
      </c>
      <c r="E55" s="1543"/>
      <c r="F55" s="866" t="s">
        <v>3285</v>
      </c>
      <c r="G55" s="1495"/>
      <c r="H55" s="1495"/>
      <c r="I55" s="1505"/>
    </row>
    <row r="56" spans="2:9">
      <c r="B56" s="1531" t="s">
        <v>4515</v>
      </c>
      <c r="D56" s="1544">
        <f>'Closing term sheet'!$D$62</f>
        <v>9130000</v>
      </c>
      <c r="E56" s="1545"/>
      <c r="F56" s="866" t="s">
        <v>3286</v>
      </c>
      <c r="G56" s="1495"/>
      <c r="H56" s="1495"/>
      <c r="I56" s="1505"/>
    </row>
    <row r="57" spans="2:9">
      <c r="B57" s="1522" t="s">
        <v>4514</v>
      </c>
      <c r="D57" s="1546"/>
      <c r="F57" s="866" t="s">
        <v>3287</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3288</v>
      </c>
      <c r="C61" s="2328"/>
      <c r="D61" s="2328"/>
      <c r="E61" s="2328"/>
      <c r="F61" s="2328"/>
      <c r="G61" s="2328"/>
      <c r="H61" s="2328"/>
      <c r="I61" s="2329"/>
    </row>
    <row r="62" spans="2:9" ht="7.5" customHeight="1">
      <c r="B62" s="2324"/>
      <c r="C62" s="2325"/>
      <c r="D62" s="2325"/>
      <c r="E62" s="1495"/>
      <c r="F62" s="1495"/>
      <c r="G62" s="1547"/>
      <c r="H62" s="1495"/>
      <c r="I62" s="1505"/>
    </row>
    <row r="63" spans="2:9">
      <c r="B63" s="1548" t="s">
        <v>3290</v>
      </c>
      <c r="C63" s="1495"/>
      <c r="D63" s="1542">
        <v>4</v>
      </c>
      <c r="F63" s="1495"/>
      <c r="G63" s="2309" t="s">
        <v>3289</v>
      </c>
      <c r="H63" s="2309"/>
      <c r="I63" s="2326"/>
    </row>
    <row r="64" spans="2:9">
      <c r="B64" s="1503"/>
      <c r="C64" s="1520" t="s">
        <v>3293</v>
      </c>
      <c r="D64" s="1520" t="s">
        <v>3294</v>
      </c>
      <c r="F64" s="1495"/>
      <c r="G64" s="878" t="s">
        <v>3291</v>
      </c>
      <c r="H64" s="1495"/>
      <c r="I64" s="1549">
        <f>'Closing term sheet'!$D$35</f>
        <v>66</v>
      </c>
    </row>
    <row r="65" spans="2:9">
      <c r="B65" s="1503"/>
      <c r="C65" s="1520" t="s">
        <v>3295</v>
      </c>
      <c r="D65" s="1520" t="s">
        <v>3296</v>
      </c>
      <c r="F65" s="1495"/>
      <c r="G65" s="1550" t="s">
        <v>3292</v>
      </c>
      <c r="H65" s="1495"/>
      <c r="I65" s="1549">
        <f>C42</f>
        <v>0</v>
      </c>
    </row>
    <row r="66" spans="2:9">
      <c r="B66" s="1511"/>
      <c r="C66" s="1520" t="s">
        <v>3297</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3298</v>
      </c>
      <c r="C70" s="1495"/>
      <c r="D70" s="1495"/>
      <c r="E70" s="1495"/>
      <c r="F70" s="1495"/>
      <c r="G70" s="1495"/>
      <c r="H70" s="1495"/>
      <c r="I70" s="1505"/>
    </row>
    <row r="71" spans="2:9" ht="7.5" customHeight="1">
      <c r="B71" s="1503"/>
      <c r="C71" s="1495"/>
      <c r="D71" s="1495"/>
      <c r="E71" s="1495"/>
      <c r="F71" s="1495"/>
      <c r="G71" s="1495"/>
      <c r="H71" s="1495"/>
      <c r="I71" s="1505"/>
    </row>
    <row r="72" spans="2:9">
      <c r="B72" s="1506" t="s">
        <v>3299</v>
      </c>
      <c r="D72" s="1495"/>
      <c r="E72" s="1495"/>
      <c r="F72" s="1495"/>
      <c r="G72" s="1495"/>
      <c r="H72" s="1495"/>
      <c r="I72" s="1533"/>
    </row>
    <row r="73" spans="2:9" ht="7.5" customHeight="1">
      <c r="B73" s="1503"/>
      <c r="C73" s="1495"/>
      <c r="D73" s="1495"/>
      <c r="E73" s="1495"/>
      <c r="F73" s="1495"/>
      <c r="G73" s="1495"/>
      <c r="H73" s="1495"/>
      <c r="I73" s="1505"/>
    </row>
    <row r="74" spans="2:9">
      <c r="B74" s="1503" t="s">
        <v>3300</v>
      </c>
      <c r="D74" s="1495"/>
      <c r="E74" s="1495"/>
      <c r="F74" s="1495" t="s">
        <v>3368</v>
      </c>
      <c r="G74" s="1495"/>
      <c r="H74" s="1495"/>
      <c r="I74" s="1552"/>
    </row>
    <row r="75" spans="2:9">
      <c r="B75" s="1503"/>
      <c r="E75" s="1495"/>
      <c r="F75" s="1495" t="s">
        <v>3369</v>
      </c>
      <c r="G75" s="1495"/>
      <c r="H75" s="1495"/>
      <c r="I75" s="1552"/>
    </row>
    <row r="76" spans="2:9">
      <c r="B76" s="1503"/>
      <c r="E76" s="1495"/>
      <c r="F76" s="1495" t="s">
        <v>3370</v>
      </c>
      <c r="G76" s="1495"/>
      <c r="H76" s="1495"/>
      <c r="I76" s="1552"/>
    </row>
    <row r="77" spans="2:9">
      <c r="B77" s="1503"/>
      <c r="E77" s="1495"/>
      <c r="F77" s="886" t="s">
        <v>3371</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3301</v>
      </c>
      <c r="C81" s="2328"/>
      <c r="D81" s="2328"/>
      <c r="E81" s="2328"/>
      <c r="F81" s="2328"/>
      <c r="G81" s="2328"/>
      <c r="H81" s="2328"/>
      <c r="I81" s="2329"/>
    </row>
    <row r="82" spans="2:9">
      <c r="B82" s="1503"/>
      <c r="C82" s="1495"/>
      <c r="D82" s="1495"/>
      <c r="E82" s="1495"/>
      <c r="F82" s="1495"/>
      <c r="G82" s="1495"/>
      <c r="H82" s="1495"/>
      <c r="I82" s="1505"/>
    </row>
    <row r="83" spans="2:9">
      <c r="B83" s="1506" t="s">
        <v>3302</v>
      </c>
      <c r="C83" s="1495"/>
      <c r="D83" s="1495"/>
      <c r="E83" s="1495"/>
      <c r="F83" s="1495"/>
      <c r="G83" s="1495"/>
      <c r="H83" s="1495"/>
      <c r="I83" s="1505"/>
    </row>
    <row r="84" spans="2:9">
      <c r="B84" s="1503"/>
      <c r="C84" s="886" t="s">
        <v>3303</v>
      </c>
      <c r="D84" s="1495"/>
      <c r="E84" s="1495"/>
      <c r="F84" s="2295">
        <f>'Closing term sheet'!D62</f>
        <v>9130000</v>
      </c>
      <c r="G84" s="2295"/>
      <c r="H84" s="1495"/>
      <c r="I84" s="1505"/>
    </row>
    <row r="85" spans="2:9">
      <c r="B85" s="1503"/>
      <c r="C85" s="886" t="s">
        <v>3304</v>
      </c>
      <c r="D85" s="1495"/>
      <c r="E85" s="1495"/>
      <c r="F85" s="2321" t="e">
        <f>'Part III-Sources of Funds'!I44+'Part III-Sources of Funds'!I45</f>
        <v>#N/A</v>
      </c>
      <c r="G85" s="2321"/>
      <c r="H85" s="1495"/>
      <c r="I85" s="1505"/>
    </row>
    <row r="86" spans="2:9">
      <c r="B86" s="1503"/>
      <c r="C86" s="886" t="s">
        <v>3305</v>
      </c>
      <c r="D86" s="1495"/>
      <c r="E86" s="1495"/>
      <c r="F86" s="2320"/>
      <c r="G86" s="2320"/>
      <c r="H86" s="1495"/>
      <c r="I86" s="1505"/>
    </row>
    <row r="87" spans="2:9">
      <c r="B87" s="1503"/>
      <c r="C87" s="1520" t="s">
        <v>3306</v>
      </c>
      <c r="D87" s="1495"/>
      <c r="E87" s="1495"/>
      <c r="F87" s="2321">
        <v>11000</v>
      </c>
      <c r="G87" s="2321"/>
      <c r="H87" s="1495"/>
      <c r="I87" s="1505"/>
    </row>
    <row r="88" spans="2:9">
      <c r="B88" s="1503"/>
      <c r="C88" s="886" t="s">
        <v>3307</v>
      </c>
      <c r="D88" s="1495"/>
      <c r="E88" s="1495"/>
      <c r="F88" s="2298"/>
      <c r="G88" s="2298"/>
      <c r="H88" s="1495"/>
      <c r="I88" s="1505"/>
    </row>
    <row r="89" spans="2:9">
      <c r="B89" s="1503"/>
      <c r="C89" s="866" t="s">
        <v>3308</v>
      </c>
      <c r="D89" s="1495"/>
      <c r="E89" s="1495"/>
      <c r="F89" s="2293" t="e">
        <f>SUM(F84:G88)</f>
        <v>#N/A</v>
      </c>
      <c r="G89" s="2293"/>
      <c r="H89" s="1495"/>
      <c r="I89" s="1505"/>
    </row>
    <row r="90" spans="2:9">
      <c r="B90" s="1503"/>
      <c r="C90" s="1495"/>
      <c r="D90" s="1495"/>
      <c r="E90" s="1495"/>
      <c r="F90" s="2294"/>
      <c r="G90" s="2294"/>
      <c r="H90" s="1495"/>
      <c r="I90" s="1505"/>
    </row>
    <row r="91" spans="2:9">
      <c r="B91" s="1506" t="s">
        <v>3309</v>
      </c>
      <c r="C91" s="1495"/>
      <c r="D91" s="1495"/>
      <c r="E91" s="1495"/>
      <c r="F91" s="1495"/>
      <c r="G91" s="1495"/>
      <c r="H91" s="1495"/>
      <c r="I91" s="1505"/>
    </row>
    <row r="92" spans="2:9">
      <c r="B92" s="1503"/>
      <c r="C92" s="886" t="s">
        <v>3310</v>
      </c>
      <c r="D92" s="1495"/>
      <c r="E92" s="1495"/>
      <c r="F92" s="2295"/>
      <c r="G92" s="2295"/>
      <c r="H92" s="1495"/>
      <c r="I92" s="1505"/>
    </row>
    <row r="93" spans="2:9">
      <c r="B93" s="1503"/>
      <c r="C93" s="886" t="s">
        <v>3311</v>
      </c>
      <c r="D93" s="1495"/>
      <c r="E93" s="1495"/>
      <c r="F93" s="2296"/>
      <c r="G93" s="2296"/>
      <c r="H93" s="1495"/>
      <c r="I93" s="1505"/>
    </row>
    <row r="94" spans="2:9">
      <c r="B94" s="1503"/>
      <c r="C94" s="886" t="s">
        <v>3312</v>
      </c>
      <c r="D94" s="1495"/>
      <c r="E94" s="1495"/>
      <c r="F94" s="2297" t="s">
        <v>3186</v>
      </c>
      <c r="G94" s="2292"/>
      <c r="H94" s="1495"/>
      <c r="I94" s="1505"/>
    </row>
    <row r="95" spans="2:9">
      <c r="B95" s="1503"/>
      <c r="C95" s="866" t="s">
        <v>3313</v>
      </c>
      <c r="D95" s="1495"/>
      <c r="E95" s="1495"/>
      <c r="F95" s="2293">
        <f>+SUM(F92:G94)</f>
        <v>0</v>
      </c>
      <c r="G95" s="2293"/>
      <c r="H95" s="1495"/>
      <c r="I95" s="1505"/>
    </row>
    <row r="96" spans="2:9">
      <c r="B96" s="1503"/>
      <c r="C96" s="1495"/>
      <c r="D96" s="1495"/>
      <c r="E96" s="1495"/>
      <c r="F96" s="1495"/>
      <c r="G96" s="1495"/>
      <c r="H96" s="1495"/>
      <c r="I96" s="1505"/>
    </row>
    <row r="97" spans="2:9">
      <c r="B97" s="1506" t="s">
        <v>3314</v>
      </c>
      <c r="C97" s="1495"/>
      <c r="D97" s="1495"/>
      <c r="E97" s="1495"/>
      <c r="F97" s="1495"/>
      <c r="G97" s="1495"/>
      <c r="H97" s="1495"/>
      <c r="I97" s="1505"/>
    </row>
    <row r="98" spans="2:9">
      <c r="B98" s="1503"/>
      <c r="C98" s="886" t="s">
        <v>3315</v>
      </c>
      <c r="D98" s="1495"/>
      <c r="E98" s="1495"/>
      <c r="F98" s="2295"/>
      <c r="G98" s="2295"/>
      <c r="H98" s="1495"/>
      <c r="I98" s="1505"/>
    </row>
    <row r="99" spans="2:9">
      <c r="B99" s="1503"/>
      <c r="C99" s="886" t="s">
        <v>3316</v>
      </c>
      <c r="D99" s="1495"/>
      <c r="E99" s="1495"/>
      <c r="F99" s="2296"/>
      <c r="G99" s="2296"/>
      <c r="H99" s="1495"/>
      <c r="I99" s="1505"/>
    </row>
    <row r="100" spans="2:9">
      <c r="B100" s="1503"/>
      <c r="C100" s="886" t="s">
        <v>3317</v>
      </c>
      <c r="D100" s="1495"/>
      <c r="E100" s="1495"/>
      <c r="F100" s="2298"/>
      <c r="G100" s="2298"/>
      <c r="H100" s="1495"/>
      <c r="I100" s="1505"/>
    </row>
    <row r="101" spans="2:9">
      <c r="B101" s="1503"/>
      <c r="C101" s="866" t="s">
        <v>3318</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3319</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3320</v>
      </c>
    </row>
    <row r="105" spans="2:9">
      <c r="B105" s="1506" t="s">
        <v>3321</v>
      </c>
      <c r="C105" s="1495"/>
      <c r="D105" s="1495"/>
      <c r="E105" s="1495"/>
      <c r="F105" s="2292" t="e">
        <f>+F103+F101+F95+F89</f>
        <v>#N/A</v>
      </c>
      <c r="G105" s="2292"/>
      <c r="H105" s="1495"/>
      <c r="I105" s="1505"/>
    </row>
    <row r="106" spans="2:9">
      <c r="B106" s="1513"/>
      <c r="C106" s="1514"/>
      <c r="D106" s="1514"/>
      <c r="E106" s="1514"/>
      <c r="F106" s="1514"/>
      <c r="G106" s="1514"/>
      <c r="H106" s="1514"/>
      <c r="I106" s="1515"/>
    </row>
    <row r="108" spans="2:9">
      <c r="C108" s="1554" t="s">
        <v>3009</v>
      </c>
    </row>
    <row r="109" spans="2:9">
      <c r="C109" s="1554"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2"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2767</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4126</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3700</v>
      </c>
      <c r="C13" s="2913"/>
      <c r="D13" s="2913"/>
      <c r="E13" s="2913"/>
      <c r="F13" s="2913"/>
      <c r="G13" s="2913"/>
      <c r="H13" s="2913"/>
      <c r="I13" s="2913"/>
      <c r="J13" s="2913"/>
      <c r="K13" s="2913"/>
      <c r="L13" s="2913"/>
      <c r="M13" s="2913"/>
    </row>
    <row r="14" spans="1:26" ht="47.25" customHeight="1">
      <c r="A14" s="2912" t="s">
        <v>1751</v>
      </c>
      <c r="B14" s="2913" t="s">
        <v>3701</v>
      </c>
      <c r="C14" s="2913"/>
      <c r="D14" s="2913"/>
      <c r="E14" s="2913"/>
      <c r="F14" s="2913"/>
      <c r="G14" s="2913"/>
      <c r="H14" s="2913"/>
      <c r="I14" s="2913"/>
      <c r="J14" s="2913"/>
      <c r="K14" s="2913"/>
      <c r="L14" s="2913"/>
      <c r="M14" s="2913"/>
    </row>
    <row r="15" spans="1:26" ht="117" customHeight="1">
      <c r="A15" s="2912" t="s">
        <v>1752</v>
      </c>
      <c r="B15" s="2913" t="s">
        <v>3702</v>
      </c>
      <c r="C15" s="2913"/>
      <c r="D15" s="2913"/>
      <c r="E15" s="2913"/>
      <c r="F15" s="2913"/>
      <c r="G15" s="2913"/>
      <c r="H15" s="2913"/>
      <c r="I15" s="2913"/>
      <c r="J15" s="2913"/>
      <c r="K15" s="2913"/>
      <c r="L15" s="2913"/>
      <c r="M15" s="2913"/>
    </row>
    <row r="16" spans="1:26" ht="147" customHeight="1">
      <c r="A16" s="2912" t="s">
        <v>2381</v>
      </c>
      <c r="B16" s="2913" t="s">
        <v>3478</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3477</v>
      </c>
      <c r="C18" s="2913"/>
      <c r="D18" s="2913"/>
      <c r="E18" s="2913"/>
      <c r="F18" s="2913"/>
      <c r="G18" s="2913"/>
      <c r="H18" s="2913"/>
      <c r="I18" s="2913"/>
      <c r="J18" s="2913"/>
      <c r="K18" s="2913"/>
      <c r="L18" s="2913"/>
      <c r="M18" s="2913"/>
    </row>
    <row r="19" spans="1:13" ht="48.75" customHeight="1">
      <c r="A19" s="2912" t="s">
        <v>99</v>
      </c>
      <c r="B19" s="2914" t="s">
        <v>3703</v>
      </c>
      <c r="C19" s="2914"/>
      <c r="D19" s="2914"/>
      <c r="E19" s="2914"/>
      <c r="F19" s="2914"/>
      <c r="G19" s="2914"/>
      <c r="H19" s="2914"/>
      <c r="I19" s="2914"/>
      <c r="J19" s="2914"/>
      <c r="K19" s="2914"/>
      <c r="L19" s="2914"/>
      <c r="M19" s="2914"/>
    </row>
    <row r="20" spans="1:13" ht="50.25" customHeight="1">
      <c r="A20" s="2912" t="s">
        <v>516</v>
      </c>
      <c r="B20" s="2913" t="s">
        <v>3480</v>
      </c>
      <c r="C20" s="2913"/>
      <c r="D20" s="2913"/>
      <c r="E20" s="2913"/>
      <c r="F20" s="2913"/>
      <c r="G20" s="2913"/>
      <c r="H20" s="2913"/>
      <c r="I20" s="2913"/>
      <c r="J20" s="2913"/>
      <c r="K20" s="2913"/>
      <c r="L20" s="2913"/>
      <c r="M20" s="2913"/>
    </row>
    <row r="21" spans="1:13" ht="31.5" customHeight="1">
      <c r="A21" s="2912" t="s">
        <v>517</v>
      </c>
      <c r="B21" s="2913" t="s">
        <v>3508</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3509</v>
      </c>
      <c r="C25" s="2913"/>
      <c r="D25" s="2913"/>
      <c r="E25" s="2913"/>
      <c r="F25" s="2913"/>
      <c r="G25" s="2913"/>
      <c r="H25" s="2913"/>
      <c r="I25" s="2913"/>
      <c r="J25" s="2913"/>
      <c r="K25" s="2913"/>
      <c r="L25" s="2913"/>
      <c r="M25" s="2913"/>
    </row>
    <row r="26" spans="1:13" ht="31.5" customHeight="1">
      <c r="A26" s="2912" t="s">
        <v>1478</v>
      </c>
      <c r="B26" s="2913" t="s">
        <v>3510</v>
      </c>
      <c r="C26" s="2913"/>
      <c r="D26" s="2913"/>
      <c r="E26" s="2913"/>
      <c r="F26" s="2913"/>
      <c r="G26" s="2913"/>
      <c r="H26" s="2913"/>
      <c r="I26" s="2913"/>
      <c r="J26" s="2913"/>
      <c r="K26" s="2913"/>
      <c r="L26" s="2913"/>
      <c r="M26" s="2913"/>
    </row>
    <row r="27" spans="1:13" ht="78.75" customHeight="1">
      <c r="A27" s="2912" t="s">
        <v>1478</v>
      </c>
      <c r="B27" s="2913" t="s">
        <v>2768</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2769</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XB6pK3Zb9caCN+2QGqeyUbphyerAyxUpmVvj1qRoHKyL3wr8ljznVOcHfN20HodMV1p+937vtO40TYQ97vMRjg==" saltValue="r3tSkLMGE+ctOPKhCE6T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landscape"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zoomScalePageLayoutView="155" workbookViewId="0">
      <selection activeCell="A2"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42578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3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3499999999999996"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3063</v>
      </c>
      <c r="R4" s="178" t="s">
        <v>1743</v>
      </c>
      <c r="S4" s="175"/>
      <c r="T4" s="175"/>
      <c r="U4" s="175"/>
      <c r="W4" s="284"/>
      <c r="X4" s="284"/>
      <c r="Y4" s="284"/>
      <c r="Z4" s="284"/>
      <c r="AA4" s="536"/>
      <c r="AB4" s="536"/>
    </row>
    <row r="5" spans="1:28" s="280" customFormat="1" ht="4.3499999999999996"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2802</v>
      </c>
      <c r="M6" s="177"/>
      <c r="N6" s="177"/>
      <c r="O6" s="177"/>
      <c r="P6" s="175"/>
      <c r="Q6" s="1617" t="s">
        <v>1746</v>
      </c>
      <c r="R6" s="1617">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7" t="s">
        <v>1746</v>
      </c>
      <c r="R7" s="682">
        <v>850000</v>
      </c>
      <c r="S7" s="175"/>
      <c r="U7" s="175"/>
      <c r="V7" s="1001"/>
      <c r="W7" s="1001"/>
      <c r="X7" s="178"/>
      <c r="AA7" s="536"/>
      <c r="AB7" s="536"/>
    </row>
    <row r="8" spans="1:28" s="280" customFormat="1" ht="11.45" customHeight="1">
      <c r="F8" s="177"/>
      <c r="G8" s="177"/>
      <c r="H8" s="175"/>
      <c r="I8" s="175"/>
      <c r="J8" s="177"/>
      <c r="L8" s="177" t="s">
        <v>2863</v>
      </c>
      <c r="M8" s="177"/>
      <c r="N8" s="177"/>
      <c r="O8" s="177"/>
      <c r="P8" s="175"/>
      <c r="Q8" s="1617" t="s">
        <v>1746</v>
      </c>
      <c r="R8" s="1617">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7" t="s">
        <v>1746</v>
      </c>
      <c r="R9" s="1617">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7">
        <v>1000000</v>
      </c>
      <c r="R10" s="1617">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7" t="s">
        <v>1746</v>
      </c>
      <c r="R11" s="1618">
        <v>0.25</v>
      </c>
      <c r="S11" s="175"/>
      <c r="T11" s="175"/>
      <c r="U11" s="175"/>
      <c r="V11" s="1001"/>
      <c r="W11" s="1001"/>
      <c r="X11" s="178"/>
      <c r="AA11" s="536"/>
      <c r="AB11" s="536"/>
    </row>
    <row r="12" spans="1:28" s="280" customFormat="1" ht="11.45" customHeight="1">
      <c r="A12" s="177"/>
      <c r="B12" s="177"/>
      <c r="C12" s="177"/>
      <c r="D12" s="175"/>
      <c r="E12" s="175"/>
      <c r="F12" s="177" t="s">
        <v>3651</v>
      </c>
      <c r="G12" s="177"/>
      <c r="H12" s="175"/>
      <c r="I12" s="175"/>
      <c r="J12" s="596" t="s">
        <v>3652</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3379</v>
      </c>
      <c r="G14" s="2343"/>
      <c r="H14" s="2343"/>
      <c r="I14" s="2343"/>
      <c r="J14" s="2344"/>
      <c r="K14" s="290"/>
      <c r="L14" s="597" t="s">
        <v>3602</v>
      </c>
      <c r="M14" s="290"/>
      <c r="N14" s="2342" t="s">
        <v>3379</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16">
        <v>2</v>
      </c>
      <c r="I15" s="1616">
        <v>3</v>
      </c>
      <c r="J15" s="601" t="s">
        <v>3376</v>
      </c>
      <c r="L15" s="598" t="s">
        <v>2630</v>
      </c>
      <c r="M15" s="598" t="s">
        <v>1308</v>
      </c>
      <c r="N15" s="599">
        <v>0</v>
      </c>
      <c r="O15" s="600">
        <v>1</v>
      </c>
      <c r="P15" s="1616">
        <v>2</v>
      </c>
      <c r="Q15" s="1616">
        <v>3</v>
      </c>
      <c r="R15" s="601" t="s">
        <v>3376</v>
      </c>
      <c r="S15" s="301"/>
      <c r="T15" s="175"/>
      <c r="U15" s="175"/>
      <c r="V15" s="1056"/>
      <c r="W15" s="1056"/>
      <c r="X15" s="1056"/>
      <c r="AA15" s="536"/>
      <c r="AB15" s="536"/>
    </row>
    <row r="16" spans="1:28" s="280" customFormat="1" ht="11.45" customHeight="1">
      <c r="A16" s="177"/>
      <c r="C16" s="324"/>
      <c r="D16" s="1077" t="s">
        <v>1795</v>
      </c>
      <c r="E16" s="1077" t="s">
        <v>3378</v>
      </c>
      <c r="F16" s="1078">
        <v>129802</v>
      </c>
      <c r="G16" s="1078">
        <v>169579</v>
      </c>
      <c r="H16" s="1078">
        <v>205492</v>
      </c>
      <c r="I16" s="1078">
        <v>250678</v>
      </c>
      <c r="J16" s="1078">
        <v>294766</v>
      </c>
      <c r="L16" s="301" t="s">
        <v>1795</v>
      </c>
      <c r="M16" s="301" t="s">
        <v>3378</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3375</v>
      </c>
      <c r="F17" s="1078">
        <v>105598</v>
      </c>
      <c r="G17" s="1078">
        <v>147837</v>
      </c>
      <c r="H17" s="1078">
        <v>190077</v>
      </c>
      <c r="I17" s="1078">
        <v>253436</v>
      </c>
      <c r="J17" s="1078">
        <v>316794</v>
      </c>
      <c r="L17" s="301" t="s">
        <v>1795</v>
      </c>
      <c r="M17" s="301" t="s">
        <v>3375</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3373</v>
      </c>
      <c r="F18" s="1078">
        <v>119585</v>
      </c>
      <c r="G18" s="1078">
        <v>156306</v>
      </c>
      <c r="H18" s="1078">
        <v>189734</v>
      </c>
      <c r="I18" s="1078">
        <v>232306</v>
      </c>
      <c r="J18" s="1078">
        <v>275312</v>
      </c>
      <c r="L18" s="301" t="s">
        <v>1795</v>
      </c>
      <c r="M18" s="301" t="s">
        <v>3373</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3374</v>
      </c>
      <c r="F19" s="1078">
        <v>104164</v>
      </c>
      <c r="G19" s="1078">
        <v>144030</v>
      </c>
      <c r="H19" s="1078">
        <v>182870</v>
      </c>
      <c r="I19" s="1078">
        <v>239197</v>
      </c>
      <c r="J19" s="1078">
        <v>298135</v>
      </c>
      <c r="L19" s="301" t="s">
        <v>1795</v>
      </c>
      <c r="M19" s="301" t="s">
        <v>3374</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3378</v>
      </c>
      <c r="F20" s="1069">
        <v>128651</v>
      </c>
      <c r="G20" s="1069">
        <v>168262</v>
      </c>
      <c r="H20" s="1069">
        <v>204067</v>
      </c>
      <c r="I20" s="1069">
        <v>249250</v>
      </c>
      <c r="J20" s="1069">
        <v>293196</v>
      </c>
      <c r="L20" s="301" t="s">
        <v>167</v>
      </c>
      <c r="M20" s="301" t="s">
        <v>3378</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3375</v>
      </c>
      <c r="F21" s="1069">
        <v>104877</v>
      </c>
      <c r="G21" s="1069">
        <v>146828</v>
      </c>
      <c r="H21" s="1069">
        <v>188779</v>
      </c>
      <c r="I21" s="1069">
        <v>251705</v>
      </c>
      <c r="J21" s="1069">
        <v>314631</v>
      </c>
      <c r="L21" s="301" t="s">
        <v>167</v>
      </c>
      <c r="M21" s="301" t="s">
        <v>3375</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3373</v>
      </c>
      <c r="F22" s="1069">
        <v>118188</v>
      </c>
      <c r="G22" s="1069">
        <v>154670</v>
      </c>
      <c r="H22" s="1069">
        <v>187930</v>
      </c>
      <c r="I22" s="1069">
        <v>230437</v>
      </c>
      <c r="J22" s="1069">
        <v>273273</v>
      </c>
      <c r="L22" s="301" t="s">
        <v>167</v>
      </c>
      <c r="M22" s="301" t="s">
        <v>3373</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3374</v>
      </c>
      <c r="F23" s="1069">
        <v>102579</v>
      </c>
      <c r="G23" s="1069">
        <v>141768</v>
      </c>
      <c r="H23" s="1069">
        <v>179905</v>
      </c>
      <c r="I23" s="1069">
        <v>235133</v>
      </c>
      <c r="J23" s="1069">
        <v>293035</v>
      </c>
      <c r="L23" s="301" t="s">
        <v>167</v>
      </c>
      <c r="M23" s="301" t="s">
        <v>3374</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3378</v>
      </c>
      <c r="F24" s="1067">
        <v>140378</v>
      </c>
      <c r="G24" s="1067">
        <v>183548</v>
      </c>
      <c r="H24" s="1067">
        <v>222560</v>
      </c>
      <c r="I24" s="1067">
        <v>271753</v>
      </c>
      <c r="J24" s="1067">
        <v>319636</v>
      </c>
      <c r="L24" s="596" t="s">
        <v>1217</v>
      </c>
      <c r="M24" s="596" t="s">
        <v>3378</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3375</v>
      </c>
      <c r="F25" s="1067">
        <v>114378</v>
      </c>
      <c r="G25" s="1067">
        <v>160129</v>
      </c>
      <c r="H25" s="1067">
        <v>205881</v>
      </c>
      <c r="I25" s="1067">
        <v>274508</v>
      </c>
      <c r="J25" s="1067">
        <v>343134</v>
      </c>
      <c r="L25" s="596" t="s">
        <v>1217</v>
      </c>
      <c r="M25" s="596" t="s">
        <v>3375</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3373</v>
      </c>
      <c r="F26" s="1067">
        <v>129053</v>
      </c>
      <c r="G26" s="1067">
        <v>168837</v>
      </c>
      <c r="H26" s="1067">
        <v>205093</v>
      </c>
      <c r="I26" s="1067">
        <v>251390</v>
      </c>
      <c r="J26" s="1067">
        <v>298072</v>
      </c>
      <c r="L26" s="596" t="s">
        <v>1217</v>
      </c>
      <c r="M26" s="596" t="s">
        <v>3373</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3374</v>
      </c>
      <c r="F27" s="1067">
        <v>112110</v>
      </c>
      <c r="G27" s="1067">
        <v>154960</v>
      </c>
      <c r="H27" s="1067">
        <v>196671</v>
      </c>
      <c r="I27" s="1067">
        <v>257098</v>
      </c>
      <c r="J27" s="1067">
        <v>320417</v>
      </c>
      <c r="L27" s="596" t="s">
        <v>1217</v>
      </c>
      <c r="M27" s="596" t="s">
        <v>3374</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3378</v>
      </c>
      <c r="F28" s="1071">
        <v>132505</v>
      </c>
      <c r="G28" s="1071">
        <v>172926</v>
      </c>
      <c r="H28" s="1071">
        <v>209377</v>
      </c>
      <c r="I28" s="1071">
        <v>255107</v>
      </c>
      <c r="J28" s="1071">
        <v>299867</v>
      </c>
      <c r="L28" s="596" t="s">
        <v>1342</v>
      </c>
      <c r="M28" s="596" t="s">
        <v>3378</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3375</v>
      </c>
      <c r="F29" s="1071">
        <v>107584</v>
      </c>
      <c r="G29" s="1071">
        <v>150617</v>
      </c>
      <c r="H29" s="1071">
        <v>193650</v>
      </c>
      <c r="I29" s="1071">
        <v>258201</v>
      </c>
      <c r="J29" s="1071">
        <v>322751</v>
      </c>
      <c r="L29" s="596" t="s">
        <v>1342</v>
      </c>
      <c r="M29" s="596" t="s">
        <v>3375</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3373</v>
      </c>
      <c r="F30" s="1071">
        <v>122412</v>
      </c>
      <c r="G30" s="1071">
        <v>159813</v>
      </c>
      <c r="H30" s="1071">
        <v>193809</v>
      </c>
      <c r="I30" s="1071">
        <v>236957</v>
      </c>
      <c r="J30" s="1071">
        <v>280648</v>
      </c>
      <c r="L30" s="596" t="s">
        <v>1342</v>
      </c>
      <c r="M30" s="596" t="s">
        <v>3373</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3374</v>
      </c>
      <c r="F31" s="1071">
        <v>106994</v>
      </c>
      <c r="G31" s="1071">
        <v>148014</v>
      </c>
      <c r="H31" s="1071">
        <v>188019</v>
      </c>
      <c r="I31" s="1071">
        <v>246119</v>
      </c>
      <c r="J31" s="1071">
        <v>306798</v>
      </c>
      <c r="L31" s="596" t="s">
        <v>1342</v>
      </c>
      <c r="M31" s="596" t="s">
        <v>3374</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3378</v>
      </c>
      <c r="F32" s="906">
        <v>135971</v>
      </c>
      <c r="G32" s="906">
        <v>178050</v>
      </c>
      <c r="H32" s="906">
        <v>216136</v>
      </c>
      <c r="I32" s="906">
        <v>264350</v>
      </c>
      <c r="J32" s="906">
        <v>311082</v>
      </c>
      <c r="L32" s="1099" t="s">
        <v>1533</v>
      </c>
      <c r="M32" s="596" t="s">
        <v>3378</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3375</v>
      </c>
      <c r="F33" s="906">
        <v>111093</v>
      </c>
      <c r="G33" s="906">
        <v>155530</v>
      </c>
      <c r="H33" s="906">
        <v>199967</v>
      </c>
      <c r="I33" s="906">
        <v>266623</v>
      </c>
      <c r="J33" s="906">
        <v>333278</v>
      </c>
      <c r="L33" s="1099" t="s">
        <v>1533</v>
      </c>
      <c r="M33" s="596" t="s">
        <v>3375</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3373</v>
      </c>
      <c r="F34" s="906">
        <v>124524</v>
      </c>
      <c r="G34" s="906">
        <v>163179</v>
      </c>
      <c r="H34" s="906">
        <v>198480</v>
      </c>
      <c r="I34" s="906">
        <v>243766</v>
      </c>
      <c r="J34" s="906">
        <v>289284</v>
      </c>
      <c r="L34" s="1099" t="s">
        <v>1533</v>
      </c>
      <c r="M34" s="596" t="s">
        <v>3373</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3374</v>
      </c>
      <c r="F35" s="906">
        <v>107650</v>
      </c>
      <c r="G35" s="906">
        <v>148694</v>
      </c>
      <c r="H35" s="906">
        <v>188587</v>
      </c>
      <c r="I35" s="906">
        <v>246263</v>
      </c>
      <c r="J35" s="906">
        <v>306864</v>
      </c>
      <c r="L35" s="1099" t="s">
        <v>1533</v>
      </c>
      <c r="M35" s="596" t="s">
        <v>3374</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3378</v>
      </c>
      <c r="F36" s="1073">
        <v>130802</v>
      </c>
      <c r="G36" s="1073">
        <v>170775</v>
      </c>
      <c r="H36" s="1073">
        <v>206839</v>
      </c>
      <c r="I36" s="1073">
        <v>252134</v>
      </c>
      <c r="J36" s="1073">
        <v>296415</v>
      </c>
      <c r="L36" s="301" t="s">
        <v>162</v>
      </c>
      <c r="M36" s="301" t="s">
        <v>3378</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3375</v>
      </c>
      <c r="F37" s="1073">
        <v>106284</v>
      </c>
      <c r="G37" s="1073">
        <v>148797</v>
      </c>
      <c r="H37" s="1073">
        <v>191311</v>
      </c>
      <c r="I37" s="1073">
        <v>255081</v>
      </c>
      <c r="J37" s="1073">
        <v>318851</v>
      </c>
      <c r="L37" s="301" t="s">
        <v>162</v>
      </c>
      <c r="M37" s="301" t="s">
        <v>3375</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3373</v>
      </c>
      <c r="F38" s="1073">
        <v>120709</v>
      </c>
      <c r="G38" s="1073">
        <v>157663</v>
      </c>
      <c r="H38" s="1073">
        <v>191271</v>
      </c>
      <c r="I38" s="1073">
        <v>233985</v>
      </c>
      <c r="J38" s="1073">
        <v>277195</v>
      </c>
      <c r="L38" s="301" t="s">
        <v>162</v>
      </c>
      <c r="M38" s="301" t="s">
        <v>3373</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3374</v>
      </c>
      <c r="F39" s="1073">
        <v>105363</v>
      </c>
      <c r="G39" s="1073">
        <v>145732</v>
      </c>
      <c r="H39" s="1073">
        <v>185085</v>
      </c>
      <c r="I39" s="1073">
        <v>242207</v>
      </c>
      <c r="J39" s="1073">
        <v>301908</v>
      </c>
      <c r="L39" s="301" t="s">
        <v>162</v>
      </c>
      <c r="M39" s="301" t="s">
        <v>3374</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3378</v>
      </c>
      <c r="F40" s="1075">
        <v>127800</v>
      </c>
      <c r="G40" s="1075">
        <v>167186</v>
      </c>
      <c r="H40" s="1075">
        <v>202798</v>
      </c>
      <c r="I40" s="1075">
        <v>247764</v>
      </c>
      <c r="J40" s="1075">
        <v>291469</v>
      </c>
      <c r="L40" s="596" t="s">
        <v>1332</v>
      </c>
      <c r="M40" s="596" t="s">
        <v>3378</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3375</v>
      </c>
      <c r="F41" s="1075">
        <v>104227</v>
      </c>
      <c r="G41" s="1075">
        <v>145918</v>
      </c>
      <c r="H41" s="1075">
        <v>187609</v>
      </c>
      <c r="I41" s="1075">
        <v>250145</v>
      </c>
      <c r="J41" s="1075">
        <v>312681</v>
      </c>
      <c r="L41" s="596" t="s">
        <v>1332</v>
      </c>
      <c r="M41" s="596" t="s">
        <v>3375</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3373</v>
      </c>
      <c r="F42" s="1075">
        <v>117337</v>
      </c>
      <c r="G42" s="1075">
        <v>153594</v>
      </c>
      <c r="H42" s="1075">
        <v>186661</v>
      </c>
      <c r="I42" s="1075">
        <v>228950</v>
      </c>
      <c r="J42" s="1075">
        <v>271546</v>
      </c>
      <c r="L42" s="596" t="s">
        <v>1332</v>
      </c>
      <c r="M42" s="596" t="s">
        <v>3373</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3374</v>
      </c>
      <c r="F43" s="1075">
        <v>101764</v>
      </c>
      <c r="G43" s="1075">
        <v>140627</v>
      </c>
      <c r="H43" s="1075">
        <v>178438</v>
      </c>
      <c r="I43" s="1075">
        <v>233177</v>
      </c>
      <c r="J43" s="1075">
        <v>290589</v>
      </c>
      <c r="L43" s="596" t="s">
        <v>1332</v>
      </c>
      <c r="M43" s="596" t="s">
        <v>3374</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3378</v>
      </c>
      <c r="F44" s="1067">
        <v>135165</v>
      </c>
      <c r="G44" s="1067">
        <v>176624</v>
      </c>
      <c r="H44" s="1067">
        <v>214065</v>
      </c>
      <c r="I44" s="1067">
        <v>261200</v>
      </c>
      <c r="J44" s="1067">
        <v>307162</v>
      </c>
      <c r="L44" s="596" t="s">
        <v>1338</v>
      </c>
      <c r="M44" s="596" t="s">
        <v>3378</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3375</v>
      </c>
      <c r="F45" s="1067">
        <v>110006</v>
      </c>
      <c r="G45" s="1067">
        <v>154008</v>
      </c>
      <c r="H45" s="1067">
        <v>198011</v>
      </c>
      <c r="I45" s="1067">
        <v>264014</v>
      </c>
      <c r="J45" s="1067">
        <v>330018</v>
      </c>
      <c r="L45" s="596" t="s">
        <v>1338</v>
      </c>
      <c r="M45" s="596" t="s">
        <v>3375</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3373</v>
      </c>
      <c r="F46" s="1067">
        <v>124455</v>
      </c>
      <c r="G46" s="1067">
        <v>162712</v>
      </c>
      <c r="H46" s="1067">
        <v>197548</v>
      </c>
      <c r="I46" s="1067">
        <v>241944</v>
      </c>
      <c r="J46" s="1067">
        <v>286771</v>
      </c>
      <c r="L46" s="596" t="s">
        <v>1338</v>
      </c>
      <c r="M46" s="596" t="s">
        <v>3373</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3374</v>
      </c>
      <c r="F47" s="1067">
        <v>108329</v>
      </c>
      <c r="G47" s="1067">
        <v>149776</v>
      </c>
      <c r="H47" s="1067">
        <v>190145</v>
      </c>
      <c r="I47" s="1067">
        <v>248674</v>
      </c>
      <c r="J47" s="1067">
        <v>309940</v>
      </c>
      <c r="L47" s="596" t="s">
        <v>1338</v>
      </c>
      <c r="M47" s="596" t="s">
        <v>3374</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3378</v>
      </c>
      <c r="F48" s="1071">
        <v>122990</v>
      </c>
      <c r="G48" s="1071">
        <v>160975</v>
      </c>
      <c r="H48" s="1071">
        <v>195338</v>
      </c>
      <c r="I48" s="1071">
        <v>238786</v>
      </c>
      <c r="J48" s="1071">
        <v>280955</v>
      </c>
      <c r="L48" s="596" t="s">
        <v>1709</v>
      </c>
      <c r="M48" s="596" t="s">
        <v>3378</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3375</v>
      </c>
      <c r="F49" s="1071">
        <v>100398</v>
      </c>
      <c r="G49" s="1071">
        <v>140558</v>
      </c>
      <c r="H49" s="1071">
        <v>180717</v>
      </c>
      <c r="I49" s="1071">
        <v>240956</v>
      </c>
      <c r="J49" s="1071">
        <v>301195</v>
      </c>
      <c r="L49" s="596" t="s">
        <v>1709</v>
      </c>
      <c r="M49" s="596" t="s">
        <v>3375</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3373</v>
      </c>
      <c r="F50" s="1071">
        <v>112773</v>
      </c>
      <c r="G50" s="1071">
        <v>147703</v>
      </c>
      <c r="H50" s="1071">
        <v>179581</v>
      </c>
      <c r="I50" s="1071">
        <v>220415</v>
      </c>
      <c r="J50" s="1071">
        <v>261501</v>
      </c>
      <c r="L50" s="596" t="s">
        <v>1709</v>
      </c>
      <c r="M50" s="596" t="s">
        <v>3373</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3374</v>
      </c>
      <c r="F51" s="1071">
        <v>97643</v>
      </c>
      <c r="G51" s="1071">
        <v>134902</v>
      </c>
      <c r="H51" s="1071">
        <v>171133</v>
      </c>
      <c r="I51" s="1071">
        <v>223548</v>
      </c>
      <c r="J51" s="1071">
        <v>278574</v>
      </c>
      <c r="L51" s="596" t="s">
        <v>1709</v>
      </c>
      <c r="M51" s="596" t="s">
        <v>3374</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3579</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3063</v>
      </c>
      <c r="R54" s="178" t="s">
        <v>1743</v>
      </c>
      <c r="S54" s="286"/>
      <c r="T54" s="286"/>
      <c r="U54" s="175"/>
      <c r="V54" s="1056"/>
      <c r="W54" s="1056"/>
      <c r="X54" s="1056"/>
      <c r="AA54" s="536"/>
      <c r="AB54" s="536"/>
    </row>
    <row r="55" spans="1:28" s="280" customFormat="1" ht="11.45" customHeight="1">
      <c r="A55" s="177"/>
      <c r="B55" s="177"/>
      <c r="C55" s="177"/>
      <c r="D55" s="175"/>
      <c r="E55" s="175"/>
      <c r="F55" s="177" t="s">
        <v>3566</v>
      </c>
      <c r="G55" s="177"/>
      <c r="H55" s="175"/>
      <c r="I55" s="175"/>
      <c r="J55" s="681">
        <v>110481</v>
      </c>
      <c r="K55" s="681">
        <v>126647</v>
      </c>
      <c r="L55" s="681">
        <v>154003</v>
      </c>
      <c r="M55" s="681">
        <v>199229</v>
      </c>
      <c r="N55" s="681">
        <v>199229</v>
      </c>
      <c r="O55" s="177"/>
      <c r="P55" s="175"/>
      <c r="Q55" s="682">
        <v>1000</v>
      </c>
      <c r="R55" s="682">
        <v>0</v>
      </c>
      <c r="S55" s="301" t="s">
        <v>3565</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3063</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3685</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3684</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3977</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3451</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3893</v>
      </c>
      <c r="K71" s="177"/>
      <c r="L71" s="177"/>
      <c r="M71" s="177"/>
      <c r="N71" s="177"/>
      <c r="O71" s="177"/>
      <c r="P71" s="175"/>
      <c r="Q71" s="1617">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3978</v>
      </c>
      <c r="K72" s="177"/>
      <c r="L72" s="177"/>
      <c r="M72" s="177"/>
      <c r="N72" s="177"/>
      <c r="O72" s="177"/>
      <c r="P72" s="175"/>
      <c r="Q72" s="1618" t="s">
        <v>979</v>
      </c>
      <c r="R72" s="1618">
        <v>0.05</v>
      </c>
      <c r="S72" s="292"/>
      <c r="T72" s="292"/>
      <c r="U72" s="292"/>
      <c r="AA72" s="536"/>
      <c r="AB72" s="536"/>
    </row>
    <row r="73" spans="1:28" s="280" customFormat="1" ht="11.45" customHeight="1">
      <c r="A73" s="177"/>
      <c r="B73" s="177"/>
      <c r="C73" s="177"/>
      <c r="D73" s="175"/>
      <c r="E73" s="175"/>
      <c r="F73" s="177" t="s">
        <v>278</v>
      </c>
      <c r="G73" s="177"/>
      <c r="H73" s="175"/>
      <c r="I73" s="175"/>
      <c r="J73" s="177" t="s">
        <v>3978</v>
      </c>
      <c r="K73" s="177"/>
      <c r="L73" s="177"/>
      <c r="M73" s="177"/>
      <c r="N73" s="177"/>
      <c r="O73" s="177"/>
      <c r="P73" s="175"/>
      <c r="Q73" s="1618" t="s">
        <v>979</v>
      </c>
      <c r="R73" s="1618">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3979</v>
      </c>
      <c r="K74" s="177"/>
      <c r="L74" s="177"/>
      <c r="M74" s="177"/>
      <c r="N74" s="177"/>
      <c r="O74" s="177"/>
      <c r="P74" s="175"/>
      <c r="Q74" s="291" t="s">
        <v>1746</v>
      </c>
      <c r="R74" s="1618">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3979</v>
      </c>
      <c r="K75" s="177"/>
      <c r="L75" s="177"/>
      <c r="M75" s="177"/>
      <c r="N75" s="177"/>
      <c r="O75" s="177"/>
      <c r="P75" s="175"/>
      <c r="Q75" s="291" t="s">
        <v>1746</v>
      </c>
      <c r="R75" s="1618">
        <v>0.02</v>
      </c>
      <c r="S75" s="292"/>
      <c r="T75" s="292"/>
      <c r="U75" s="292"/>
      <c r="AA75" s="536"/>
      <c r="AB75" s="536"/>
    </row>
    <row r="76" spans="1:28" s="280" customFormat="1" ht="11.45" customHeight="1">
      <c r="A76" s="177"/>
      <c r="B76" s="177" t="s">
        <v>2834</v>
      </c>
      <c r="C76" s="177"/>
      <c r="D76" s="175"/>
      <c r="E76" s="175"/>
      <c r="F76" s="177" t="s">
        <v>1746</v>
      </c>
      <c r="G76" s="177"/>
      <c r="H76" s="175"/>
      <c r="I76" s="175"/>
      <c r="J76" s="177" t="s">
        <v>3979</v>
      </c>
      <c r="K76" s="177"/>
      <c r="L76" s="177"/>
      <c r="M76" s="177"/>
      <c r="N76" s="177"/>
      <c r="O76" s="177"/>
      <c r="P76" s="175"/>
      <c r="Q76" s="291" t="s">
        <v>1746</v>
      </c>
      <c r="R76" s="1618">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7">
        <v>20000</v>
      </c>
      <c r="S77" s="292"/>
      <c r="T77" s="292"/>
      <c r="U77" s="292"/>
      <c r="AA77" s="536"/>
      <c r="AB77" s="536"/>
    </row>
    <row r="78" spans="1:28" s="280" customFormat="1" ht="11.45" customHeight="1">
      <c r="A78" s="175"/>
      <c r="B78" s="292" t="s">
        <v>3875</v>
      </c>
      <c r="C78" s="177"/>
      <c r="D78" s="177"/>
      <c r="E78" s="175"/>
      <c r="F78" s="179" t="s">
        <v>3501</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3987</v>
      </c>
      <c r="G80" s="177"/>
      <c r="H80" s="175"/>
      <c r="I80" s="175"/>
      <c r="J80" s="179" t="s">
        <v>3983</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3984</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3985</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3986</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3459</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3981</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3892</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3911</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2839</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4252</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3460</v>
      </c>
      <c r="I96" s="175"/>
      <c r="J96" s="177" t="s">
        <v>3461</v>
      </c>
      <c r="K96" s="177"/>
      <c r="L96" s="177" t="s">
        <v>2838</v>
      </c>
      <c r="M96" s="177"/>
      <c r="N96" s="177"/>
      <c r="O96" s="177"/>
      <c r="P96" s="175"/>
      <c r="Q96" s="2331">
        <v>75</v>
      </c>
      <c r="R96" s="2332"/>
      <c r="S96" s="292"/>
      <c r="T96" s="292"/>
      <c r="U96" s="292"/>
      <c r="AA96" s="536"/>
      <c r="AB96" s="536"/>
    </row>
    <row r="97" spans="1:28" s="280" customFormat="1" ht="13.5">
      <c r="A97" s="177"/>
      <c r="B97" s="177" t="s">
        <v>1876</v>
      </c>
      <c r="C97" s="177"/>
      <c r="D97" s="1212" t="s">
        <v>3980</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3437</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3656</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8">
        <v>0</v>
      </c>
      <c r="R107" s="1618">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3502</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3063</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1.1"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3499999999999996"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3927</v>
      </c>
      <c r="I127" s="175"/>
      <c r="J127" s="177" t="s">
        <v>3928</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3921</v>
      </c>
      <c r="I128" s="175"/>
      <c r="J128" s="177" t="s">
        <v>3929</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3930</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3976</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2836</v>
      </c>
      <c r="G134" s="177"/>
      <c r="H134" s="175"/>
      <c r="I134" s="175"/>
      <c r="J134" s="177" t="s">
        <v>2697</v>
      </c>
      <c r="K134" s="177"/>
      <c r="L134" s="177"/>
      <c r="M134" s="177"/>
      <c r="N134" s="177"/>
      <c r="O134" s="177"/>
      <c r="P134" s="175"/>
      <c r="Q134" s="2330" t="s">
        <v>2837</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3714</v>
      </c>
      <c r="B136" s="177"/>
      <c r="C136" s="177"/>
      <c r="D136" s="175"/>
      <c r="E136" s="175"/>
      <c r="F136" s="177" t="s">
        <v>3717</v>
      </c>
      <c r="G136" s="177"/>
      <c r="H136" s="175"/>
      <c r="I136" s="175"/>
      <c r="J136" s="177" t="s">
        <v>3718</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3715</v>
      </c>
      <c r="H137" s="175"/>
      <c r="I137" s="175"/>
      <c r="J137" s="177" t="s">
        <v>3719</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3716</v>
      </c>
      <c r="G138" s="177"/>
      <c r="H138" s="175"/>
      <c r="I138" s="175"/>
      <c r="J138" s="177" t="s">
        <v>3718</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3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4231</v>
      </c>
      <c r="E151" s="292"/>
      <c r="F151" s="292"/>
    </row>
    <row r="152" spans="2:30" ht="10.5" customHeight="1">
      <c r="C152" s="2338"/>
      <c r="E152" s="292"/>
      <c r="F152" s="292"/>
    </row>
    <row r="153" spans="2:30" ht="10.5" customHeight="1">
      <c r="C153" s="2338"/>
      <c r="D153" s="1356" t="s">
        <v>3989</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2784</v>
      </c>
      <c r="N154" s="583" t="s">
        <v>3919</v>
      </c>
      <c r="O154" s="583" t="s">
        <v>4350</v>
      </c>
      <c r="P154" s="581" t="s">
        <v>2418</v>
      </c>
      <c r="Q154" s="581"/>
      <c r="R154" s="177"/>
      <c r="S154" s="403"/>
      <c r="T154" s="584" t="s">
        <v>624</v>
      </c>
      <c r="U154" s="585" t="s">
        <v>625</v>
      </c>
      <c r="W154" s="617" t="s">
        <v>3408</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4351</v>
      </c>
      <c r="P155" s="586" t="s">
        <v>1534</v>
      </c>
      <c r="Q155" s="301"/>
      <c r="R155" s="177"/>
      <c r="S155" s="403"/>
      <c r="T155" s="525" t="s">
        <v>2419</v>
      </c>
      <c r="U155" s="525" t="s">
        <v>1966</v>
      </c>
      <c r="W155" s="446" t="s">
        <v>2419</v>
      </c>
      <c r="X155" s="446" t="s">
        <v>3409</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4352</v>
      </c>
      <c r="P156" s="586" t="s">
        <v>1536</v>
      </c>
      <c r="Q156" s="301"/>
      <c r="R156" s="177"/>
      <c r="S156" s="403"/>
      <c r="T156" s="525" t="s">
        <v>1535</v>
      </c>
      <c r="U156" s="525" t="s">
        <v>2502</v>
      </c>
      <c r="W156" s="446" t="s">
        <v>1535</v>
      </c>
      <c r="X156" s="446" t="s">
        <v>3409</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4353</v>
      </c>
      <c r="P157" s="586" t="s">
        <v>466</v>
      </c>
      <c r="Q157" s="301"/>
      <c r="R157" s="177"/>
      <c r="S157" s="403"/>
      <c r="T157" s="525" t="s">
        <v>954</v>
      </c>
      <c r="U157" s="525" t="s">
        <v>1326</v>
      </c>
      <c r="W157" s="446" t="s">
        <v>954</v>
      </c>
      <c r="X157" s="446" t="s">
        <v>3409</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4354</v>
      </c>
      <c r="P158" s="586" t="s">
        <v>2096</v>
      </c>
      <c r="Q158" s="301"/>
      <c r="R158" s="177"/>
      <c r="S158" s="403"/>
      <c r="T158" s="525" t="s">
        <v>467</v>
      </c>
      <c r="U158" s="525" t="s">
        <v>2546</v>
      </c>
      <c r="W158" s="446" t="s">
        <v>2097</v>
      </c>
      <c r="X158" s="446" t="s">
        <v>3409</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4355</v>
      </c>
      <c r="P159" s="586" t="s">
        <v>2098</v>
      </c>
      <c r="Q159" s="301"/>
      <c r="R159" s="177"/>
      <c r="S159" s="403"/>
      <c r="T159" s="525" t="s">
        <v>2097</v>
      </c>
      <c r="U159" s="525" t="s">
        <v>334</v>
      </c>
      <c r="W159" s="446" t="s">
        <v>2101</v>
      </c>
      <c r="X159" s="446" t="s">
        <v>3409</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4356</v>
      </c>
      <c r="P160" s="586" t="s">
        <v>2100</v>
      </c>
      <c r="Q160" s="301"/>
      <c r="R160" s="177"/>
      <c r="S160" s="403"/>
      <c r="T160" s="525" t="s">
        <v>2099</v>
      </c>
      <c r="U160" s="525" t="s">
        <v>185</v>
      </c>
      <c r="W160" s="446" t="s">
        <v>1795</v>
      </c>
      <c r="X160" s="446" t="s">
        <v>3409</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4357</v>
      </c>
      <c r="P161" s="586" t="s">
        <v>2102</v>
      </c>
      <c r="Q161" s="301"/>
      <c r="R161" s="177"/>
      <c r="S161" s="403"/>
      <c r="T161" s="525" t="s">
        <v>2101</v>
      </c>
      <c r="U161" s="525" t="s">
        <v>113</v>
      </c>
      <c r="W161" s="446" t="s">
        <v>448</v>
      </c>
      <c r="X161" s="446" t="s">
        <v>3409</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4358</v>
      </c>
      <c r="P162" s="586" t="s">
        <v>2104</v>
      </c>
      <c r="Q162" s="301"/>
      <c r="R162" s="177"/>
      <c r="S162" s="403"/>
      <c r="T162" s="525" t="s">
        <v>2103</v>
      </c>
      <c r="U162" s="525" t="s">
        <v>1329</v>
      </c>
      <c r="W162" s="446" t="s">
        <v>450</v>
      </c>
      <c r="X162" s="446" t="s">
        <v>3409</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4359</v>
      </c>
      <c r="P163" s="586" t="s">
        <v>1978</v>
      </c>
      <c r="Q163" s="546"/>
      <c r="R163" s="177"/>
      <c r="S163" s="403"/>
      <c r="T163" s="525" t="s">
        <v>1795</v>
      </c>
      <c r="U163" s="525" t="s">
        <v>964</v>
      </c>
      <c r="W163" s="446" t="s">
        <v>1862</v>
      </c>
      <c r="X163" s="446" t="s">
        <v>3409</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4360</v>
      </c>
      <c r="P164" s="586" t="s">
        <v>181</v>
      </c>
      <c r="Q164" s="546"/>
      <c r="R164" s="292"/>
      <c r="S164" s="403"/>
      <c r="T164" s="525" t="s">
        <v>1979</v>
      </c>
      <c r="U164" s="525" t="s">
        <v>431</v>
      </c>
      <c r="W164" s="446" t="s">
        <v>2565</v>
      </c>
      <c r="X164" s="446" t="s">
        <v>3409</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4361</v>
      </c>
      <c r="P165" s="586" t="s">
        <v>183</v>
      </c>
      <c r="Q165" s="546"/>
      <c r="R165" s="177"/>
      <c r="S165" s="403"/>
      <c r="T165" s="525" t="s">
        <v>182</v>
      </c>
      <c r="U165" s="525" t="s">
        <v>1468</v>
      </c>
      <c r="W165" s="446" t="s">
        <v>2571</v>
      </c>
      <c r="X165" s="446" t="s">
        <v>3409</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4362</v>
      </c>
      <c r="P166" s="586" t="s">
        <v>447</v>
      </c>
      <c r="Q166" s="301"/>
      <c r="R166" s="177"/>
      <c r="S166" s="403"/>
      <c r="T166" s="525" t="s">
        <v>184</v>
      </c>
      <c r="U166" s="525" t="s">
        <v>2415</v>
      </c>
      <c r="W166" s="446" t="s">
        <v>2576</v>
      </c>
      <c r="X166" s="446" t="s">
        <v>3409</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4363</v>
      </c>
      <c r="P167" s="586" t="s">
        <v>449</v>
      </c>
      <c r="Q167" s="301"/>
      <c r="R167" s="177"/>
      <c r="S167" s="403"/>
      <c r="T167" s="525" t="s">
        <v>448</v>
      </c>
      <c r="U167" s="525" t="s">
        <v>1792</v>
      </c>
      <c r="W167" s="446" t="s">
        <v>167</v>
      </c>
      <c r="X167" s="446" t="s">
        <v>3409</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4364</v>
      </c>
      <c r="P168" s="586" t="s">
        <v>451</v>
      </c>
      <c r="Q168" s="301"/>
      <c r="R168" s="177"/>
      <c r="S168" s="403"/>
      <c r="T168" s="525" t="s">
        <v>450</v>
      </c>
      <c r="U168" s="525" t="s">
        <v>1218</v>
      </c>
      <c r="W168" s="446" t="s">
        <v>1217</v>
      </c>
      <c r="X168" s="446" t="s">
        <v>3409</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4365</v>
      </c>
      <c r="P169" s="586" t="s">
        <v>453</v>
      </c>
      <c r="Q169" s="301"/>
      <c r="R169" s="177"/>
      <c r="S169" s="403"/>
      <c r="T169" s="525" t="s">
        <v>452</v>
      </c>
      <c r="U169" s="525" t="s">
        <v>185</v>
      </c>
      <c r="W169" s="446" t="s">
        <v>2087</v>
      </c>
      <c r="X169" s="446" t="s">
        <v>3409</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4366</v>
      </c>
      <c r="P170" s="586" t="s">
        <v>2278</v>
      </c>
      <c r="Q170" s="301"/>
      <c r="R170" s="177"/>
      <c r="S170" s="403"/>
      <c r="T170" s="525" t="s">
        <v>454</v>
      </c>
      <c r="U170" s="525" t="s">
        <v>123</v>
      </c>
      <c r="W170" s="446" t="s">
        <v>1342</v>
      </c>
      <c r="X170" s="446" t="s">
        <v>3409</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4367</v>
      </c>
      <c r="P171" s="586" t="s">
        <v>2280</v>
      </c>
      <c r="Q171" s="301"/>
      <c r="R171" s="177"/>
      <c r="S171" s="403"/>
      <c r="T171" s="525" t="s">
        <v>2279</v>
      </c>
      <c r="U171" s="525" t="s">
        <v>2503</v>
      </c>
      <c r="W171" s="446" t="s">
        <v>2090</v>
      </c>
      <c r="X171" s="446" t="s">
        <v>3409</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4368</v>
      </c>
      <c r="P172" s="586" t="s">
        <v>370</v>
      </c>
      <c r="Q172" s="301"/>
      <c r="R172" s="177"/>
      <c r="S172" s="403"/>
      <c r="T172" s="525" t="s">
        <v>1862</v>
      </c>
      <c r="U172" s="525" t="s">
        <v>2193</v>
      </c>
      <c r="W172" s="446" t="s">
        <v>2123</v>
      </c>
      <c r="X172" s="446" t="s">
        <v>3409</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4369</v>
      </c>
      <c r="P173" s="586" t="s">
        <v>372</v>
      </c>
      <c r="Q173" s="301"/>
      <c r="R173" s="177"/>
      <c r="S173" s="403"/>
      <c r="T173" s="525" t="s">
        <v>371</v>
      </c>
      <c r="U173" s="525" t="s">
        <v>2193</v>
      </c>
      <c r="W173" s="446" t="s">
        <v>2127</v>
      </c>
      <c r="X173" s="446" t="s">
        <v>3409</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4370</v>
      </c>
      <c r="P174" s="586" t="s">
        <v>2562</v>
      </c>
      <c r="Q174" s="301"/>
      <c r="R174" s="177"/>
      <c r="S174" s="403"/>
      <c r="T174" s="525" t="s">
        <v>1222</v>
      </c>
      <c r="U174" s="525" t="s">
        <v>2545</v>
      </c>
      <c r="W174" s="446" t="s">
        <v>1796</v>
      </c>
      <c r="X174" s="446" t="s">
        <v>3409</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4371</v>
      </c>
      <c r="P175" s="586" t="s">
        <v>2564</v>
      </c>
      <c r="Q175" s="301"/>
      <c r="R175" s="177"/>
      <c r="S175" s="403"/>
      <c r="T175" s="525" t="s">
        <v>2563</v>
      </c>
      <c r="U175" s="525" t="s">
        <v>2550</v>
      </c>
      <c r="W175" s="446" t="s">
        <v>1016</v>
      </c>
      <c r="X175" s="446" t="s">
        <v>3409</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4372</v>
      </c>
      <c r="P176" s="586" t="s">
        <v>2566</v>
      </c>
      <c r="Q176" s="301"/>
      <c r="R176" s="177"/>
      <c r="S176" s="403"/>
      <c r="T176" s="525" t="s">
        <v>2565</v>
      </c>
      <c r="U176" s="525" t="s">
        <v>1107</v>
      </c>
      <c r="W176" s="446" t="s">
        <v>2461</v>
      </c>
      <c r="X176" s="446" t="s">
        <v>3409</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4373</v>
      </c>
      <c r="P177" s="586" t="s">
        <v>2568</v>
      </c>
      <c r="Q177" s="301"/>
      <c r="R177" s="177"/>
      <c r="S177" s="403"/>
      <c r="T177" s="525" t="s">
        <v>2567</v>
      </c>
      <c r="U177" s="525" t="s">
        <v>325</v>
      </c>
      <c r="W177" s="446" t="s">
        <v>2463</v>
      </c>
      <c r="X177" s="446" t="s">
        <v>3409</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4374</v>
      </c>
      <c r="P178" s="586" t="s">
        <v>2570</v>
      </c>
      <c r="Q178" s="301"/>
      <c r="R178" s="177"/>
      <c r="S178" s="403"/>
      <c r="T178" s="525" t="s">
        <v>2569</v>
      </c>
      <c r="U178" s="525" t="s">
        <v>2500</v>
      </c>
      <c r="W178" s="446" t="s">
        <v>2465</v>
      </c>
      <c r="X178" s="446" t="s">
        <v>3409</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4375</v>
      </c>
      <c r="P179" s="586" t="s">
        <v>2572</v>
      </c>
      <c r="Q179" s="301"/>
      <c r="R179" s="177"/>
      <c r="S179" s="403"/>
      <c r="T179" s="525" t="s">
        <v>2571</v>
      </c>
      <c r="U179" s="525" t="s">
        <v>1344</v>
      </c>
      <c r="W179" s="446" t="s">
        <v>2468</v>
      </c>
      <c r="X179" s="446" t="s">
        <v>3409</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4376</v>
      </c>
      <c r="P180" s="586" t="s">
        <v>2573</v>
      </c>
      <c r="Q180" s="301"/>
      <c r="R180" s="177"/>
      <c r="S180" s="403"/>
      <c r="T180" s="525" t="s">
        <v>2574</v>
      </c>
      <c r="U180" s="525" t="s">
        <v>2608</v>
      </c>
      <c r="W180" s="446" t="s">
        <v>2247</v>
      </c>
      <c r="X180" s="446" t="s">
        <v>3409</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4377</v>
      </c>
      <c r="P181" s="586" t="s">
        <v>2575</v>
      </c>
      <c r="Q181" s="301"/>
      <c r="R181" s="177"/>
      <c r="S181" s="403"/>
      <c r="T181" s="525" t="s">
        <v>2576</v>
      </c>
      <c r="U181" s="525" t="s">
        <v>1932</v>
      </c>
      <c r="W181" s="446" t="s">
        <v>2347</v>
      </c>
      <c r="X181" s="446" t="s">
        <v>3409</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4378</v>
      </c>
      <c r="P182" s="586" t="s">
        <v>419</v>
      </c>
      <c r="Q182" s="301"/>
      <c r="R182" s="177"/>
      <c r="S182" s="403"/>
      <c r="T182" s="525" t="s">
        <v>167</v>
      </c>
      <c r="U182" s="525" t="s">
        <v>166</v>
      </c>
      <c r="W182" s="446" t="s">
        <v>307</v>
      </c>
      <c r="X182" s="446" t="s">
        <v>3409</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4379</v>
      </c>
      <c r="P183" s="586" t="s">
        <v>420</v>
      </c>
      <c r="Q183" s="301"/>
      <c r="R183" s="292"/>
      <c r="S183" s="403"/>
      <c r="T183" s="525" t="s">
        <v>1217</v>
      </c>
      <c r="U183" s="525" t="s">
        <v>1218</v>
      </c>
      <c r="W183" s="446" t="s">
        <v>11</v>
      </c>
      <c r="X183" s="446" t="s">
        <v>3409</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4380</v>
      </c>
      <c r="P184" s="586" t="s">
        <v>786</v>
      </c>
      <c r="Q184" s="546"/>
      <c r="R184" s="177"/>
      <c r="S184" s="403"/>
      <c r="T184" s="525" t="s">
        <v>787</v>
      </c>
      <c r="U184" s="525" t="s">
        <v>198</v>
      </c>
      <c r="W184" s="446" t="s">
        <v>13</v>
      </c>
      <c r="X184" s="446" t="s">
        <v>3409</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4381</v>
      </c>
      <c r="P185" s="586" t="s">
        <v>788</v>
      </c>
      <c r="Q185" s="546"/>
      <c r="R185" s="177"/>
      <c r="S185" s="403"/>
      <c r="T185" s="525" t="s">
        <v>2087</v>
      </c>
      <c r="U185" s="525" t="s">
        <v>1325</v>
      </c>
      <c r="W185" s="446" t="s">
        <v>60</v>
      </c>
      <c r="X185" s="446" t="s">
        <v>3409</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4382</v>
      </c>
      <c r="P186" s="586" t="s">
        <v>2088</v>
      </c>
      <c r="Q186" s="546"/>
      <c r="R186" s="177"/>
      <c r="S186" s="403"/>
      <c r="T186" s="525" t="s">
        <v>1342</v>
      </c>
      <c r="U186" s="525" t="s">
        <v>1119</v>
      </c>
      <c r="W186" s="446" t="s">
        <v>62</v>
      </c>
      <c r="X186" s="446" t="s">
        <v>3409</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4383</v>
      </c>
      <c r="P187" s="586" t="s">
        <v>2089</v>
      </c>
      <c r="Q187" s="546"/>
      <c r="R187" s="177"/>
      <c r="S187" s="403"/>
      <c r="T187" s="525" t="s">
        <v>2090</v>
      </c>
      <c r="U187" s="525" t="s">
        <v>2502</v>
      </c>
      <c r="W187" s="446" t="s">
        <v>354</v>
      </c>
      <c r="X187" s="446" t="s">
        <v>3409</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4384</v>
      </c>
      <c r="P188" s="586" t="s">
        <v>2091</v>
      </c>
      <c r="Q188" s="546"/>
      <c r="R188" s="177"/>
      <c r="S188" s="403"/>
      <c r="T188" s="525" t="s">
        <v>2015</v>
      </c>
      <c r="U188" s="525" t="s">
        <v>2189</v>
      </c>
      <c r="W188" s="446" t="s">
        <v>358</v>
      </c>
      <c r="X188" s="446" t="s">
        <v>3409</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4385</v>
      </c>
      <c r="P189" s="586" t="s">
        <v>2122</v>
      </c>
      <c r="Q189" s="546"/>
      <c r="R189" s="177"/>
      <c r="S189" s="403"/>
      <c r="T189" s="525" t="s">
        <v>2092</v>
      </c>
      <c r="U189" s="525" t="s">
        <v>330</v>
      </c>
      <c r="W189" s="446" t="s">
        <v>2306</v>
      </c>
      <c r="X189" s="446" t="s">
        <v>3409</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4386</v>
      </c>
      <c r="P190" s="586" t="s">
        <v>2124</v>
      </c>
      <c r="Q190" s="546"/>
      <c r="R190" s="177"/>
      <c r="S190" s="403"/>
      <c r="T190" s="525" t="s">
        <v>2123</v>
      </c>
      <c r="U190" s="525" t="s">
        <v>634</v>
      </c>
      <c r="W190" s="446" t="s">
        <v>1344</v>
      </c>
      <c r="X190" s="446" t="s">
        <v>3409</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4387</v>
      </c>
      <c r="P191" s="586" t="s">
        <v>2126</v>
      </c>
      <c r="Q191" s="546"/>
      <c r="R191" s="177"/>
      <c r="S191" s="403"/>
      <c r="T191" s="525" t="s">
        <v>2125</v>
      </c>
      <c r="U191" s="525" t="s">
        <v>1646</v>
      </c>
      <c r="W191" s="446" t="s">
        <v>1572</v>
      </c>
      <c r="X191" s="446" t="s">
        <v>3409</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4388</v>
      </c>
      <c r="P192" s="586" t="s">
        <v>2128</v>
      </c>
      <c r="Q192" s="546"/>
      <c r="R192" s="177"/>
      <c r="S192" s="403"/>
      <c r="T192" s="525" t="s">
        <v>2127</v>
      </c>
      <c r="U192" s="525" t="s">
        <v>198</v>
      </c>
      <c r="W192" s="446" t="s">
        <v>1576</v>
      </c>
      <c r="X192" s="446" t="s">
        <v>3409</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4389</v>
      </c>
      <c r="P193" s="586" t="s">
        <v>2556</v>
      </c>
      <c r="Q193" s="546"/>
      <c r="R193" s="177"/>
      <c r="S193" s="403"/>
      <c r="T193" s="525" t="s">
        <v>1796</v>
      </c>
      <c r="U193" s="525" t="s">
        <v>123</v>
      </c>
      <c r="W193" s="446" t="s">
        <v>1758</v>
      </c>
      <c r="X193" s="446" t="s">
        <v>3409</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4390</v>
      </c>
      <c r="P194" s="586" t="s">
        <v>1015</v>
      </c>
      <c r="Q194" s="546"/>
      <c r="R194" s="177"/>
      <c r="S194" s="403"/>
      <c r="T194" s="525" t="s">
        <v>2557</v>
      </c>
      <c r="U194" s="525" t="s">
        <v>165</v>
      </c>
      <c r="W194" s="446" t="s">
        <v>1032</v>
      </c>
      <c r="X194" s="446" t="s">
        <v>3409</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4391</v>
      </c>
      <c r="P195" s="586" t="s">
        <v>2018</v>
      </c>
      <c r="Q195" s="546"/>
      <c r="R195" s="177"/>
      <c r="S195" s="403"/>
      <c r="T195" s="525" t="s">
        <v>1016</v>
      </c>
      <c r="U195" s="525" t="s">
        <v>431</v>
      </c>
      <c r="W195" s="446" t="s">
        <v>1035</v>
      </c>
      <c r="X195" s="446" t="s">
        <v>3409</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4392</v>
      </c>
      <c r="P196" s="586" t="s">
        <v>15</v>
      </c>
      <c r="Q196" s="546"/>
      <c r="R196" s="177"/>
      <c r="S196" s="403"/>
      <c r="T196" s="525" t="s">
        <v>1326</v>
      </c>
      <c r="U196" s="525" t="s">
        <v>330</v>
      </c>
      <c r="W196" s="446" t="s">
        <v>1771</v>
      </c>
      <c r="X196" s="446" t="s">
        <v>3409</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4393</v>
      </c>
      <c r="P197" s="586" t="s">
        <v>2251</v>
      </c>
      <c r="Q197" s="546"/>
      <c r="R197" s="177"/>
      <c r="S197" s="403"/>
      <c r="T197" s="525" t="s">
        <v>16</v>
      </c>
      <c r="U197" s="525" t="s">
        <v>1679</v>
      </c>
      <c r="W197" s="446" t="s">
        <v>2080</v>
      </c>
      <c r="X197" s="446" t="s">
        <v>3409</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4394</v>
      </c>
      <c r="P198" s="586" t="s">
        <v>2253</v>
      </c>
      <c r="Q198" s="546"/>
      <c r="R198" s="177"/>
      <c r="S198" s="403"/>
      <c r="T198" s="525" t="s">
        <v>2252</v>
      </c>
      <c r="U198" s="525" t="s">
        <v>1222</v>
      </c>
      <c r="W198" s="446" t="s">
        <v>2082</v>
      </c>
      <c r="X198" s="446" t="s">
        <v>3409</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4395</v>
      </c>
      <c r="P199" s="586" t="s">
        <v>2255</v>
      </c>
      <c r="Q199" s="546"/>
      <c r="R199" s="177"/>
      <c r="S199" s="403"/>
      <c r="T199" s="292" t="s">
        <v>2254</v>
      </c>
      <c r="U199" s="292" t="s">
        <v>2260</v>
      </c>
      <c r="W199" s="446" t="s">
        <v>682</v>
      </c>
      <c r="X199" s="446" t="s">
        <v>3409</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4396</v>
      </c>
      <c r="P200" s="586" t="s">
        <v>2285</v>
      </c>
      <c r="Q200" s="546"/>
      <c r="R200" s="177"/>
      <c r="S200" s="403"/>
      <c r="T200" s="525" t="s">
        <v>2578</v>
      </c>
      <c r="U200" s="525" t="s">
        <v>634</v>
      </c>
      <c r="W200" s="446" t="s">
        <v>1259</v>
      </c>
      <c r="X200" s="446" t="s">
        <v>3409</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4397</v>
      </c>
      <c r="P201" s="586" t="s">
        <v>1786</v>
      </c>
      <c r="Q201" s="546"/>
      <c r="R201" s="177"/>
      <c r="S201" s="403"/>
      <c r="T201" s="525" t="s">
        <v>2256</v>
      </c>
      <c r="U201" s="525" t="s">
        <v>122</v>
      </c>
      <c r="W201" s="446" t="s">
        <v>1261</v>
      </c>
      <c r="X201" s="446" t="s">
        <v>3409</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4398</v>
      </c>
      <c r="P202" s="586" t="s">
        <v>1788</v>
      </c>
      <c r="Q202" s="546"/>
      <c r="R202" s="177"/>
      <c r="S202" s="403"/>
      <c r="T202" s="525" t="s">
        <v>1762</v>
      </c>
      <c r="U202" s="525" t="s">
        <v>2505</v>
      </c>
      <c r="W202" s="446" t="s">
        <v>2499</v>
      </c>
      <c r="X202" s="446" t="s">
        <v>3409</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4399</v>
      </c>
      <c r="P203" s="586" t="s">
        <v>2174</v>
      </c>
      <c r="Q203" s="546"/>
      <c r="R203" s="177"/>
      <c r="S203" s="403"/>
      <c r="T203" s="525" t="s">
        <v>1787</v>
      </c>
      <c r="U203" s="525" t="s">
        <v>1325</v>
      </c>
      <c r="W203" s="446" t="s">
        <v>2509</v>
      </c>
      <c r="X203" s="446" t="s">
        <v>3409</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4400</v>
      </c>
      <c r="P204" s="586" t="s">
        <v>2175</v>
      </c>
      <c r="Q204" s="546"/>
      <c r="R204" s="177"/>
      <c r="S204" s="403"/>
      <c r="T204" s="525" t="s">
        <v>1789</v>
      </c>
      <c r="U204" s="525" t="s">
        <v>2024</v>
      </c>
      <c r="W204" s="446" t="s">
        <v>88</v>
      </c>
      <c r="X204" s="446" t="s">
        <v>3409</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4401</v>
      </c>
      <c r="P205" s="586" t="s">
        <v>2460</v>
      </c>
      <c r="Q205" s="301"/>
      <c r="R205" s="177"/>
      <c r="S205" s="403"/>
      <c r="T205" s="525" t="s">
        <v>833</v>
      </c>
      <c r="U205" s="525" t="s">
        <v>2605</v>
      </c>
      <c r="W205" s="446" t="s">
        <v>1246</v>
      </c>
      <c r="X205" s="446" t="s">
        <v>3409</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4402</v>
      </c>
      <c r="P206" s="586" t="s">
        <v>2462</v>
      </c>
      <c r="Q206" s="301"/>
      <c r="R206" s="177"/>
      <c r="S206" s="403"/>
      <c r="T206" s="525" t="s">
        <v>2176</v>
      </c>
      <c r="U206" s="525" t="s">
        <v>2607</v>
      </c>
      <c r="W206" s="446" t="s">
        <v>162</v>
      </c>
      <c r="X206" s="446" t="s">
        <v>3409</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4403</v>
      </c>
      <c r="P207" s="586" t="s">
        <v>2464</v>
      </c>
      <c r="Q207" s="301"/>
      <c r="R207" s="177"/>
      <c r="S207" s="403"/>
      <c r="T207" s="292" t="s">
        <v>2461</v>
      </c>
      <c r="U207" s="292" t="s">
        <v>1104</v>
      </c>
      <c r="W207" s="446" t="s">
        <v>904</v>
      </c>
      <c r="X207" s="446" t="s">
        <v>3409</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4404</v>
      </c>
      <c r="P208" s="586" t="s">
        <v>2466</v>
      </c>
      <c r="Q208" s="301"/>
      <c r="R208" s="177"/>
      <c r="S208" s="403"/>
      <c r="T208" s="525" t="s">
        <v>2579</v>
      </c>
      <c r="U208" s="525" t="s">
        <v>321</v>
      </c>
      <c r="W208" s="446" t="s">
        <v>2156</v>
      </c>
      <c r="X208" s="446" t="s">
        <v>3409</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4405</v>
      </c>
      <c r="P209" s="586" t="s">
        <v>2467</v>
      </c>
      <c r="Q209" s="301"/>
      <c r="R209" s="177"/>
      <c r="S209" s="403"/>
      <c r="T209" s="525" t="s">
        <v>2463</v>
      </c>
      <c r="U209" s="525" t="s">
        <v>1935</v>
      </c>
      <c r="W209" s="446" t="s">
        <v>2074</v>
      </c>
      <c r="X209" s="446" t="s">
        <v>3409</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4406</v>
      </c>
      <c r="P210" s="586" t="s">
        <v>2246</v>
      </c>
      <c r="Q210" s="301"/>
      <c r="R210" s="177"/>
      <c r="S210" s="403"/>
      <c r="T210" s="525" t="s">
        <v>2465</v>
      </c>
      <c r="U210" s="525" t="s">
        <v>883</v>
      </c>
      <c r="W210" s="446" t="s">
        <v>605</v>
      </c>
      <c r="X210" s="446" t="s">
        <v>3409</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4407</v>
      </c>
      <c r="P211" s="586" t="s">
        <v>715</v>
      </c>
      <c r="Q211" s="301"/>
      <c r="R211" s="177"/>
      <c r="S211" s="403"/>
      <c r="T211" s="525" t="s">
        <v>2468</v>
      </c>
      <c r="U211" s="525" t="s">
        <v>160</v>
      </c>
      <c r="W211" s="446" t="s">
        <v>607</v>
      </c>
      <c r="X211" s="446" t="s">
        <v>3409</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4408</v>
      </c>
      <c r="P212" s="586" t="s">
        <v>717</v>
      </c>
      <c r="Q212" s="301"/>
      <c r="R212" s="177"/>
      <c r="S212" s="403"/>
      <c r="T212" s="525" t="s">
        <v>2247</v>
      </c>
      <c r="U212" s="525" t="s">
        <v>661</v>
      </c>
      <c r="W212" s="446" t="s">
        <v>2549</v>
      </c>
      <c r="X212" s="446" t="s">
        <v>3409</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4409</v>
      </c>
      <c r="P213" s="586" t="s">
        <v>719</v>
      </c>
      <c r="Q213" s="301"/>
      <c r="R213" s="177"/>
      <c r="S213" s="403"/>
      <c r="T213" s="525" t="s">
        <v>716</v>
      </c>
      <c r="U213" s="525" t="s">
        <v>2497</v>
      </c>
      <c r="W213" s="446" t="s">
        <v>611</v>
      </c>
      <c r="X213" s="446" t="s">
        <v>3409</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4410</v>
      </c>
      <c r="P214" s="586" t="s">
        <v>721</v>
      </c>
      <c r="Q214" s="301"/>
      <c r="R214" s="177"/>
      <c r="S214" s="403"/>
      <c r="T214" s="525" t="s">
        <v>718</v>
      </c>
      <c r="U214" s="525" t="s">
        <v>1119</v>
      </c>
      <c r="W214" s="446" t="s">
        <v>551</v>
      </c>
      <c r="X214" s="446" t="s">
        <v>3409</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4411</v>
      </c>
      <c r="P215" s="586" t="s">
        <v>2238</v>
      </c>
      <c r="Q215" s="301"/>
      <c r="R215" s="177"/>
      <c r="S215" s="403"/>
      <c r="T215" s="292" t="s">
        <v>720</v>
      </c>
      <c r="U215" s="292" t="s">
        <v>2607</v>
      </c>
      <c r="W215" s="446" t="s">
        <v>754</v>
      </c>
      <c r="X215" s="446" t="s">
        <v>3409</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4412</v>
      </c>
      <c r="P216" s="586" t="s">
        <v>2239</v>
      </c>
      <c r="Q216" s="301"/>
      <c r="R216" s="177"/>
      <c r="S216" s="403"/>
      <c r="T216" s="525" t="s">
        <v>2580</v>
      </c>
      <c r="U216" s="525" t="s">
        <v>2499</v>
      </c>
      <c r="W216" s="446" t="s">
        <v>38</v>
      </c>
      <c r="X216" s="446" t="s">
        <v>3409</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4413</v>
      </c>
      <c r="P217" s="586" t="s">
        <v>2241</v>
      </c>
      <c r="Q217" s="301"/>
      <c r="R217" s="177"/>
      <c r="S217" s="403"/>
      <c r="T217" s="525" t="s">
        <v>2240</v>
      </c>
      <c r="U217" s="525" t="s">
        <v>1679</v>
      </c>
      <c r="W217" s="446" t="s">
        <v>1983</v>
      </c>
      <c r="X217" s="446" t="s">
        <v>3409</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4414</v>
      </c>
      <c r="P218" s="586" t="s">
        <v>690</v>
      </c>
      <c r="Q218" s="301"/>
      <c r="R218" s="177"/>
      <c r="S218" s="403"/>
      <c r="T218" s="525" t="s">
        <v>2242</v>
      </c>
      <c r="U218" s="525" t="s">
        <v>2601</v>
      </c>
      <c r="W218" s="446" t="s">
        <v>337</v>
      </c>
      <c r="X218" s="446" t="s">
        <v>3409</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4415</v>
      </c>
      <c r="P219" s="586" t="s">
        <v>797</v>
      </c>
      <c r="Q219" s="301"/>
      <c r="R219" s="177"/>
      <c r="S219" s="403"/>
      <c r="T219" s="525" t="s">
        <v>691</v>
      </c>
      <c r="U219" s="525" t="s">
        <v>741</v>
      </c>
      <c r="W219" s="446" t="s">
        <v>345</v>
      </c>
      <c r="X219" s="446" t="s">
        <v>3409</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4416</v>
      </c>
      <c r="P220" s="586" t="s">
        <v>2287</v>
      </c>
      <c r="Q220" s="301"/>
      <c r="R220" s="177"/>
      <c r="S220" s="403"/>
      <c r="T220" s="525" t="s">
        <v>2286</v>
      </c>
      <c r="U220" s="525" t="s">
        <v>318</v>
      </c>
      <c r="W220" s="446" t="s">
        <v>197</v>
      </c>
      <c r="X220" s="446" t="s">
        <v>3409</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4417</v>
      </c>
      <c r="P221" s="586" t="s">
        <v>2316</v>
      </c>
      <c r="Q221" s="301"/>
      <c r="R221" s="177"/>
      <c r="S221" s="403"/>
      <c r="T221" s="525" t="s">
        <v>2347</v>
      </c>
      <c r="U221" s="525" t="s">
        <v>887</v>
      </c>
      <c r="W221" s="446" t="s">
        <v>2171</v>
      </c>
      <c r="X221" s="446" t="s">
        <v>3409</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4418</v>
      </c>
      <c r="P222" s="586" t="s">
        <v>46</v>
      </c>
      <c r="Q222" s="301"/>
      <c r="R222" s="177"/>
      <c r="S222" s="403"/>
      <c r="T222" s="525" t="s">
        <v>47</v>
      </c>
      <c r="U222" s="525" t="s">
        <v>325</v>
      </c>
      <c r="W222" s="446" t="s">
        <v>198</v>
      </c>
      <c r="X222" s="446" t="s">
        <v>3409</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4419</v>
      </c>
      <c r="P223" s="586" t="s">
        <v>639</v>
      </c>
      <c r="Q223" s="301"/>
      <c r="R223" s="177"/>
      <c r="S223" s="403"/>
      <c r="T223" s="525" t="s">
        <v>640</v>
      </c>
      <c r="U223" s="525" t="s">
        <v>2609</v>
      </c>
      <c r="W223" s="446" t="s">
        <v>384</v>
      </c>
      <c r="X223" s="446" t="s">
        <v>3409</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4420</v>
      </c>
      <c r="P224" s="586" t="s">
        <v>306</v>
      </c>
      <c r="Q224" s="301"/>
      <c r="R224" s="177"/>
      <c r="S224" s="403"/>
      <c r="T224" s="525" t="s">
        <v>307</v>
      </c>
      <c r="U224" s="525" t="s">
        <v>316</v>
      </c>
      <c r="W224" s="446" t="s">
        <v>882</v>
      </c>
      <c r="X224" s="446" t="s">
        <v>3409</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4421</v>
      </c>
      <c r="P225" s="586" t="s">
        <v>2385</v>
      </c>
      <c r="Q225" s="301"/>
      <c r="R225" s="177"/>
      <c r="S225" s="403"/>
      <c r="T225" s="525" t="s">
        <v>2386</v>
      </c>
      <c r="U225" s="525" t="s">
        <v>198</v>
      </c>
      <c r="W225" s="446" t="s">
        <v>1939</v>
      </c>
      <c r="X225" s="446" t="s">
        <v>3409</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4422</v>
      </c>
      <c r="P226" s="586" t="s">
        <v>2408</v>
      </c>
      <c r="Q226" s="301"/>
      <c r="R226" s="177"/>
      <c r="S226" s="403"/>
      <c r="T226" s="525" t="s">
        <v>2409</v>
      </c>
      <c r="U226" s="525" t="s">
        <v>1678</v>
      </c>
      <c r="W226" s="446" t="s">
        <v>1943</v>
      </c>
      <c r="X226" s="446" t="s">
        <v>3409</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4423</v>
      </c>
      <c r="P227" s="586" t="s">
        <v>2410</v>
      </c>
      <c r="Q227" s="301"/>
      <c r="R227" s="177"/>
      <c r="S227" s="403"/>
      <c r="T227" s="525" t="s">
        <v>2865</v>
      </c>
      <c r="U227" s="525" t="s">
        <v>634</v>
      </c>
      <c r="W227" s="446" t="s">
        <v>724</v>
      </c>
      <c r="X227" s="446" t="s">
        <v>3409</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4424</v>
      </c>
      <c r="P228" s="586" t="s">
        <v>2411</v>
      </c>
      <c r="Q228" s="301"/>
      <c r="R228" s="177"/>
      <c r="S228" s="403"/>
      <c r="T228" s="525" t="s">
        <v>635</v>
      </c>
      <c r="U228" s="525" t="s">
        <v>1339</v>
      </c>
      <c r="W228" s="446" t="s">
        <v>1150</v>
      </c>
      <c r="X228" s="446" t="s">
        <v>3409</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4425</v>
      </c>
      <c r="P229" s="586" t="s">
        <v>2377</v>
      </c>
      <c r="Q229" s="301"/>
      <c r="R229" s="177"/>
      <c r="S229" s="403"/>
      <c r="T229" s="525" t="s">
        <v>1336</v>
      </c>
      <c r="U229" s="525" t="s">
        <v>663</v>
      </c>
      <c r="W229" s="446" t="s">
        <v>1152</v>
      </c>
      <c r="X229" s="446" t="s">
        <v>3409</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4426</v>
      </c>
      <c r="P230" s="586" t="s">
        <v>10</v>
      </c>
      <c r="Q230" s="301"/>
      <c r="R230" s="177"/>
      <c r="S230" s="403"/>
      <c r="T230" s="525" t="s">
        <v>2378</v>
      </c>
      <c r="U230" s="525" t="s">
        <v>2503</v>
      </c>
      <c r="W230" s="446" t="s">
        <v>1154</v>
      </c>
      <c r="X230" s="446" t="s">
        <v>3409</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4427</v>
      </c>
      <c r="P231" s="586" t="s">
        <v>12</v>
      </c>
      <c r="Q231" s="301"/>
      <c r="R231" s="177"/>
      <c r="S231" s="403"/>
      <c r="T231" s="525" t="s">
        <v>11</v>
      </c>
      <c r="U231" s="525" t="s">
        <v>672</v>
      </c>
      <c r="W231" s="446" t="s">
        <v>2531</v>
      </c>
      <c r="X231" s="446" t="s">
        <v>3409</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4428</v>
      </c>
      <c r="P232" s="586" t="s">
        <v>57</v>
      </c>
      <c r="Q232" s="301"/>
      <c r="R232" s="177"/>
      <c r="S232" s="403"/>
      <c r="T232" s="525" t="s">
        <v>13</v>
      </c>
      <c r="U232" s="525" t="s">
        <v>316</v>
      </c>
      <c r="W232" s="446" t="s">
        <v>459</v>
      </c>
      <c r="X232" s="446" t="s">
        <v>3409</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4429</v>
      </c>
      <c r="P233" s="586" t="s">
        <v>59</v>
      </c>
      <c r="Q233" s="301"/>
      <c r="R233" s="177"/>
      <c r="S233" s="403"/>
      <c r="T233" s="525" t="s">
        <v>58</v>
      </c>
      <c r="U233" s="525" t="s">
        <v>2601</v>
      </c>
      <c r="W233" s="446" t="s">
        <v>303</v>
      </c>
      <c r="X233" s="446" t="s">
        <v>3409</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4430</v>
      </c>
      <c r="P234" s="586" t="s">
        <v>61</v>
      </c>
      <c r="Q234" s="301"/>
      <c r="R234" s="177"/>
      <c r="S234" s="403"/>
      <c r="T234" s="525" t="s">
        <v>60</v>
      </c>
      <c r="U234" s="525" t="s">
        <v>359</v>
      </c>
      <c r="W234" s="446" t="s">
        <v>1839</v>
      </c>
      <c r="X234" s="446" t="s">
        <v>3409</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4431</v>
      </c>
      <c r="P235" s="586" t="s">
        <v>353</v>
      </c>
      <c r="Q235" s="301"/>
      <c r="R235" s="177"/>
      <c r="S235" s="403"/>
      <c r="T235" s="525" t="s">
        <v>62</v>
      </c>
      <c r="U235" s="525" t="s">
        <v>122</v>
      </c>
      <c r="W235" s="446" t="s">
        <v>1841</v>
      </c>
      <c r="X235" s="446" t="s">
        <v>3409</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4432</v>
      </c>
      <c r="P236" s="586" t="s">
        <v>355</v>
      </c>
      <c r="Q236" s="301"/>
      <c r="R236" s="177"/>
      <c r="S236" s="403"/>
      <c r="T236" s="525" t="s">
        <v>354</v>
      </c>
      <c r="U236" s="525" t="s">
        <v>2201</v>
      </c>
      <c r="W236" s="446" t="s">
        <v>1910</v>
      </c>
      <c r="X236" s="446" t="s">
        <v>3409</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4433</v>
      </c>
      <c r="P237" s="586" t="s">
        <v>357</v>
      </c>
      <c r="Q237" s="301"/>
      <c r="R237" s="177"/>
      <c r="S237" s="403"/>
      <c r="T237" s="525" t="s">
        <v>356</v>
      </c>
      <c r="U237" s="525" t="s">
        <v>962</v>
      </c>
      <c r="W237" s="446" t="s">
        <v>2260</v>
      </c>
      <c r="X237" s="446" t="s">
        <v>3409</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4434</v>
      </c>
      <c r="P238" s="586" t="s">
        <v>2305</v>
      </c>
      <c r="Q238" s="301"/>
      <c r="R238" s="177"/>
      <c r="S238" s="403"/>
      <c r="T238" s="525" t="s">
        <v>358</v>
      </c>
      <c r="U238" s="525" t="s">
        <v>1101</v>
      </c>
      <c r="W238" s="446" t="s">
        <v>422</v>
      </c>
      <c r="X238" s="446" t="s">
        <v>3409</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4435</v>
      </c>
      <c r="P239" s="586" t="s">
        <v>2307</v>
      </c>
      <c r="Q239" s="301"/>
      <c r="R239" s="177"/>
      <c r="S239" s="403"/>
      <c r="T239" s="525" t="s">
        <v>636</v>
      </c>
      <c r="U239" s="525" t="s">
        <v>1465</v>
      </c>
      <c r="W239" s="446" t="s">
        <v>2297</v>
      </c>
      <c r="X239" s="446" t="s">
        <v>3409</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4436</v>
      </c>
      <c r="P240" s="586" t="s">
        <v>2308</v>
      </c>
      <c r="Q240" s="301"/>
      <c r="R240" s="177"/>
      <c r="S240" s="403"/>
      <c r="T240" s="525" t="s">
        <v>2306</v>
      </c>
      <c r="U240" s="525" t="s">
        <v>675</v>
      </c>
      <c r="W240" s="446" t="s">
        <v>3399</v>
      </c>
      <c r="X240" s="446" t="s">
        <v>3409</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4437</v>
      </c>
      <c r="P241" s="586" t="s">
        <v>2309</v>
      </c>
      <c r="Q241" s="301"/>
      <c r="R241" s="177"/>
      <c r="S241" s="403"/>
      <c r="T241" s="525" t="s">
        <v>1344</v>
      </c>
      <c r="U241" s="525" t="s">
        <v>673</v>
      </c>
      <c r="W241" s="446" t="s">
        <v>680</v>
      </c>
      <c r="X241" s="446" t="s">
        <v>3409</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4438</v>
      </c>
      <c r="P242" s="586" t="s">
        <v>1571</v>
      </c>
      <c r="Q242" s="301"/>
      <c r="R242" s="177"/>
      <c r="S242" s="403"/>
      <c r="T242" s="525" t="s">
        <v>2866</v>
      </c>
      <c r="U242" s="525" t="s">
        <v>675</v>
      </c>
      <c r="W242" s="446" t="s">
        <v>2404</v>
      </c>
      <c r="X242" s="446" t="s">
        <v>3409</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4439</v>
      </c>
      <c r="P243" s="586" t="s">
        <v>1573</v>
      </c>
      <c r="Q243" s="301"/>
      <c r="R243" s="177"/>
      <c r="S243" s="403"/>
      <c r="T243" s="525" t="s">
        <v>2310</v>
      </c>
      <c r="U243" s="525" t="s">
        <v>105</v>
      </c>
      <c r="W243" s="446" t="s">
        <v>222</v>
      </c>
      <c r="X243" s="446" t="s">
        <v>3409</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3766</v>
      </c>
      <c r="L244" s="1082" t="s">
        <v>426</v>
      </c>
      <c r="M244" s="2902" t="s">
        <v>2616</v>
      </c>
      <c r="N244" s="2902" t="s">
        <v>1342</v>
      </c>
      <c r="O244" s="2901" t="s">
        <v>4440</v>
      </c>
      <c r="P244" s="586" t="s">
        <v>1575</v>
      </c>
      <c r="Q244" s="301"/>
      <c r="R244" s="177"/>
      <c r="S244" s="403"/>
      <c r="T244" s="525" t="s">
        <v>1572</v>
      </c>
      <c r="U244" s="525" t="s">
        <v>1646</v>
      </c>
      <c r="W244" s="446" t="s">
        <v>665</v>
      </c>
      <c r="X244" s="446" t="s">
        <v>3409</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4441</v>
      </c>
      <c r="P245" s="586" t="s">
        <v>1577</v>
      </c>
      <c r="Q245" s="301"/>
      <c r="R245" s="177"/>
      <c r="S245" s="403"/>
      <c r="T245" s="525" t="s">
        <v>2581</v>
      </c>
      <c r="U245" s="525" t="s">
        <v>634</v>
      </c>
      <c r="W245" s="446" t="s">
        <v>236</v>
      </c>
      <c r="X245" s="446" t="s">
        <v>3409</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4442</v>
      </c>
      <c r="P246" s="586" t="s">
        <v>1579</v>
      </c>
      <c r="Q246" s="301"/>
      <c r="R246" s="177"/>
      <c r="S246" s="403"/>
      <c r="T246" s="525" t="s">
        <v>1574</v>
      </c>
      <c r="U246" s="525" t="s">
        <v>666</v>
      </c>
      <c r="W246" s="446" t="s">
        <v>666</v>
      </c>
      <c r="X246" s="446" t="s">
        <v>3409</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4443</v>
      </c>
      <c r="P247" s="586" t="s">
        <v>1755</v>
      </c>
      <c r="Q247" s="301"/>
      <c r="R247" s="177"/>
      <c r="S247" s="403"/>
      <c r="T247" s="525" t="s">
        <v>2867</v>
      </c>
      <c r="U247" s="525" t="s">
        <v>2258</v>
      </c>
      <c r="W247" s="446" t="s">
        <v>795</v>
      </c>
      <c r="X247" s="446" t="s">
        <v>3409</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4444</v>
      </c>
      <c r="P248" s="586" t="s">
        <v>1757</v>
      </c>
      <c r="Q248" s="301"/>
      <c r="R248" s="177"/>
      <c r="S248" s="403"/>
      <c r="T248" s="525" t="s">
        <v>1576</v>
      </c>
      <c r="U248" s="525" t="s">
        <v>165</v>
      </c>
      <c r="W248" s="446" t="s">
        <v>3400</v>
      </c>
      <c r="X248" s="446" t="s">
        <v>3409</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4445</v>
      </c>
      <c r="P249" s="586" t="s">
        <v>1759</v>
      </c>
      <c r="Q249" s="301"/>
      <c r="R249" s="177"/>
      <c r="S249" s="403"/>
      <c r="T249" s="525" t="s">
        <v>1578</v>
      </c>
      <c r="U249" s="525" t="s">
        <v>1325</v>
      </c>
      <c r="W249" s="446" t="s">
        <v>3401</v>
      </c>
      <c r="X249" s="446" t="s">
        <v>3409</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4446</v>
      </c>
      <c r="P250" s="586" t="s">
        <v>1033</v>
      </c>
      <c r="Q250" s="301"/>
      <c r="R250" s="177"/>
      <c r="S250" s="403"/>
      <c r="T250" s="525" t="s">
        <v>1580</v>
      </c>
      <c r="U250" s="525" t="s">
        <v>180</v>
      </c>
      <c r="W250" s="446" t="s">
        <v>1233</v>
      </c>
      <c r="X250" s="446" t="s">
        <v>3409</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4447</v>
      </c>
      <c r="P251" s="586" t="s">
        <v>1034</v>
      </c>
      <c r="Q251" s="301"/>
      <c r="R251" s="177"/>
      <c r="S251" s="403"/>
      <c r="T251" s="525" t="s">
        <v>1756</v>
      </c>
      <c r="U251" s="525" t="s">
        <v>666</v>
      </c>
      <c r="W251" s="446" t="s">
        <v>686</v>
      </c>
      <c r="X251" s="446" t="s">
        <v>3409</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4448</v>
      </c>
      <c r="P252" s="586" t="s">
        <v>238</v>
      </c>
      <c r="Q252" s="301"/>
      <c r="R252" s="177"/>
      <c r="S252" s="403"/>
      <c r="T252" s="525" t="s">
        <v>1758</v>
      </c>
      <c r="U252" s="525" t="s">
        <v>741</v>
      </c>
      <c r="W252" s="446" t="s">
        <v>673</v>
      </c>
      <c r="X252" s="446" t="s">
        <v>3409</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4449</v>
      </c>
      <c r="P253" s="586" t="s">
        <v>240</v>
      </c>
      <c r="Q253" s="301"/>
      <c r="R253" s="177"/>
      <c r="S253" s="403"/>
      <c r="T253" s="525" t="s">
        <v>1032</v>
      </c>
      <c r="U253" s="525" t="s">
        <v>1326</v>
      </c>
      <c r="W253" s="446" t="s">
        <v>990</v>
      </c>
      <c r="X253" s="446" t="s">
        <v>3409</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4450</v>
      </c>
      <c r="P254" s="586" t="s">
        <v>1275</v>
      </c>
      <c r="Q254" s="301"/>
      <c r="R254" s="177"/>
      <c r="S254" s="403"/>
      <c r="T254" s="525" t="s">
        <v>1035</v>
      </c>
      <c r="U254" s="525" t="s">
        <v>664</v>
      </c>
      <c r="W254" s="446" t="s">
        <v>994</v>
      </c>
      <c r="X254" s="446" t="s">
        <v>3409</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4451</v>
      </c>
      <c r="P255" s="586" t="s">
        <v>2075</v>
      </c>
      <c r="Q255" s="301"/>
      <c r="R255" s="177"/>
      <c r="S255" s="403"/>
      <c r="T255" s="525" t="s">
        <v>239</v>
      </c>
      <c r="U255" s="525" t="s">
        <v>2546</v>
      </c>
      <c r="W255" s="446" t="s">
        <v>996</v>
      </c>
      <c r="X255" s="446" t="s">
        <v>3409</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4452</v>
      </c>
      <c r="P256" s="586" t="s">
        <v>2077</v>
      </c>
      <c r="Q256" s="301"/>
      <c r="R256" s="177"/>
      <c r="S256" s="403"/>
      <c r="T256" s="525" t="s">
        <v>2868</v>
      </c>
      <c r="U256" s="525" t="s">
        <v>883</v>
      </c>
      <c r="W256" s="446" t="s">
        <v>579</v>
      </c>
      <c r="X256" s="446" t="s">
        <v>3409</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4453</v>
      </c>
      <c r="P257" s="586" t="s">
        <v>2079</v>
      </c>
      <c r="Q257" s="301"/>
      <c r="R257" s="177"/>
      <c r="S257" s="403"/>
      <c r="T257" s="292" t="s">
        <v>1771</v>
      </c>
      <c r="U257" s="292" t="s">
        <v>1107</v>
      </c>
      <c r="W257" s="446" t="s">
        <v>374</v>
      </c>
      <c r="X257" s="446" t="s">
        <v>3409</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3765</v>
      </c>
      <c r="L258" s="1082" t="s">
        <v>426</v>
      </c>
      <c r="M258" s="2902" t="s">
        <v>2616</v>
      </c>
      <c r="N258" s="2902" t="s">
        <v>1217</v>
      </c>
      <c r="O258" s="2901" t="s">
        <v>4454</v>
      </c>
      <c r="P258" s="586" t="s">
        <v>2081</v>
      </c>
      <c r="Q258" s="301"/>
      <c r="R258" s="177"/>
      <c r="S258" s="403"/>
      <c r="T258" s="525" t="s">
        <v>2076</v>
      </c>
      <c r="U258" s="525" t="s">
        <v>322</v>
      </c>
      <c r="W258" s="446" t="s">
        <v>1607</v>
      </c>
      <c r="X258" s="446" t="s">
        <v>3409</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4455</v>
      </c>
      <c r="P259" s="586" t="s">
        <v>2083</v>
      </c>
      <c r="Q259" s="301"/>
      <c r="R259" s="177"/>
      <c r="S259" s="403"/>
      <c r="T259" s="525" t="s">
        <v>2078</v>
      </c>
      <c r="U259" s="525" t="s">
        <v>320</v>
      </c>
      <c r="W259" s="446" t="s">
        <v>1018</v>
      </c>
      <c r="X259" s="446" t="s">
        <v>3409</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4456</v>
      </c>
      <c r="P260" s="586" t="s">
        <v>2085</v>
      </c>
      <c r="Q260" s="301"/>
      <c r="R260" s="177"/>
      <c r="S260" s="403"/>
      <c r="T260" s="525" t="s">
        <v>2080</v>
      </c>
      <c r="U260" s="525" t="s">
        <v>634</v>
      </c>
      <c r="W260" s="446" t="s">
        <v>1020</v>
      </c>
      <c r="X260" s="446" t="s">
        <v>3409</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4457</v>
      </c>
      <c r="P261" s="586" t="s">
        <v>681</v>
      </c>
      <c r="Q261" s="301"/>
      <c r="R261" s="177"/>
      <c r="S261" s="403"/>
      <c r="T261" s="525" t="s">
        <v>2082</v>
      </c>
      <c r="U261" s="525" t="s">
        <v>2603</v>
      </c>
      <c r="W261" s="446" t="s">
        <v>1692</v>
      </c>
      <c r="X261" s="446" t="s">
        <v>3409</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4458</v>
      </c>
      <c r="P262" s="586" t="s">
        <v>2344</v>
      </c>
      <c r="Q262" s="301"/>
      <c r="R262" s="177"/>
      <c r="S262" s="403"/>
      <c r="T262" s="525" t="s">
        <v>695</v>
      </c>
      <c r="U262" s="525" t="s">
        <v>1218</v>
      </c>
      <c r="W262" s="446" t="s">
        <v>874</v>
      </c>
      <c r="X262" s="446" t="s">
        <v>3409</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4459</v>
      </c>
      <c r="P263" s="586" t="s">
        <v>2345</v>
      </c>
      <c r="Q263" s="301"/>
      <c r="R263" s="177"/>
      <c r="S263" s="403"/>
      <c r="T263" s="525" t="s">
        <v>2582</v>
      </c>
      <c r="U263" s="525" t="s">
        <v>2023</v>
      </c>
      <c r="W263" s="446" t="s">
        <v>1753</v>
      </c>
      <c r="X263" s="446" t="s">
        <v>3409</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4460</v>
      </c>
      <c r="P264" s="586" t="s">
        <v>1258</v>
      </c>
      <c r="Q264" s="301"/>
      <c r="R264" s="177"/>
      <c r="S264" s="403"/>
      <c r="T264" s="525" t="s">
        <v>2084</v>
      </c>
      <c r="U264" s="525" t="s">
        <v>201</v>
      </c>
      <c r="W264" s="446" t="s">
        <v>637</v>
      </c>
      <c r="X264" s="446" t="s">
        <v>3409</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4461</v>
      </c>
      <c r="P265" s="586" t="s">
        <v>1260</v>
      </c>
      <c r="Q265" s="301"/>
      <c r="R265" s="177"/>
      <c r="S265" s="403"/>
      <c r="T265" s="525" t="s">
        <v>2869</v>
      </c>
      <c r="U265" s="525" t="s">
        <v>668</v>
      </c>
      <c r="W265" s="446" t="s">
        <v>2304</v>
      </c>
      <c r="X265" s="446" t="s">
        <v>3409</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4462</v>
      </c>
      <c r="P266" s="586" t="s">
        <v>1262</v>
      </c>
      <c r="Q266" s="301"/>
      <c r="R266" s="177"/>
      <c r="S266" s="403"/>
      <c r="T266" s="525" t="s">
        <v>2086</v>
      </c>
      <c r="U266" s="525" t="s">
        <v>201</v>
      </c>
      <c r="W266" s="446" t="s">
        <v>1043</v>
      </c>
      <c r="X266" s="446" t="s">
        <v>3409</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4463</v>
      </c>
      <c r="P267" s="586" t="s">
        <v>1263</v>
      </c>
      <c r="Q267" s="301"/>
      <c r="R267" s="177"/>
      <c r="S267" s="403"/>
      <c r="T267" s="525" t="s">
        <v>682</v>
      </c>
      <c r="U267" s="525" t="s">
        <v>2023</v>
      </c>
      <c r="W267" s="446" t="s">
        <v>1959</v>
      </c>
      <c r="X267" s="446" t="s">
        <v>3409</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4464</v>
      </c>
      <c r="P268" s="586" t="s">
        <v>1265</v>
      </c>
      <c r="Q268" s="301"/>
      <c r="R268" s="177"/>
      <c r="S268" s="403"/>
      <c r="T268" s="525" t="s">
        <v>2346</v>
      </c>
      <c r="U268" s="525" t="s">
        <v>123</v>
      </c>
      <c r="W268" s="446" t="s">
        <v>497</v>
      </c>
      <c r="X268" s="446" t="s">
        <v>3409</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4465</v>
      </c>
      <c r="P269" s="586" t="s">
        <v>2510</v>
      </c>
      <c r="Q269" s="301"/>
      <c r="R269" s="177"/>
      <c r="S269" s="403"/>
      <c r="T269" s="525" t="s">
        <v>1259</v>
      </c>
      <c r="U269" s="525" t="s">
        <v>634</v>
      </c>
      <c r="W269" s="446" t="s">
        <v>1659</v>
      </c>
      <c r="X269" s="446" t="s">
        <v>3409</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4466</v>
      </c>
      <c r="P270" s="586" t="s">
        <v>83</v>
      </c>
      <c r="Q270" s="301"/>
      <c r="R270" s="177"/>
      <c r="S270" s="403"/>
      <c r="T270" s="525" t="s">
        <v>1261</v>
      </c>
      <c r="U270" s="525" t="s">
        <v>2260</v>
      </c>
      <c r="W270" s="446" t="s">
        <v>952</v>
      </c>
      <c r="X270" s="446" t="s">
        <v>3409</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4467</v>
      </c>
      <c r="P271" s="586" t="s">
        <v>84</v>
      </c>
      <c r="Q271" s="301"/>
      <c r="R271" s="177"/>
      <c r="S271" s="403"/>
      <c r="T271" s="525" t="s">
        <v>2499</v>
      </c>
      <c r="U271" s="525" t="s">
        <v>1115</v>
      </c>
      <c r="W271" s="446" t="s">
        <v>2323</v>
      </c>
      <c r="X271" s="446" t="s">
        <v>3409</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4468</v>
      </c>
      <c r="P272" s="586" t="s">
        <v>85</v>
      </c>
      <c r="Q272" s="301"/>
      <c r="R272" s="177"/>
      <c r="S272" s="403"/>
      <c r="T272" s="525" t="s">
        <v>1264</v>
      </c>
      <c r="U272" s="525" t="s">
        <v>313</v>
      </c>
      <c r="W272" s="446" t="s">
        <v>325</v>
      </c>
      <c r="X272" s="446" t="s">
        <v>3409</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4469</v>
      </c>
      <c r="P273" s="586" t="s">
        <v>87</v>
      </c>
      <c r="Q273" s="301"/>
      <c r="R273" s="177"/>
      <c r="S273" s="403"/>
      <c r="T273" s="525" t="s">
        <v>2509</v>
      </c>
      <c r="U273" s="525" t="s">
        <v>115</v>
      </c>
      <c r="W273" s="446" t="s">
        <v>327</v>
      </c>
      <c r="X273" s="446" t="s">
        <v>3409</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4470</v>
      </c>
      <c r="P274" s="586" t="s">
        <v>1239</v>
      </c>
      <c r="Q274" s="301"/>
      <c r="R274" s="177"/>
      <c r="S274" s="403"/>
      <c r="T274" s="525" t="s">
        <v>82</v>
      </c>
      <c r="U274" s="525" t="s">
        <v>198</v>
      </c>
      <c r="W274" s="446" t="s">
        <v>330</v>
      </c>
      <c r="X274" s="446" t="s">
        <v>3409</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4471</v>
      </c>
      <c r="P275" s="586" t="s">
        <v>1241</v>
      </c>
      <c r="Q275" s="301"/>
      <c r="R275" s="177"/>
      <c r="S275" s="403"/>
      <c r="T275" s="525" t="s">
        <v>86</v>
      </c>
      <c r="U275" s="525" t="s">
        <v>2199</v>
      </c>
      <c r="W275" s="446" t="s">
        <v>1769</v>
      </c>
      <c r="X275" s="446" t="s">
        <v>3409</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4472</v>
      </c>
      <c r="P276" s="586" t="s">
        <v>1243</v>
      </c>
      <c r="Q276" s="301"/>
      <c r="R276" s="177"/>
      <c r="S276" s="403"/>
      <c r="T276" s="525" t="s">
        <v>88</v>
      </c>
      <c r="U276" s="525" t="s">
        <v>1333</v>
      </c>
      <c r="W276" s="446" t="s">
        <v>698</v>
      </c>
      <c r="X276" s="446" t="s">
        <v>3409</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4473</v>
      </c>
      <c r="P277" s="586" t="s">
        <v>1245</v>
      </c>
      <c r="Q277" s="301"/>
      <c r="R277" s="177"/>
      <c r="S277" s="403"/>
      <c r="T277" s="525" t="s">
        <v>1240</v>
      </c>
      <c r="U277" s="525" t="s">
        <v>1965</v>
      </c>
      <c r="W277" s="446" t="s">
        <v>2369</v>
      </c>
      <c r="X277" s="446" t="s">
        <v>3409</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4474</v>
      </c>
      <c r="P278" s="586" t="s">
        <v>1247</v>
      </c>
      <c r="Q278" s="301"/>
      <c r="R278" s="177"/>
      <c r="S278" s="403"/>
      <c r="T278" s="525" t="s">
        <v>1242</v>
      </c>
      <c r="U278" s="525" t="s">
        <v>180</v>
      </c>
      <c r="W278" s="446" t="s">
        <v>479</v>
      </c>
      <c r="X278" s="446" t="s">
        <v>3409</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4475</v>
      </c>
      <c r="P279" s="586" t="s">
        <v>1249</v>
      </c>
      <c r="Q279" s="301"/>
      <c r="R279" s="177"/>
      <c r="S279" s="403"/>
      <c r="T279" s="525" t="s">
        <v>1244</v>
      </c>
      <c r="U279" s="525" t="s">
        <v>1117</v>
      </c>
      <c r="W279" s="446" t="s">
        <v>3402</v>
      </c>
      <c r="X279" s="446" t="s">
        <v>3409</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4476</v>
      </c>
      <c r="P280" s="586" t="s">
        <v>900</v>
      </c>
      <c r="Q280" s="301"/>
      <c r="R280" s="177"/>
      <c r="S280" s="403"/>
      <c r="T280" s="292" t="s">
        <v>1246</v>
      </c>
      <c r="U280" s="292" t="s">
        <v>1218</v>
      </c>
      <c r="W280" s="446" t="s">
        <v>3403</v>
      </c>
      <c r="X280" s="446" t="s">
        <v>3409</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4477</v>
      </c>
      <c r="P281" s="586" t="s">
        <v>901</v>
      </c>
      <c r="Q281" s="301"/>
      <c r="R281" s="177"/>
      <c r="S281" s="403"/>
      <c r="T281" s="525" t="s">
        <v>1248</v>
      </c>
      <c r="U281" s="525" t="s">
        <v>2199</v>
      </c>
      <c r="W281" s="446" t="s">
        <v>79</v>
      </c>
      <c r="X281" s="446" t="s">
        <v>3409</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4478</v>
      </c>
      <c r="P282" s="586" t="s">
        <v>903</v>
      </c>
      <c r="Q282" s="301"/>
      <c r="R282" s="177"/>
      <c r="S282" s="403"/>
      <c r="T282" s="525" t="s">
        <v>2505</v>
      </c>
      <c r="U282" s="525" t="s">
        <v>1644</v>
      </c>
      <c r="W282" s="446" t="s">
        <v>2429</v>
      </c>
      <c r="X282" s="446" t="s">
        <v>3409</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4479</v>
      </c>
      <c r="P283" s="586" t="s">
        <v>905</v>
      </c>
      <c r="Q283" s="301"/>
      <c r="R283" s="177"/>
      <c r="S283" s="403"/>
      <c r="T283" s="525" t="s">
        <v>162</v>
      </c>
      <c r="U283" s="525" t="s">
        <v>2605</v>
      </c>
      <c r="W283" s="446" t="s">
        <v>619</v>
      </c>
      <c r="X283" s="446" t="s">
        <v>3409</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4480</v>
      </c>
      <c r="P284" s="586" t="s">
        <v>2154</v>
      </c>
      <c r="Q284" s="301"/>
      <c r="R284" s="177"/>
      <c r="S284" s="403"/>
      <c r="T284" s="525" t="s">
        <v>902</v>
      </c>
      <c r="U284" s="525" t="s">
        <v>180</v>
      </c>
      <c r="W284" s="446" t="s">
        <v>976</v>
      </c>
      <c r="X284" s="446" t="s">
        <v>3409</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4481</v>
      </c>
      <c r="P285" s="586" t="s">
        <v>2155</v>
      </c>
      <c r="Q285" s="301"/>
      <c r="R285" s="177"/>
      <c r="S285" s="403"/>
      <c r="T285" s="525" t="s">
        <v>904</v>
      </c>
      <c r="U285" s="525" t="s">
        <v>325</v>
      </c>
      <c r="W285" s="446" t="s">
        <v>1504</v>
      </c>
      <c r="X285" s="446" t="s">
        <v>3409</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4482</v>
      </c>
      <c r="P286" s="586" t="s">
        <v>2071</v>
      </c>
      <c r="Q286" s="301"/>
      <c r="R286" s="177"/>
      <c r="S286" s="403"/>
      <c r="T286" s="292" t="s">
        <v>906</v>
      </c>
      <c r="U286" s="292" t="s">
        <v>1106</v>
      </c>
      <c r="W286" s="446" t="s">
        <v>2353</v>
      </c>
      <c r="X286" s="446" t="s">
        <v>3409</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4483</v>
      </c>
      <c r="P287" s="586" t="s">
        <v>2073</v>
      </c>
      <c r="Q287" s="301"/>
      <c r="R287" s="177"/>
      <c r="S287" s="403"/>
      <c r="T287" s="525" t="s">
        <v>2583</v>
      </c>
      <c r="U287" s="525" t="s">
        <v>2499</v>
      </c>
      <c r="W287" s="446" t="s">
        <v>829</v>
      </c>
      <c r="X287" s="446" t="s">
        <v>3409</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4484</v>
      </c>
      <c r="P288" s="586" t="s">
        <v>603</v>
      </c>
      <c r="Q288" s="301"/>
      <c r="R288" s="177"/>
      <c r="S288" s="403"/>
      <c r="T288" s="525" t="s">
        <v>2156</v>
      </c>
      <c r="U288" s="525" t="s">
        <v>1120</v>
      </c>
      <c r="W288" s="446" t="s">
        <v>832</v>
      </c>
      <c r="X288" s="446" t="s">
        <v>3409</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4485</v>
      </c>
      <c r="P289" s="586" t="s">
        <v>604</v>
      </c>
      <c r="Q289" s="301"/>
      <c r="R289" s="177"/>
      <c r="S289" s="403"/>
      <c r="T289" s="525" t="s">
        <v>2072</v>
      </c>
      <c r="U289" s="525" t="s">
        <v>1679</v>
      </c>
      <c r="W289" s="446" t="s">
        <v>1521</v>
      </c>
      <c r="X289" s="446" t="s">
        <v>3409</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4486</v>
      </c>
      <c r="P290" s="586" t="s">
        <v>606</v>
      </c>
      <c r="Q290" s="301"/>
      <c r="R290" s="177"/>
      <c r="S290" s="403"/>
      <c r="T290" s="525" t="s">
        <v>2074</v>
      </c>
      <c r="U290" s="525" t="s">
        <v>2550</v>
      </c>
      <c r="W290" s="446" t="s">
        <v>487</v>
      </c>
      <c r="X290" s="446" t="s">
        <v>3409</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4487</v>
      </c>
      <c r="P291" s="586" t="s">
        <v>608</v>
      </c>
      <c r="Q291" s="301"/>
      <c r="R291" s="177"/>
      <c r="S291" s="403"/>
      <c r="T291" s="525" t="s">
        <v>834</v>
      </c>
      <c r="U291" s="525" t="s">
        <v>320</v>
      </c>
      <c r="W291" s="446" t="s">
        <v>1405</v>
      </c>
      <c r="X291" s="446" t="s">
        <v>3409</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4488</v>
      </c>
      <c r="P292" s="586" t="s">
        <v>609</v>
      </c>
      <c r="Q292" s="301"/>
      <c r="R292" s="177"/>
      <c r="S292" s="403"/>
      <c r="T292" s="525" t="s">
        <v>605</v>
      </c>
      <c r="U292" s="525" t="s">
        <v>123</v>
      </c>
      <c r="W292" s="446" t="s">
        <v>1407</v>
      </c>
      <c r="X292" s="446" t="s">
        <v>3409</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4489</v>
      </c>
      <c r="P293" s="586" t="s">
        <v>610</v>
      </c>
      <c r="Q293" s="301"/>
      <c r="R293" s="177"/>
      <c r="S293" s="403"/>
      <c r="T293" s="525" t="s">
        <v>2584</v>
      </c>
      <c r="U293" s="525" t="s">
        <v>1339</v>
      </c>
      <c r="W293" s="446" t="s">
        <v>2508</v>
      </c>
      <c r="X293" s="446" t="s">
        <v>3409</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4490</v>
      </c>
      <c r="P294" s="586" t="s">
        <v>612</v>
      </c>
      <c r="Q294" s="301"/>
      <c r="R294" s="177"/>
      <c r="S294" s="403"/>
      <c r="T294" s="525" t="s">
        <v>607</v>
      </c>
      <c r="U294" s="525" t="s">
        <v>2606</v>
      </c>
      <c r="W294" s="446" t="s">
        <v>1067</v>
      </c>
      <c r="X294" s="446" t="s">
        <v>3409</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4491</v>
      </c>
      <c r="P295" s="586" t="s">
        <v>614</v>
      </c>
      <c r="Q295" s="301"/>
      <c r="R295" s="177"/>
      <c r="S295" s="403"/>
      <c r="T295" s="525" t="s">
        <v>2549</v>
      </c>
      <c r="U295" s="525" t="s">
        <v>2608</v>
      </c>
      <c r="W295" s="446" t="s">
        <v>1332</v>
      </c>
      <c r="X295" s="446" t="s">
        <v>3409</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4492</v>
      </c>
      <c r="P296" s="586" t="s">
        <v>552</v>
      </c>
      <c r="Q296" s="301"/>
      <c r="R296" s="177"/>
      <c r="S296" s="403"/>
      <c r="T296" s="525" t="s">
        <v>611</v>
      </c>
      <c r="U296" s="525" t="s">
        <v>2197</v>
      </c>
      <c r="W296" s="446" t="s">
        <v>180</v>
      </c>
      <c r="X296" s="446" t="s">
        <v>3409</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4493</v>
      </c>
      <c r="P297" s="586" t="s">
        <v>1166</v>
      </c>
      <c r="Q297" s="301"/>
      <c r="R297" s="177"/>
      <c r="S297" s="403"/>
      <c r="T297" s="525" t="s">
        <v>2870</v>
      </c>
      <c r="U297" s="525" t="s">
        <v>1111</v>
      </c>
      <c r="W297" s="446" t="s">
        <v>1587</v>
      </c>
      <c r="X297" s="446" t="s">
        <v>3409</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4494</v>
      </c>
      <c r="P298" s="586" t="s">
        <v>755</v>
      </c>
      <c r="Q298" s="301"/>
      <c r="R298" s="177"/>
      <c r="S298" s="403"/>
      <c r="T298" s="525" t="s">
        <v>613</v>
      </c>
      <c r="U298" s="525" t="s">
        <v>1648</v>
      </c>
      <c r="W298" s="446" t="s">
        <v>379</v>
      </c>
      <c r="X298" s="446" t="s">
        <v>3409</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4495</v>
      </c>
      <c r="P299" s="586" t="s">
        <v>37</v>
      </c>
      <c r="Q299" s="301"/>
      <c r="R299" s="177"/>
      <c r="S299" s="403"/>
      <c r="T299" s="525" t="s">
        <v>551</v>
      </c>
      <c r="U299" s="525" t="s">
        <v>665</v>
      </c>
      <c r="W299" s="446" t="s">
        <v>381</v>
      </c>
      <c r="X299" s="446" t="s">
        <v>3409</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4496</v>
      </c>
      <c r="P300" s="586" t="s">
        <v>1980</v>
      </c>
      <c r="Q300" s="301"/>
      <c r="R300" s="177"/>
      <c r="S300" s="403"/>
      <c r="T300" s="525" t="s">
        <v>553</v>
      </c>
      <c r="U300" s="525" t="s">
        <v>161</v>
      </c>
      <c r="W300" s="446" t="s">
        <v>1619</v>
      </c>
      <c r="X300" s="446" t="s">
        <v>3409</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4497</v>
      </c>
      <c r="P301" s="586" t="s">
        <v>1982</v>
      </c>
      <c r="Q301" s="301"/>
      <c r="R301" s="177"/>
      <c r="S301" s="403"/>
      <c r="T301" s="525" t="s">
        <v>754</v>
      </c>
      <c r="U301" s="525" t="s">
        <v>1117</v>
      </c>
      <c r="W301" s="446" t="s">
        <v>1098</v>
      </c>
      <c r="X301" s="446" t="s">
        <v>3409</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4498</v>
      </c>
      <c r="P302" s="586" t="s">
        <v>336</v>
      </c>
      <c r="Q302" s="301"/>
      <c r="R302" s="177"/>
      <c r="S302" s="403"/>
      <c r="T302" s="525" t="s">
        <v>756</v>
      </c>
      <c r="U302" s="525" t="s">
        <v>122</v>
      </c>
      <c r="W302" s="446" t="s">
        <v>3404</v>
      </c>
      <c r="X302" s="446" t="s">
        <v>3409</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4499</v>
      </c>
      <c r="P303" s="586" t="s">
        <v>338</v>
      </c>
      <c r="Q303" s="301"/>
      <c r="R303" s="177"/>
      <c r="S303" s="403"/>
      <c r="T303" s="525" t="s">
        <v>38</v>
      </c>
      <c r="U303" s="525" t="s">
        <v>177</v>
      </c>
      <c r="W303" s="446" t="s">
        <v>3405</v>
      </c>
      <c r="X303" s="446" t="s">
        <v>3409</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4500</v>
      </c>
      <c r="P304" s="586" t="s">
        <v>340</v>
      </c>
      <c r="Q304" s="301"/>
      <c r="R304" s="177"/>
      <c r="S304" s="403"/>
      <c r="T304" s="525" t="s">
        <v>1981</v>
      </c>
      <c r="U304" s="525" t="s">
        <v>2260</v>
      </c>
      <c r="W304" s="446" t="s">
        <v>526</v>
      </c>
      <c r="X304" s="446" t="s">
        <v>3409</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4501</v>
      </c>
      <c r="P305" s="586" t="s">
        <v>342</v>
      </c>
      <c r="Q305" s="301"/>
      <c r="R305" s="177"/>
      <c r="S305" s="403"/>
      <c r="T305" s="525" t="s">
        <v>1983</v>
      </c>
      <c r="U305" s="525" t="s">
        <v>2609</v>
      </c>
      <c r="W305" s="446" t="s">
        <v>528</v>
      </c>
      <c r="X305" s="446" t="s">
        <v>3409</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4502</v>
      </c>
      <c r="P306" s="586" t="s">
        <v>344</v>
      </c>
      <c r="Q306" s="301"/>
      <c r="R306" s="177"/>
      <c r="S306" s="403"/>
      <c r="T306" s="525" t="s">
        <v>337</v>
      </c>
      <c r="U306" s="525" t="s">
        <v>1965</v>
      </c>
      <c r="W306" s="446" t="s">
        <v>534</v>
      </c>
      <c r="X306" s="446" t="s">
        <v>3409</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4503</v>
      </c>
      <c r="P307" s="586" t="s">
        <v>346</v>
      </c>
      <c r="Q307" s="301"/>
      <c r="R307" s="177"/>
      <c r="S307" s="403"/>
      <c r="T307" s="525" t="s">
        <v>339</v>
      </c>
      <c r="U307" s="525" t="s">
        <v>883</v>
      </c>
      <c r="W307" s="446" t="s">
        <v>547</v>
      </c>
      <c r="X307" s="446" t="s">
        <v>3409</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4504</v>
      </c>
      <c r="P308" s="586" t="s">
        <v>1955</v>
      </c>
      <c r="Q308" s="301"/>
      <c r="R308" s="177"/>
      <c r="S308" s="403"/>
      <c r="T308" s="525" t="s">
        <v>341</v>
      </c>
      <c r="U308" s="525" t="s">
        <v>180</v>
      </c>
      <c r="W308" s="446" t="s">
        <v>1648</v>
      </c>
      <c r="X308" s="446" t="s">
        <v>3409</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4505</v>
      </c>
      <c r="P309" s="586" t="s">
        <v>1957</v>
      </c>
      <c r="Q309" s="301"/>
      <c r="R309" s="177"/>
      <c r="S309" s="403"/>
      <c r="T309" s="525" t="s">
        <v>343</v>
      </c>
      <c r="U309" s="525" t="s">
        <v>2415</v>
      </c>
      <c r="W309" s="446" t="s">
        <v>2111</v>
      </c>
      <c r="X309" s="446" t="s">
        <v>3409</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4506</v>
      </c>
      <c r="P310" s="586" t="s">
        <v>2170</v>
      </c>
      <c r="Q310" s="301"/>
      <c r="R310" s="177"/>
      <c r="S310" s="403"/>
      <c r="T310" s="292" t="s">
        <v>345</v>
      </c>
      <c r="U310" s="292" t="s">
        <v>1892</v>
      </c>
      <c r="W310" s="446" t="s">
        <v>3406</v>
      </c>
      <c r="X310" s="446" t="s">
        <v>3409</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4507</v>
      </c>
      <c r="P311" s="586" t="s">
        <v>154</v>
      </c>
      <c r="Q311" s="301"/>
      <c r="R311" s="177"/>
      <c r="S311" s="403"/>
      <c r="T311" s="525" t="s">
        <v>347</v>
      </c>
      <c r="U311" s="525" t="s">
        <v>176</v>
      </c>
      <c r="W311" s="446" t="s">
        <v>2264</v>
      </c>
      <c r="X311" s="446" t="s">
        <v>3409</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4508</v>
      </c>
      <c r="P312" s="586" t="s">
        <v>155</v>
      </c>
      <c r="Q312" s="301"/>
      <c r="R312" s="177"/>
      <c r="S312" s="403"/>
      <c r="T312" s="525" t="s">
        <v>1956</v>
      </c>
      <c r="U312" s="525" t="s">
        <v>107</v>
      </c>
      <c r="W312" s="446" t="s">
        <v>400</v>
      </c>
      <c r="X312" s="446" t="s">
        <v>3409</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4509</v>
      </c>
      <c r="P313" s="586" t="s">
        <v>1592</v>
      </c>
      <c r="Q313" s="301"/>
      <c r="R313" s="177"/>
      <c r="S313" s="403"/>
      <c r="T313" s="525" t="s">
        <v>197</v>
      </c>
      <c r="U313" s="525" t="s">
        <v>1678</v>
      </c>
      <c r="W313" s="446" t="s">
        <v>1854</v>
      </c>
      <c r="X313" s="446" t="s">
        <v>3409</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4510</v>
      </c>
      <c r="P314" s="586" t="s">
        <v>798</v>
      </c>
      <c r="Q314" s="301"/>
      <c r="R314" s="177"/>
      <c r="S314" s="403"/>
      <c r="T314" s="525" t="s">
        <v>2171</v>
      </c>
      <c r="U314" s="525" t="s">
        <v>197</v>
      </c>
      <c r="W314" s="446" t="s">
        <v>2288</v>
      </c>
      <c r="X314" s="446" t="s">
        <v>3409</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3409</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3409</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3409</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3409</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3409</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3409</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3409</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2871</v>
      </c>
      <c r="U322" s="525" t="s">
        <v>887</v>
      </c>
      <c r="W322" s="446" t="s">
        <v>1194</v>
      </c>
      <c r="X322" s="446" t="s">
        <v>3409</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3409</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3409</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3409</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3407</v>
      </c>
      <c r="X326" s="446" t="s">
        <v>3409</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3409</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3409</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3409</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3409</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3409</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3409</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2872</v>
      </c>
      <c r="U333" s="525" t="s">
        <v>2500</v>
      </c>
      <c r="W333" s="446" t="s">
        <v>950</v>
      </c>
      <c r="X333" s="446" t="s">
        <v>3409</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3409</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3409</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3409</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3409</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2873</v>
      </c>
      <c r="U338" s="525" t="s">
        <v>160</v>
      </c>
      <c r="W338" s="446" t="s">
        <v>1626</v>
      </c>
      <c r="X338" s="446" t="s">
        <v>3409</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2874</v>
      </c>
      <c r="U339" s="525" t="s">
        <v>318</v>
      </c>
      <c r="W339" s="446" t="s">
        <v>2432</v>
      </c>
      <c r="X339" s="446" t="s">
        <v>3409</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3409</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3409</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3409</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3409</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3409</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3409</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3409</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3409</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3409</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3409</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3409</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3409</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3409</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3409</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2875</v>
      </c>
      <c r="U354" s="525" t="s">
        <v>201</v>
      </c>
      <c r="W354" s="446" t="s">
        <v>1425</v>
      </c>
      <c r="X354" s="446" t="s">
        <v>3409</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3409</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3409</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2876</v>
      </c>
      <c r="U357" s="525" t="s">
        <v>661</v>
      </c>
      <c r="W357" s="446" t="s">
        <v>1126</v>
      </c>
      <c r="X357" s="446" t="s">
        <v>3409</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3409</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3409</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3409</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3409</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3409</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3409</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3409</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3409</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3409</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3409</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3409</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3409</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3409</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3409</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3409</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3409</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3409</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3409</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3409</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3409</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3409</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3409</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3409</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3409</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3409</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3409</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3409</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3409</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3409</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3409</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2877</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2878</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2879</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2880</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2881</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2882</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2883</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2884</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2885</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2886</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2887</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2888</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2889</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2783</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2890</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2891</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2892</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2893</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2894</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FdOXrymXHj60DyxoO3y9BGimatkw4oN5H0A3IBXj1Gw2kTNxou5Ya8HykSBC0jtgEGwGUauNTYaIZ4uEPT5OYA==" saltValue="0c9xsci+9h1YoKfJEAc7+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landscape"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A1986" zoomScale="130" zoomScaleNormal="130" zoomScalePageLayoutView="130" workbookViewId="0">
      <selection activeCell="A2" sqref="A1:XFD1048576"/>
    </sheetView>
  </sheetViews>
  <sheetFormatPr defaultColWidth="9.140625" defaultRowHeight="12.75"/>
  <cols>
    <col min="1" max="1" width="9.42578125" style="683" bestFit="1" customWidth="1"/>
    <col min="2" max="2" width="10.7109375" style="683" bestFit="1" customWidth="1"/>
    <col min="3" max="4" width="9.42578125" style="683" bestFit="1" customWidth="1"/>
    <col min="5" max="5" width="11.7109375" style="683" bestFit="1" customWidth="1"/>
    <col min="6" max="6" width="9.42578125" style="683" bestFit="1" customWidth="1"/>
    <col min="7" max="7" width="9.85546875" style="683" bestFit="1" customWidth="1"/>
    <col min="8" max="8" width="12.28515625" style="683" bestFit="1" customWidth="1"/>
    <col min="9" max="9" width="15.42578125" style="683" bestFit="1" customWidth="1"/>
    <col min="10" max="10" width="14.42578125" style="683" bestFit="1" customWidth="1"/>
    <col min="11" max="12" width="9.42578125" style="683" bestFit="1" customWidth="1"/>
    <col min="13" max="13" width="11.7109375" style="683" bestFit="1" customWidth="1"/>
    <col min="14"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Altoview Terrace</v>
      </c>
    </row>
    <row r="3" spans="1:16" ht="16.5">
      <c r="A3" s="2346" t="str">
        <f>CONCATENATE('Part I-Project Information'!F38,", ", 'Part I-Project Information'!J39," County")</f>
        <v>Rome, Floyd County</v>
      </c>
    </row>
    <row r="5" spans="1:16" ht="12.75" customHeight="1">
      <c r="A5" s="2347" t="str">
        <f>'Project Narrative'!$A$5</f>
        <v xml:space="preserve">Altoview Terrace Apartments is a proposed scattered site for a new 66-unit RAD multifamily housing development located near 1341 Spring Creek and 410-420 East Fourteenth Street in Rome, Floyd County, Georgia. The property is situated on two sites. One site (Parcel A) consists of 4.95 acres and the other site (Parcel D) is roughly 0.52 acres, totaling 5.47 acres.  Currently the larger parcel (Parcel A) is a vacant piece of land. The smaller parcel (Parcel D) has an abandoned home. As indicated in the market study, this area of concentration could use an additional 696 affordable housing units to fill the need of the area. Northwest Georgia Housing Authority (NWGHA) the local Public Housing Authority has a current wait list of 696 applicants in need of housing in Rome, GA. NWGHA along with its development partner REA Ventures Group looks forward to filling the need with new, safe affordable housing units.
Altoview Terrace will be utilizing the current CHAP award for Willingham Village. The transfer is in process and documentation is attached.
The development will consist of 62-units on Parcel A and Parcel D will consist of 4 two-bedroom units in two buildings. Parcel A is zoned MR and Parcel D is zoned DR which allow for the proposed design.  The development will target families.  All sites are located within a quarter mile of each other.
Unit mix will comprise of 1-bedroom/1-bathroom (821 square feet), 2-bedroom/2-bathroom (1,118 square feet Site A, and 1,054 Site D), 3-bedroom/2-bathroom (1,626 square feet) and 4-bedroom/2-bathroom (1,878 square feet) units.  The development will be an affordable housing development, with below-market affordable rents at levels affordable to families at 60% or less of area median income level. Since this property will have a 20-year RAD Agreement, Deeper Targeting of 100% of the units through PBV will be issued by NWGHA and affordable to 30% and below rental rates to all residents. 15% of the units will be set aside for Target Preference Residents. NWGHA has an MOU stating that 10 of the 66 units will be covered by NWGHA PBV as well as RAD PBV.
The property is located in a transforming area of East Rome. New multifamily, single family and commercial real estate is popping up throughout the area. East Rome has a detailed and ongoing Community Revitalization/Transformation Plan which includes the area of these two parcels.  
Amenities will be plentiful at the development to provide many services on site for the convenience of residents.  Common amenities will include a community room/clubhouse with kitchenette, laundry facility, swimming pool, playground, and picnic pavilion with grills.  Units will be fully equipped with a refrigerator with icemaker, a microwave, a range top with oven, washer/dryer connections, and ceiling fans in bedrooms and living room.  The co-developers of the project are committed to obtaining the highest level of exceptional sustainable building certification using Green Building as a design priority.
The development will include a community room in the Community Center/Clubhouse that will hold events for residents such as special health screenings and medical consultations space operated by a local medical office.  While these services will be offered at no additional charge to residents, other neighborhood members can also access the services with fees offered on a sliding fee schedule based on family income. 
All utilities are available at the development sites.  The high-quality brick and stone design will blend in and complement the architecture of the surrounding homes.
The location of both parcels makes convenient access to businesses that offer daily needs. The scattered sites are located in a growing, highly populated area of East Rome. Most of the desirable amenities are with .5 and 1.5 miles of both sites. 
The sites location gives multiple transportation opportunities for the residents. Public transportation is located within 400 feet walking distance of the sites.
NWGHA and the Applicant will continue its mission of participating in enriched property services at Altoview.
Northwest Georgia Housing Authority (NWGHA) has always been on the forefront and cutting edge of services for its residents. NWGHA’s mission is to provide safe and decent housing alongside innovative and supportive services for its residents in their efforts to become self-sufficient. One of the important services NWGHA provides is the Adult Education (GED) Program.  The properties community room will have a computer center to assist residents in achieving their educational goals. Online courses will be offered through the education program offering residents an opportunity to work on assignments on site or on the go.
Altoview Terrace will also provide educational and opportunities for self-sufficiency for the residents of the community. Residents of the Altoview Terrace Apartments will be encouraged to participate in NWGHA’s free Adult Education Program, Family Self-Sufficiency Program, and Data Sharing Road Map Program. Transportation will be provided to and from Altoview Terrace for the Adult Education Program students. Another educational program that will be offered to residents is the Data Sharing Road Map Program. This program tracks students’ attendance, grades, and truancy records to improve their educational success. Residents will also be eligible to participate in the Family-Self Sufficiency. The Family Self-Sufficiency (FSS) Program is a voluntary program for participants in the Housing Choice Voucher Program who want to gain employment. Advertisements will be posted in visible locations throughout the property and recruiting efforts will be made on-site on a regular basis.
The school attendance zone for the property has above-average CCRPI scoring schools. The Applicant as well as the school superintendent are dedicated to quality education for the residents of Altoview.
Altoview is located in a workforce housing and job strength desired area. The city and county continue to improve workforce housing opportunities for the community of Rome.
The Redevelopment/Transformation Plan of East Rome was established to inspire quality-of-life for residents of the community. Altoview is located within the targeted area of the plan adopted in 2008 with ongoing efforts to improve, initiate and implement affordable housing through leading groups in East Rome. The redevelopment plan targets this specific area due to the fact that the housing authority owns the land and it is cleared and ready for development. Today the plan has completed projects such as Foster Care Services, removal of dilapidated housing, improve infrastructure and its efforts to provide safety and affordable housing for the area residents. The plans efforts are visible through these improvements which have been completed and future planning improvements within 1/2 mile of the property. The city and local constituents have contributed several million dollars along with federal, state and local funding to these improvements. 
As evidenced in the East Rome Redevelopment Plan, Altoview Terrace is considered a hub of the area for growth and life enrichment of the residents of the community. Through partnerships, philanthropic activities, community initiative and local funding this area will transform aesthetically, enriching the community, growing community outreach services and quality education to serve the residents of the property and East Rome.
Altoview Terrace, LP is willing to extend its affordable compliance for an additional five years after the close of the compliance period.
There’s no question that by the efforts and the dedication to the community from Northwest Georgia Housing Authority should be considered an exceptional public housing authority. This housing authority’s resume is extensive and providing decent, safe affordable housing as well as improving the wellness of their community. Known as a strong innovative and highly influential organization, NWGHA has received accolades for their giving back to the community from HUD in the state of Georgia. 
Altoview is located in a Georgia Initiative Community. The East Rome Redevelopment Organization of the city of Rome supports this development. The improvement is foreseen as a positive addition and achievement of a large portion of their area redevelopment plan.
Altoview Terrace, LP will have a ground lease for 70 years. 
Altoview Terrace, LP, along with NWGHA, will have a 20-year Rental Assistance Demonstration Agreement
with HUD on 100% of the units. The Applicant has elected to offer safe, decent affordable housing to residents
with disabilities as outlined in their Administrative Plan and commitment to HUD.
NWGHA has provided safe, decent and sanitary housing for its residents since its organization in 1938. NWGHA was organized to provide public housing, and has since expanded to include RAD projects and LIHTC projects. NWGHA is under the management of the Executive Director who has been in the position for eighteen years.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303052119, 301610000,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4519</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4762</v>
      </c>
      <c r="H16" s="2351"/>
      <c r="I16" s="2351"/>
      <c r="J16" s="2351"/>
      <c r="K16" s="2351"/>
      <c r="L16" s="2349"/>
      <c r="M16" s="2351"/>
      <c r="N16" s="2351"/>
      <c r="O16" s="2351"/>
      <c r="P16" s="2354" t="s">
        <v>3897</v>
      </c>
    </row>
    <row r="17" spans="1:16" ht="14.25" customHeight="1">
      <c r="A17" s="2351"/>
      <c r="B17" s="2355"/>
      <c r="C17" s="2355"/>
      <c r="D17" s="2355"/>
      <c r="E17" s="2355"/>
      <c r="F17" s="2349"/>
      <c r="G17" s="2353" t="s">
        <v>4763</v>
      </c>
      <c r="H17" s="2356"/>
      <c r="I17" s="2356"/>
      <c r="J17" s="2356"/>
      <c r="K17" s="2351"/>
      <c r="L17" s="2351"/>
      <c r="M17" s="2351"/>
      <c r="N17" s="2351"/>
      <c r="O17" s="2348" t="str">
        <f>'Part I-Project Information'!$O$6</f>
        <v>2018-045</v>
      </c>
      <c r="P17" s="2348"/>
    </row>
    <row r="18" spans="1:16">
      <c r="A18" s="2351"/>
      <c r="B18" s="2355"/>
      <c r="C18" s="2355"/>
      <c r="D18" s="2355"/>
      <c r="E18" s="2355"/>
      <c r="F18" s="2348"/>
      <c r="G18" s="2357" t="s">
        <v>3338</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3825</v>
      </c>
      <c r="G20" s="2351"/>
      <c r="H20" s="2351"/>
      <c r="I20" s="2360">
        <f>'Part IV-A-Uses of Funds'!$J$175</f>
        <v>950000</v>
      </c>
      <c r="J20" s="2360"/>
      <c r="K20" s="2351"/>
      <c r="L20" s="2351" t="s">
        <v>3826</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3740</v>
      </c>
      <c r="J22" s="2348" t="s">
        <v>4764</v>
      </c>
      <c r="K22" s="2348"/>
      <c r="L22" s="2356"/>
      <c r="M22" s="2351"/>
      <c r="N22" s="2351"/>
      <c r="O22" s="2351" t="str">
        <f>'Part I-Project Information'!$O$11</f>
        <v>PA18-070</v>
      </c>
      <c r="P22" s="2351"/>
    </row>
    <row r="23" spans="1:16" ht="13.5" customHeight="1">
      <c r="A23" s="2349"/>
      <c r="B23" s="2365" t="s">
        <v>4520</v>
      </c>
      <c r="C23" s="2365"/>
      <c r="D23" s="2365"/>
      <c r="E23" s="2351"/>
      <c r="F23" s="2351"/>
      <c r="G23" s="2351"/>
      <c r="H23" s="2356"/>
      <c r="I23" s="2351"/>
      <c r="J23" s="2359" t="s">
        <v>2750</v>
      </c>
      <c r="K23" s="2352"/>
      <c r="L23" s="2351"/>
      <c r="M23" s="2356"/>
      <c r="N23" s="2351"/>
      <c r="O23" s="2363" t="str">
        <f>'Part I-Project Information'!$O$12</f>
        <v>Yes - see Comment</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3823</v>
      </c>
      <c r="K25" s="2351"/>
      <c r="L25" s="2351"/>
      <c r="M25" s="2351"/>
      <c r="N25" s="2351"/>
      <c r="O25" s="2351"/>
      <c r="P25" s="2351"/>
    </row>
    <row r="26" spans="1:16">
      <c r="A26" s="2349"/>
      <c r="B26" s="2351" t="s">
        <v>3898</v>
      </c>
      <c r="C26" s="2351"/>
      <c r="D26" s="2348"/>
      <c r="E26" s="2351"/>
      <c r="F26" s="2367">
        <f>'Part I-Project Information'!$F$15</f>
        <v>0</v>
      </c>
      <c r="G26" s="2367"/>
      <c r="H26" s="2367"/>
      <c r="I26" s="2367"/>
      <c r="J26" s="2367"/>
      <c r="K26" s="2367"/>
      <c r="L26" s="2351" t="s">
        <v>3822</v>
      </c>
      <c r="M26" s="2351"/>
      <c r="N26" s="2351"/>
      <c r="O26" s="2351">
        <f>'Part I-Project Information'!$O$15</f>
        <v>0</v>
      </c>
      <c r="P26" s="2351"/>
    </row>
    <row r="27" spans="1:16">
      <c r="A27" s="2349"/>
      <c r="B27" s="2351" t="s">
        <v>3824</v>
      </c>
      <c r="C27" s="2351"/>
      <c r="D27" s="2351"/>
      <c r="E27" s="2351"/>
      <c r="F27" s="2366" t="str">
        <f>'Part I-Project Information'!F16</f>
        <v>No</v>
      </c>
      <c r="G27" s="2351" t="s">
        <v>3881</v>
      </c>
      <c r="H27" s="2356"/>
      <c r="I27" s="2357"/>
      <c r="J27" s="2359"/>
      <c r="K27" s="2351"/>
      <c r="L27" s="2351"/>
      <c r="M27" s="2368" t="str">
        <f>'Part I-Project Information'!M16</f>
        <v>NQ - Partnering w/ Qualified Entity</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3908</v>
      </c>
      <c r="C31" s="2351"/>
      <c r="D31" s="2351"/>
      <c r="E31" s="2351"/>
      <c r="F31" s="2351" t="str">
        <f>'Part I-Project Information'!F20</f>
        <v>Rea Ventures Group, LLC</v>
      </c>
      <c r="G31" s="2351">
        <f>'Part I-Project Information'!G20</f>
        <v>0</v>
      </c>
      <c r="H31" s="2351">
        <f>'Part I-Project Information'!H20</f>
        <v>0</v>
      </c>
      <c r="I31" s="2351" t="s">
        <v>1810</v>
      </c>
      <c r="J31" s="2351" t="str">
        <f>'Part I-Project Information'!J20</f>
        <v>William J. Rea, Jr.</v>
      </c>
      <c r="K31" s="2351">
        <f>'Part I-Project Information'!K20</f>
        <v>0</v>
      </c>
      <c r="L31" s="2351">
        <f>'Part I-Project Information'!L20</f>
        <v>0</v>
      </c>
      <c r="M31" s="2359" t="s">
        <v>1996</v>
      </c>
      <c r="N31" s="2351" t="str">
        <f>'Part I-Project Information'!N20</f>
        <v>Principal</v>
      </c>
      <c r="O31" s="2351">
        <f>'Part I-Project Information'!O20</f>
        <v>0</v>
      </c>
      <c r="P31" s="2351">
        <f>'Part I-Project Information'!P20</f>
        <v>0</v>
      </c>
    </row>
    <row r="32" spans="1:16" ht="12.75" customHeight="1">
      <c r="A32" s="2351"/>
      <c r="B32" s="2359" t="s">
        <v>1997</v>
      </c>
      <c r="C32" s="2351"/>
      <c r="D32" s="2351"/>
      <c r="E32" s="2351"/>
      <c r="F32" s="2351" t="str">
        <f>'Part I-Project Information'!F21</f>
        <v>2964 Peachtree Rd NW, Suite 200</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3907</v>
      </c>
      <c r="N32" s="2369"/>
      <c r="O32" s="2369"/>
      <c r="P32" s="2369"/>
    </row>
    <row r="33" spans="1:16" ht="12.75" customHeight="1">
      <c r="A33" s="2351"/>
      <c r="B33" s="2359" t="s">
        <v>624</v>
      </c>
      <c r="C33" s="2351"/>
      <c r="D33" s="2351"/>
      <c r="E33" s="2351"/>
      <c r="F33" s="2351" t="str">
        <f>'Part I-Project Information'!F22</f>
        <v>Atlanta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303052119</v>
      </c>
      <c r="G34" s="2371">
        <f>'Part I-Project Information'!G23</f>
        <v>0</v>
      </c>
      <c r="H34" s="2371">
        <f>'Part I-Project Information'!H23</f>
        <v>0</v>
      </c>
      <c r="I34" s="2359" t="s">
        <v>1733</v>
      </c>
      <c r="J34" s="2372">
        <f>'Part I-Project Information'!J23</f>
        <v>4042504093</v>
      </c>
      <c r="K34" s="2372">
        <f>'Part I-Project Information'!K23</f>
        <v>0</v>
      </c>
      <c r="L34" s="2356" t="s">
        <v>1732</v>
      </c>
      <c r="M34" s="2356">
        <f>'Part I-Project Information'!M23</f>
        <v>703</v>
      </c>
      <c r="N34" s="2359" t="s">
        <v>1734</v>
      </c>
      <c r="O34" s="2372">
        <f>'Part I-Project Information'!O23</f>
        <v>4042731892</v>
      </c>
      <c r="P34" s="2372">
        <f>'Part I-Project Information'!P23</f>
        <v>0</v>
      </c>
    </row>
    <row r="35" spans="1:16">
      <c r="A35" s="2351"/>
      <c r="B35" s="2359" t="s">
        <v>2000</v>
      </c>
      <c r="C35" s="2351"/>
      <c r="D35" s="2351"/>
      <c r="E35" s="2351"/>
      <c r="F35" s="2351" t="str">
        <f>'Part I-Project Information'!F24</f>
        <v>billrea@reaventures.com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4042731892</v>
      </c>
      <c r="P35" s="2372">
        <f>'Part I-Project Information'!P24</f>
        <v>0</v>
      </c>
    </row>
    <row r="36" spans="1:16">
      <c r="A36" s="2349"/>
      <c r="B36" s="2348" t="s">
        <v>4110</v>
      </c>
      <c r="C36" s="2358"/>
      <c r="D36" s="2351"/>
      <c r="E36" s="2351"/>
      <c r="F36" s="2351"/>
      <c r="G36" s="2351"/>
      <c r="H36" s="2356"/>
      <c r="I36" s="2351"/>
      <c r="J36" s="2358"/>
      <c r="K36" s="2351"/>
      <c r="L36" s="2351"/>
      <c r="M36" s="2351"/>
      <c r="N36" s="2351"/>
      <c r="O36" s="2351"/>
      <c r="P36" s="2373"/>
    </row>
    <row r="37" spans="1:16">
      <c r="A37" s="2351"/>
      <c r="B37" s="2351" t="s">
        <v>3908</v>
      </c>
      <c r="C37" s="2351"/>
      <c r="D37" s="2351"/>
      <c r="E37" s="2351"/>
      <c r="F37" s="2351" t="str">
        <f>'Part I-Project Information'!F26</f>
        <v>Northwest Georgia Housing Authority</v>
      </c>
      <c r="G37" s="2351">
        <f>'Part I-Project Information'!G26</f>
        <v>0</v>
      </c>
      <c r="H37" s="2351">
        <f>'Part I-Project Information'!H26</f>
        <v>0</v>
      </c>
      <c r="I37" s="2351" t="s">
        <v>1810</v>
      </c>
      <c r="J37" s="2351" t="str">
        <f>'Part I-Project Information'!J26</f>
        <v>Sandra Hudson</v>
      </c>
      <c r="K37" s="2351">
        <f>'Part I-Project Information'!K26</f>
        <v>0</v>
      </c>
      <c r="L37" s="2351">
        <f>'Part I-Project Information'!L26</f>
        <v>0</v>
      </c>
      <c r="M37" s="2359" t="s">
        <v>1996</v>
      </c>
      <c r="N37" s="2351" t="str">
        <f>'Part I-Project Information'!N26</f>
        <v>Executive Director</v>
      </c>
      <c r="O37" s="2351">
        <f>'Part I-Project Information'!O26</f>
        <v>0</v>
      </c>
      <c r="P37" s="2351">
        <f>'Part I-Project Information'!P26</f>
        <v>0</v>
      </c>
    </row>
    <row r="38" spans="1:16" ht="12.75" customHeight="1">
      <c r="A38" s="2351"/>
      <c r="B38" s="2359" t="s">
        <v>1997</v>
      </c>
      <c r="C38" s="2351"/>
      <c r="D38" s="2351"/>
      <c r="E38" s="2351"/>
      <c r="F38" s="2351" t="str">
        <f>'Part I-Project Information'!F27</f>
        <v>329 W 9th St</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3907</v>
      </c>
      <c r="N38" s="2369"/>
      <c r="O38" s="2369"/>
      <c r="P38" s="2369"/>
    </row>
    <row r="39" spans="1:16" ht="12.75" customHeight="1">
      <c r="A39" s="2351"/>
      <c r="B39" s="2359" t="s">
        <v>624</v>
      </c>
      <c r="C39" s="2351"/>
      <c r="D39" s="2351"/>
      <c r="E39" s="2351"/>
      <c r="F39" s="2351" t="str">
        <f>'Part I-Project Information'!F28</f>
        <v>Rome</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301610000</v>
      </c>
      <c r="G40" s="2371">
        <f>'Part I-Project Information'!G29</f>
        <v>0</v>
      </c>
      <c r="H40" s="2371">
        <f>'Part I-Project Information'!H29</f>
        <v>0</v>
      </c>
      <c r="I40" s="2359" t="s">
        <v>1733</v>
      </c>
      <c r="J40" s="2372">
        <f>'Part I-Project Information'!J29</f>
        <v>7063787926</v>
      </c>
      <c r="K40" s="2372">
        <f>'Part I-Project Information'!K29</f>
        <v>0</v>
      </c>
      <c r="L40" s="2356" t="s">
        <v>1732</v>
      </c>
      <c r="M40" s="2356">
        <f>'Part I-Project Information'!M29</f>
        <v>0</v>
      </c>
      <c r="N40" s="2359" t="s">
        <v>1734</v>
      </c>
      <c r="O40" s="2372">
        <f>'Part I-Project Information'!O29</f>
        <v>7063783940</v>
      </c>
      <c r="P40" s="2372">
        <f>'Part I-Project Information'!P29</f>
        <v>0</v>
      </c>
    </row>
    <row r="41" spans="1:16">
      <c r="A41" s="2351"/>
      <c r="B41" s="2359" t="s">
        <v>2000</v>
      </c>
      <c r="C41" s="2351"/>
      <c r="D41" s="2351"/>
      <c r="E41" s="2351"/>
      <c r="F41" s="2351" t="str">
        <f>'Part I-Project Information'!F30</f>
        <v>shudson@nwgha.com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7062524635</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Altoview Terrace</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2716</v>
      </c>
      <c r="C46" s="2351"/>
      <c r="D46" s="2362"/>
      <c r="E46" s="2351"/>
      <c r="F46" s="2351" t="str">
        <f>'Part I-Project Information'!F35</f>
        <v>Near East 14th St and Maple St</v>
      </c>
      <c r="G46" s="2351">
        <f>'Part I-Project Information'!G35</f>
        <v>0</v>
      </c>
      <c r="H46" s="2351">
        <f>'Part I-Project Information'!H35</f>
        <v>0</v>
      </c>
      <c r="I46" s="2351">
        <f>'Part I-Project Information'!I35</f>
        <v>0</v>
      </c>
      <c r="J46" s="2351">
        <f>'Part I-Project Information'!J35</f>
        <v>0</v>
      </c>
      <c r="K46" s="2351">
        <f>'Part I-Project Information'!K35</f>
        <v>0</v>
      </c>
      <c r="L46" s="2351" t="s">
        <v>3706</v>
      </c>
      <c r="M46" s="2351"/>
      <c r="N46" s="2351"/>
      <c r="O46" s="2351">
        <f>'Part I-Project Information'!O35</f>
        <v>0</v>
      </c>
      <c r="P46" s="2351">
        <f>'Part I-Project Information'!P35</f>
        <v>0</v>
      </c>
    </row>
    <row r="47" spans="1:16">
      <c r="A47" s="2354"/>
      <c r="B47" s="2351" t="s">
        <v>4765</v>
      </c>
      <c r="C47" s="2351"/>
      <c r="D47" s="2362"/>
      <c r="E47" s="2351"/>
      <c r="F47" s="2351" t="str">
        <f>'Part I-Project Information'!F36</f>
        <v>410 E 14th St and Maple St</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Yes</v>
      </c>
      <c r="O47" s="2356" t="s">
        <v>3705</v>
      </c>
      <c r="P47" s="2356">
        <f>'Part I-Project Information'!P36</f>
        <v>2</v>
      </c>
    </row>
    <row r="48" spans="1:16">
      <c r="A48" s="2354"/>
      <c r="B48" s="2351" t="s">
        <v>3762</v>
      </c>
      <c r="C48" s="2351"/>
      <c r="D48" s="2362"/>
      <c r="E48" s="2351"/>
      <c r="F48" s="2351" t="s">
        <v>3742</v>
      </c>
      <c r="G48" s="2374">
        <f>'Part I-Project Information'!G37</f>
        <v>34.235446199999998</v>
      </c>
      <c r="H48" s="2374">
        <f>'Part I-Project Information'!H37</f>
        <v>0</v>
      </c>
      <c r="I48" s="2356" t="s">
        <v>3743</v>
      </c>
      <c r="J48" s="2374">
        <f>'Part I-Project Information'!J37</f>
        <v>-85.166060000000002</v>
      </c>
      <c r="K48" s="2374">
        <f>'Part I-Project Information'!K37</f>
        <v>0</v>
      </c>
      <c r="L48" s="2359" t="s">
        <v>2299</v>
      </c>
      <c r="M48" s="2351"/>
      <c r="N48" s="2351"/>
      <c r="O48" s="2375">
        <f>'Part I-Project Information'!O37</f>
        <v>5.4710000000000001</v>
      </c>
      <c r="P48" s="2375">
        <f>'Part I-Project Information'!P37</f>
        <v>0</v>
      </c>
    </row>
    <row r="49" spans="1:16" ht="16.5">
      <c r="A49" s="2349"/>
      <c r="B49" s="2351" t="s">
        <v>624</v>
      </c>
      <c r="C49" s="2351"/>
      <c r="D49" s="2351"/>
      <c r="E49" s="2351"/>
      <c r="F49" s="2351" t="str">
        <f>'Part I-Project Information'!F38</f>
        <v>Rome</v>
      </c>
      <c r="G49" s="2351">
        <f>'Part I-Project Information'!G38</f>
        <v>0</v>
      </c>
      <c r="H49" s="2351">
        <f>'Part I-Project Information'!H38</f>
        <v>0</v>
      </c>
      <c r="I49" s="2376" t="s">
        <v>4766</v>
      </c>
      <c r="J49" s="2371">
        <f>'Part I-Project Information'!J38</f>
        <v>301610000</v>
      </c>
      <c r="K49" s="2371">
        <f>'Part I-Project Information'!K38</f>
        <v>0</v>
      </c>
      <c r="L49" s="2348" t="str">
        <f>IF(AND(NOT(F45=""),NOT(F49="Select from list"),J49=""),"Enter Zip!","")</f>
        <v/>
      </c>
      <c r="M49" s="2377" t="s">
        <v>2924</v>
      </c>
      <c r="N49" s="2351"/>
      <c r="O49" s="2378" t="str">
        <f>'Part I-Project Information'!O38</f>
        <v>13115001600</v>
      </c>
      <c r="P49" s="2379">
        <f>'Part I-Project Information'!P38</f>
        <v>0</v>
      </c>
    </row>
    <row r="50" spans="1:16">
      <c r="A50" s="2349"/>
      <c r="B50" s="2351" t="s">
        <v>3590</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Floyd</v>
      </c>
      <c r="K50" s="2367">
        <f>'Part I-Project Information'!K39</f>
        <v>0</v>
      </c>
      <c r="L50" s="2351"/>
      <c r="M50" s="2359" t="s">
        <v>455</v>
      </c>
      <c r="N50" s="2381" t="str">
        <f>'Part I-Project Information'!N39</f>
        <v>Yes</v>
      </c>
      <c r="O50" s="2356" t="s">
        <v>456</v>
      </c>
      <c r="P50" s="2381" t="str">
        <f>'Part I-Project Information'!P39</f>
        <v>No</v>
      </c>
    </row>
    <row r="51" spans="1:16">
      <c r="A51" s="2349"/>
      <c r="B51" s="2348"/>
      <c r="C51" s="2351" t="s">
        <v>1570</v>
      </c>
      <c r="D51" s="2351"/>
      <c r="E51" s="2351"/>
      <c r="F51" s="2359" t="str">
        <f>'Part I-Project Information'!F40</f>
        <v>No</v>
      </c>
      <c r="G51" s="2351" t="s">
        <v>2798</v>
      </c>
      <c r="H51" s="2351"/>
      <c r="I51" s="2356" t="str">
        <f>'Part I-Project Information'!I40</f>
        <v>No</v>
      </c>
      <c r="J51" s="2356" t="s">
        <v>2818</v>
      </c>
      <c r="K51" s="2356" t="str">
        <f>'Part I-Project Information'!K40</f>
        <v>Urban</v>
      </c>
      <c r="L51" s="2351"/>
      <c r="M51" s="2359" t="s">
        <v>2628</v>
      </c>
      <c r="N51" s="2349" t="str">
        <f>'Part I-Project Information'!N40</f>
        <v>MSA</v>
      </c>
      <c r="O51" s="2351" t="str">
        <f>'Part I-Project Information'!O40</f>
        <v>Rome</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4767</v>
      </c>
      <c r="D53" s="2351"/>
      <c r="E53" s="2351"/>
      <c r="F53" s="2382" t="s">
        <v>2779</v>
      </c>
      <c r="G53" s="2382"/>
      <c r="H53" s="2351" t="s">
        <v>744</v>
      </c>
      <c r="I53" s="2351"/>
      <c r="J53" s="2351" t="s">
        <v>745</v>
      </c>
      <c r="K53" s="2351"/>
      <c r="L53" s="2383" t="s">
        <v>4542</v>
      </c>
      <c r="M53" s="2351"/>
      <c r="N53" s="2351"/>
      <c r="O53" s="2351"/>
      <c r="P53" s="2351"/>
    </row>
    <row r="54" spans="1:16">
      <c r="A54" s="2349"/>
      <c r="B54" s="2351" t="s">
        <v>4768</v>
      </c>
      <c r="C54" s="2351"/>
      <c r="D54" s="2348"/>
      <c r="E54" s="2351"/>
      <c r="F54" s="2384">
        <f>'Part I-Project Information'!F43</f>
        <v>14</v>
      </c>
      <c r="G54" s="2384">
        <f>'Part I-Project Information'!G43</f>
        <v>0</v>
      </c>
      <c r="H54" s="2384">
        <f>'Part I-Project Information'!H43</f>
        <v>52</v>
      </c>
      <c r="I54" s="2384">
        <f>'Part I-Project Information'!I43</f>
        <v>0</v>
      </c>
      <c r="J54" s="2384">
        <f>'Part I-Project Information'!J43</f>
        <v>13</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2777</v>
      </c>
      <c r="M55" s="2351"/>
      <c r="N55" s="2386" t="s">
        <v>2776</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Rome</v>
      </c>
      <c r="G57" s="2387">
        <f>'Part I-Project Information'!G46</f>
        <v>0</v>
      </c>
      <c r="H57" s="2387">
        <f>'Part I-Project Information'!H46</f>
        <v>0</v>
      </c>
      <c r="I57" s="2387">
        <f>'Part I-Project Information'!I46</f>
        <v>0</v>
      </c>
      <c r="J57" s="2387">
        <f>'Part I-Project Information'!J46</f>
        <v>0</v>
      </c>
      <c r="K57" s="2387">
        <f>'Part I-Project Information'!K46</f>
        <v>0</v>
      </c>
      <c r="L57" s="2388" t="s">
        <v>2722</v>
      </c>
      <c r="M57" s="2351" t="str">
        <f>'Part I-Project Information'!M46</f>
        <v>www.romefloyd.com</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Jamie Doss</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601 Broad St</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Rome</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301610000</v>
      </c>
      <c r="G60" s="2371">
        <f>'Part I-Project Information'!G49</f>
        <v>0</v>
      </c>
      <c r="H60" s="2356" t="s">
        <v>1998</v>
      </c>
      <c r="I60" s="2372">
        <f>'Part I-Project Information'!I49</f>
        <v>7062954006</v>
      </c>
      <c r="J60" s="2372">
        <f>'Part I-Project Information'!J49</f>
        <v>0</v>
      </c>
      <c r="K60" s="2372">
        <f>'Part I-Project Information'!K49</f>
        <v>0</v>
      </c>
      <c r="L60" s="2359" t="s">
        <v>1813</v>
      </c>
      <c r="M60" s="2387" t="str">
        <f>'Part I-Project Information'!M49</f>
        <v>jdoss@romega.us</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4769</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66</v>
      </c>
      <c r="I66" s="2358"/>
      <c r="J66" s="2358"/>
      <c r="K66" s="2359" t="s">
        <v>3697</v>
      </c>
      <c r="L66" s="2351"/>
      <c r="M66" s="2392" t="s">
        <v>3696</v>
      </c>
      <c r="N66" s="2391">
        <f>'Part VI-Revenues &amp; Expenses'!$O$81</f>
        <v>0</v>
      </c>
      <c r="O66" s="2393" t="s">
        <v>3377</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2929</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3586</v>
      </c>
      <c r="J72" s="2354" t="s">
        <v>2131</v>
      </c>
      <c r="K72" s="2399" t="s">
        <v>2318</v>
      </c>
      <c r="L72" s="2351"/>
      <c r="M72" s="2351"/>
      <c r="N72" s="2351"/>
      <c r="O72" s="2351"/>
      <c r="P72" s="2356"/>
    </row>
    <row r="73" spans="1:16">
      <c r="A73" s="2349"/>
      <c r="B73" s="2370"/>
      <c r="C73" s="2358" t="s">
        <v>2293</v>
      </c>
      <c r="D73" s="2351"/>
      <c r="E73" s="2351"/>
      <c r="F73" s="2351"/>
      <c r="G73" s="2351"/>
      <c r="H73" s="2400">
        <f>SUM(H74:H75)</f>
        <v>66</v>
      </c>
      <c r="I73" s="2400">
        <f>SUM(I74:I75)</f>
        <v>66</v>
      </c>
      <c r="J73" s="2349"/>
      <c r="K73" s="2358" t="s">
        <v>2790</v>
      </c>
      <c r="L73" s="2351"/>
      <c r="M73" s="2351"/>
      <c r="N73" s="2351"/>
      <c r="O73" s="2351"/>
      <c r="P73" s="2400">
        <f>'Part VI-Revenues &amp; Expenses'!$O$115</f>
        <v>78428</v>
      </c>
    </row>
    <row r="74" spans="1:16">
      <c r="A74" s="2349"/>
      <c r="B74" s="2358"/>
      <c r="C74" s="2351"/>
      <c r="D74" s="2382" t="s">
        <v>387</v>
      </c>
      <c r="E74" s="2351"/>
      <c r="F74" s="2351"/>
      <c r="G74" s="2351"/>
      <c r="H74" s="2400">
        <f>'Part VI-Revenues &amp; Expenses'!$O$57</f>
        <v>19</v>
      </c>
      <c r="I74" s="2400">
        <f>'Part VI-Revenues &amp; Expenses'!$O$65</f>
        <v>19</v>
      </c>
      <c r="J74" s="2351"/>
      <c r="K74" s="2358" t="s">
        <v>2791</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47</v>
      </c>
      <c r="I75" s="2400">
        <f>'Part VI-Revenues &amp; Expenses'!$O$64</f>
        <v>47</v>
      </c>
      <c r="J75" s="2351"/>
      <c r="K75" s="2358" t="s">
        <v>2792</v>
      </c>
      <c r="L75" s="2351"/>
      <c r="M75" s="2351"/>
      <c r="N75" s="2351"/>
      <c r="O75" s="2351"/>
      <c r="P75" s="2400">
        <f>P73+P74</f>
        <v>78428</v>
      </c>
    </row>
    <row r="76" spans="1:16">
      <c r="A76" s="2349"/>
      <c r="B76" s="2351"/>
      <c r="C76" s="2358" t="s">
        <v>255</v>
      </c>
      <c r="D76" s="2351"/>
      <c r="E76" s="2351"/>
      <c r="F76" s="2351"/>
      <c r="G76" s="2351"/>
      <c r="H76" s="2400">
        <f>'Part VI-Revenues &amp; Expenses'!$O$59</f>
        <v>0</v>
      </c>
      <c r="I76" s="2351"/>
      <c r="J76" s="2349"/>
      <c r="K76" s="2358" t="s">
        <v>2793</v>
      </c>
      <c r="L76" s="2351"/>
      <c r="M76" s="2351"/>
      <c r="N76" s="2351"/>
      <c r="O76" s="2351"/>
      <c r="P76" s="2400">
        <f>'Part VI-Revenues &amp; Expenses'!$O$118</f>
        <v>0</v>
      </c>
    </row>
    <row r="77" spans="1:16">
      <c r="A77" s="2349"/>
      <c r="B77" s="2351"/>
      <c r="C77" s="2358" t="s">
        <v>2423</v>
      </c>
      <c r="D77" s="2351"/>
      <c r="E77" s="2351"/>
      <c r="F77" s="2351"/>
      <c r="G77" s="2351"/>
      <c r="H77" s="2400">
        <f>H73+H76</f>
        <v>66</v>
      </c>
      <c r="I77" s="2351"/>
      <c r="J77" s="2349"/>
      <c r="K77" s="2358" t="s">
        <v>1432</v>
      </c>
      <c r="L77" s="2351"/>
      <c r="M77" s="2351"/>
      <c r="N77" s="2351"/>
      <c r="O77" s="2351"/>
      <c r="P77" s="2400">
        <f>+P75+P76</f>
        <v>78428</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66</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15</v>
      </c>
      <c r="I81" s="2351"/>
      <c r="J81" s="2351"/>
      <c r="K81" s="2358" t="s">
        <v>4100</v>
      </c>
      <c r="L81" s="2351"/>
      <c r="M81" s="2351"/>
      <c r="N81" s="2351"/>
      <c r="O81" s="2351"/>
      <c r="P81" s="2400">
        <f>'Part I-Project Information'!P70</f>
        <v>8510</v>
      </c>
    </row>
    <row r="82" spans="1:16">
      <c r="A82" s="2349"/>
      <c r="B82" s="2349"/>
      <c r="C82" s="2351"/>
      <c r="D82" s="2370" t="s">
        <v>2013</v>
      </c>
      <c r="E82" s="2351"/>
      <c r="F82" s="2351"/>
      <c r="G82" s="2351"/>
      <c r="H82" s="2400">
        <f>'Part I-Project Information'!H71</f>
        <v>1</v>
      </c>
      <c r="I82" s="2351"/>
      <c r="J82" s="2351"/>
      <c r="K82" s="2358" t="s">
        <v>254</v>
      </c>
      <c r="L82" s="2351"/>
      <c r="M82" s="2351"/>
      <c r="N82" s="2351"/>
      <c r="O82" s="2351"/>
      <c r="P82" s="2400">
        <f>+P77+P81</f>
        <v>86938</v>
      </c>
    </row>
    <row r="83" spans="1:16">
      <c r="A83" s="2349"/>
      <c r="B83" s="2349"/>
      <c r="C83" s="2351"/>
      <c r="D83" s="2370" t="s">
        <v>2014</v>
      </c>
      <c r="E83" s="2351"/>
      <c r="F83" s="2351"/>
      <c r="G83" s="2351"/>
      <c r="H83" s="2400">
        <f>+H81+H82</f>
        <v>16</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2859</v>
      </c>
      <c r="D85" s="2351"/>
      <c r="E85" s="2351"/>
      <c r="F85" s="2351"/>
      <c r="G85" s="2351"/>
      <c r="H85" s="2400">
        <f>'Part I-Project Information'!H74</f>
        <v>132</v>
      </c>
      <c r="I85" s="2351"/>
      <c r="J85" s="2351"/>
      <c r="K85" s="2347" t="s">
        <v>3882</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4770</v>
      </c>
      <c r="D89" s="2402"/>
      <c r="E89" s="2402"/>
      <c r="F89" s="2351"/>
      <c r="G89" s="2356"/>
      <c r="H89" s="2382" t="str">
        <f>'Part I-Project Information'!H78</f>
        <v>Family</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3902</v>
      </c>
      <c r="I91" s="2347"/>
      <c r="J91" s="2351"/>
      <c r="K91" s="2403" t="s">
        <v>2930</v>
      </c>
      <c r="L91" s="2400">
        <f>'Part I-Project Information'!L80</f>
        <v>66</v>
      </c>
      <c r="M91" s="2403" t="s">
        <v>2931</v>
      </c>
      <c r="N91" s="2400">
        <f>'Part I-Project Information'!N80</f>
        <v>0</v>
      </c>
      <c r="O91" s="2351"/>
      <c r="P91" s="2362" t="s">
        <v>3904</v>
      </c>
    </row>
    <row r="92" spans="1:16">
      <c r="A92" s="2349"/>
      <c r="B92" s="2349"/>
      <c r="C92" s="2351"/>
      <c r="D92" s="2359"/>
      <c r="E92" s="2402"/>
      <c r="F92" s="2351"/>
      <c r="G92" s="2351"/>
      <c r="H92" s="2347"/>
      <c r="I92" s="2347"/>
      <c r="J92" s="2351"/>
      <c r="K92" s="2362" t="s">
        <v>2932</v>
      </c>
      <c r="L92" s="2400">
        <f>'Part I-Project Information'!L81</f>
        <v>0</v>
      </c>
      <c r="M92" s="2362" t="s">
        <v>3903</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4</v>
      </c>
      <c r="I94" s="2351"/>
      <c r="J94" s="2351"/>
      <c r="K94" s="2351" t="s">
        <v>525</v>
      </c>
      <c r="L94" s="2351"/>
      <c r="M94" s="2351"/>
      <c r="N94" s="2404">
        <f>IF('Part VI-Revenues &amp; Expenses'!$O$62=0,0,H94/'Part VI-Revenues &amp; Expenses'!$O$62)</f>
        <v>6.0606060606060608E-2</v>
      </c>
      <c r="O94" s="2362" t="s">
        <v>3720</v>
      </c>
      <c r="P94" s="2405">
        <f>'DCA Underwriting Assumptions'!$Q$136</f>
        <v>0.05</v>
      </c>
    </row>
    <row r="95" spans="1:16">
      <c r="A95" s="2349"/>
      <c r="B95" s="2349"/>
      <c r="C95" s="2351"/>
      <c r="D95" s="2370" t="s">
        <v>2857</v>
      </c>
      <c r="E95" s="2370"/>
      <c r="F95" s="2370" t="s">
        <v>804</v>
      </c>
      <c r="G95" s="2351"/>
      <c r="H95" s="2400">
        <f>'Part VIII-Threshold Criteria'!K302</f>
        <v>0</v>
      </c>
      <c r="I95" s="2351"/>
      <c r="J95" s="2351"/>
      <c r="K95" s="2351" t="s">
        <v>2858</v>
      </c>
      <c r="L95" s="2351"/>
      <c r="M95" s="2351"/>
      <c r="N95" s="2404">
        <f>IF(H94=0,0,H95/H94)</f>
        <v>0</v>
      </c>
      <c r="O95" s="2362" t="s">
        <v>3720</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3720</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t="str">
        <f>'Part I-Project Information'!P92</f>
        <v>No</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2726</v>
      </c>
      <c r="D107" s="2351"/>
      <c r="E107" s="2351"/>
      <c r="F107" s="2382" t="s">
        <v>2617</v>
      </c>
      <c r="G107" s="2351"/>
      <c r="H107" s="2356" t="str">
        <f>'Part I-Project Information'!H96</f>
        <v>No</v>
      </c>
      <c r="I107" s="2351"/>
      <c r="J107" s="2351"/>
      <c r="K107" s="2382" t="s">
        <v>3927</v>
      </c>
      <c r="L107" s="2356" t="str">
        <f>'Part I-Project Information'!L96</f>
        <v>Yes</v>
      </c>
      <c r="M107" s="2351"/>
      <c r="N107" s="2351"/>
      <c r="O107" s="2362" t="s">
        <v>3921</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2727</v>
      </c>
      <c r="D109" s="2351"/>
      <c r="E109" s="2351"/>
      <c r="F109" s="2359" t="s">
        <v>2696</v>
      </c>
      <c r="G109" s="2351"/>
      <c r="H109" s="2356" t="str">
        <f>'Part I-Project Information'!H98</f>
        <v>No</v>
      </c>
      <c r="I109" s="2407" t="s">
        <v>2728</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2800</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3687</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2722</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3</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2439000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Rea GP Holdings Group II &amp; Rea Ventures Group</v>
      </c>
      <c r="D131" s="2363">
        <f>'Part I-Project Information'!D120</f>
        <v>0</v>
      </c>
      <c r="E131" s="2363">
        <f>'Part I-Project Information'!E120</f>
        <v>0</v>
      </c>
      <c r="F131" s="2363" t="str">
        <f>'Part I-Project Information'!F120</f>
        <v>Abbington on Cheshire Bridge</v>
      </c>
      <c r="G131" s="2363">
        <f>'Part I-Project Information'!G120</f>
        <v>0</v>
      </c>
      <c r="H131" s="2363">
        <f>'Part I-Project Information'!H120</f>
        <v>0</v>
      </c>
      <c r="I131" s="2363" t="str">
        <f>'Part I-Project Information'!I120</f>
        <v>Direct</v>
      </c>
      <c r="J131" s="2363" t="str">
        <f>'Part I-Project Information'!J120</f>
        <v>Brady Communities / Brady Development</v>
      </c>
      <c r="K131" s="2363">
        <f>'Part I-Project Information'!K120</f>
        <v>0</v>
      </c>
      <c r="L131" s="2363">
        <f>'Part I-Project Information'!L120</f>
        <v>0</v>
      </c>
      <c r="M131" s="2363" t="str">
        <f>'Part I-Project Information'!M120</f>
        <v>Abbington on Chesire Bridge</v>
      </c>
      <c r="N131" s="2363">
        <f>'Part I-Project Information'!N120</f>
        <v>0</v>
      </c>
      <c r="O131" s="2363">
        <f>'Part I-Project Information'!O120</f>
        <v>0</v>
      </c>
      <c r="P131" s="2363" t="str">
        <f>'Part I-Project Information'!P120</f>
        <v>Direct</v>
      </c>
    </row>
    <row r="132" spans="1:16" ht="13.5">
      <c r="A132" s="2349"/>
      <c r="B132" s="2349"/>
      <c r="C132" s="2363">
        <f>'Part I-Project Information'!C121</f>
        <v>2</v>
      </c>
      <c r="D132" s="2363">
        <f>'Part I-Project Information'!D121</f>
        <v>0</v>
      </c>
      <c r="E132" s="2363">
        <f>'Part I-Project Information'!E121</f>
        <v>0</v>
      </c>
      <c r="F132" s="2363" t="str">
        <f>'Part I-Project Information'!F121</f>
        <v>Abbington Ridge</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t="str">
        <f>'Part I-Project Information'!M121</f>
        <v>Abbington Ridge</v>
      </c>
      <c r="N132" s="2363">
        <f>'Part I-Project Information'!N121</f>
        <v>0</v>
      </c>
      <c r="O132" s="2363">
        <f>'Part I-Project Information'!O121</f>
        <v>0</v>
      </c>
      <c r="P132" s="2363" t="str">
        <f>'Part I-Project Information'!P121</f>
        <v>Direct</v>
      </c>
    </row>
    <row r="133" spans="1:16" ht="13.5">
      <c r="A133" s="2349"/>
      <c r="B133" s="2349"/>
      <c r="C133" s="2363" t="str">
        <f>'Part I-Project Information'!C122</f>
        <v>Northwest GA Housing Authority</v>
      </c>
      <c r="D133" s="2363">
        <f>'Part I-Project Information'!D122</f>
        <v>0</v>
      </c>
      <c r="E133" s="2363">
        <f>'Part I-Project Information'!E122</f>
        <v>0</v>
      </c>
      <c r="F133" s="2363" t="str">
        <f>'Part I-Project Information'!F122</f>
        <v>Altoview Terrace</v>
      </c>
      <c r="G133" s="2363">
        <f>'Part I-Project Information'!G122</f>
        <v>0</v>
      </c>
      <c r="H133" s="2363">
        <f>'Part I-Project Information'!H122</f>
        <v>0</v>
      </c>
      <c r="I133" s="2363" t="str">
        <f>'Part I-Project Information'!I122</f>
        <v>Direct</v>
      </c>
      <c r="J133" s="2363">
        <f>'Part I-Project Information'!J122</f>
        <v>0</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W.J. Rea, Jr/E Buffenbarger/G Coogle III</v>
      </c>
      <c r="D134" s="2363">
        <f>'Part I-Project Information'!D123</f>
        <v>0</v>
      </c>
      <c r="E134" s="2363">
        <f>'Part I-Project Information'!E123</f>
        <v>0</v>
      </c>
      <c r="F134" s="2363" t="str">
        <f>'Part I-Project Information'!F123</f>
        <v>Abbington on Cheshire Bridge</v>
      </c>
      <c r="G134" s="2363">
        <f>'Part I-Project Information'!G123</f>
        <v>0</v>
      </c>
      <c r="H134" s="2363">
        <f>'Part I-Project Information'!H123</f>
        <v>0</v>
      </c>
      <c r="I134" s="2363" t="str">
        <f>'Part I-Project Information'!I123</f>
        <v>Direct</v>
      </c>
      <c r="J134" s="2363" t="str">
        <f>'Part I-Project Information'!J123</f>
        <v>Sean Brady</v>
      </c>
      <c r="K134" s="2363">
        <f>'Part I-Project Information'!K123</f>
        <v>0</v>
      </c>
      <c r="L134" s="2363">
        <f>'Part I-Project Information'!L123</f>
        <v>0</v>
      </c>
      <c r="M134" s="2363" t="str">
        <f>'Part I-Project Information'!M123</f>
        <v>Abbington on Chesire Bridge</v>
      </c>
      <c r="N134" s="2363">
        <f>'Part I-Project Information'!N123</f>
        <v>0</v>
      </c>
      <c r="O134" s="2363">
        <f>'Part I-Project Information'!O123</f>
        <v>0</v>
      </c>
      <c r="P134" s="2363" t="str">
        <f>'Part I-Project Information'!P123</f>
        <v>Direct</v>
      </c>
    </row>
    <row r="135" spans="1:16" ht="13.5">
      <c r="A135" s="2349"/>
      <c r="B135" s="2349"/>
      <c r="C135" s="2363">
        <f>'Part I-Project Information'!C124</f>
        <v>5</v>
      </c>
      <c r="D135" s="2363">
        <f>'Part I-Project Information'!D124</f>
        <v>0</v>
      </c>
      <c r="E135" s="2363">
        <f>'Part I-Project Information'!E124</f>
        <v>0</v>
      </c>
      <c r="F135" s="2363" t="str">
        <f>'Part I-Project Information'!F124</f>
        <v>Abbington Ridge</v>
      </c>
      <c r="G135" s="2363">
        <f>'Part I-Project Information'!G124</f>
        <v>0</v>
      </c>
      <c r="H135" s="2363">
        <f>'Part I-Project Information'!H124</f>
        <v>0</v>
      </c>
      <c r="I135" s="2363" t="str">
        <f>'Part I-Project Information'!I124</f>
        <v>Direct</v>
      </c>
      <c r="J135" s="2363">
        <f>'Part I-Project Information'!J124</f>
        <v>11</v>
      </c>
      <c r="K135" s="2363">
        <f>'Part I-Project Information'!K124</f>
        <v>0</v>
      </c>
      <c r="L135" s="2363">
        <f>'Part I-Project Information'!L124</f>
        <v>0</v>
      </c>
      <c r="M135" s="2363" t="str">
        <f>'Part I-Project Information'!M124</f>
        <v>Abbington Ridge</v>
      </c>
      <c r="N135" s="2363">
        <f>'Part I-Project Information'!N124</f>
        <v>0</v>
      </c>
      <c r="O135" s="2363">
        <f>'Part I-Project Information'!O124</f>
        <v>0</v>
      </c>
      <c r="P135" s="2363" t="str">
        <f>'Part I-Project Information'!P124</f>
        <v>Direct</v>
      </c>
    </row>
    <row r="136" spans="1:16" ht="13.5">
      <c r="A136" s="2349"/>
      <c r="B136" s="2349"/>
      <c r="C136" s="2363" t="str">
        <f>'Part I-Project Information'!C125</f>
        <v>Northwest GA Housing Authority</v>
      </c>
      <c r="D136" s="2363">
        <f>'Part I-Project Information'!D125</f>
        <v>0</v>
      </c>
      <c r="E136" s="2363">
        <f>'Part I-Project Information'!E125</f>
        <v>0</v>
      </c>
      <c r="F136" s="2363" t="str">
        <f>'Part I-Project Information'!F125</f>
        <v>Altoview Terrace</v>
      </c>
      <c r="G136" s="2363">
        <f>'Part I-Project Information'!G125</f>
        <v>0</v>
      </c>
      <c r="H136" s="2363">
        <f>'Part I-Project Information'!H125</f>
        <v>0</v>
      </c>
      <c r="I136" s="2363" t="str">
        <f>'Part I-Project Information'!I125</f>
        <v>Direct</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t="str">
        <f>'Part I-Project Information'!C130</f>
        <v>Rea GP Holdings Group II &amp; Rea Ventures Group</v>
      </c>
      <c r="D141" s="2363">
        <f>'Part I-Project Information'!D130</f>
        <v>0</v>
      </c>
      <c r="E141" s="2363">
        <f>'Part I-Project Information'!E130</f>
        <v>0</v>
      </c>
      <c r="F141" s="2363" t="str">
        <f>'Part I-Project Information'!F130</f>
        <v>Altoview Terrace</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t="str">
        <f>'Part I-Project Information'!C132</f>
        <v>W.J. Rea, Jr/E Buffenbarger/G Coogle III</v>
      </c>
      <c r="D143" s="2363">
        <f>'Part I-Project Information'!D132</f>
        <v>0</v>
      </c>
      <c r="E143" s="2363">
        <f>'Part I-Project Information'!E132</f>
        <v>0</v>
      </c>
      <c r="F143" s="2363" t="str">
        <f>'Part I-Project Information'!F132</f>
        <v>Altoview Terrace</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t="str">
        <f>'Part I-Project Information'!C134</f>
        <v>Northwest GA Housing Authority (inexp)</v>
      </c>
      <c r="D145" s="2363">
        <f>'Part I-Project Information'!D134</f>
        <v>0</v>
      </c>
      <c r="E145" s="2363">
        <f>'Part I-Project Information'!E134</f>
        <v>0</v>
      </c>
      <c r="F145" s="2363" t="str">
        <f>'Part I-Project Information'!F134</f>
        <v>Altoview Terrace</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2719</v>
      </c>
      <c r="D160" s="2370"/>
      <c r="E160" s="2370"/>
      <c r="F160" s="2356"/>
      <c r="G160" s="2356"/>
      <c r="H160" s="2351"/>
      <c r="I160" s="2351"/>
      <c r="J160" s="2351"/>
      <c r="K160" s="2351"/>
      <c r="L160" s="2351"/>
      <c r="M160" s="2351"/>
      <c r="N160" s="2351"/>
      <c r="O160" s="2351"/>
      <c r="P160" s="2373"/>
    </row>
    <row r="161" spans="1:16">
      <c r="A161" s="2349"/>
      <c r="B161" s="2349"/>
      <c r="C161" s="2370" t="s">
        <v>4771</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Yes</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66</v>
      </c>
      <c r="L167" s="2359" t="s">
        <v>1808</v>
      </c>
      <c r="M167" s="2351"/>
      <c r="N167" s="2351"/>
      <c r="O167" s="2351"/>
      <c r="P167" s="2414">
        <f>IF('Part VI-Revenues &amp; Expenses'!O$60=0,0,K167/'Part VI-Revenues &amp; Expenses'!$O$60)</f>
        <v>1</v>
      </c>
    </row>
    <row r="168" spans="1:16">
      <c r="A168" s="2349"/>
      <c r="B168" s="2349"/>
      <c r="C168" s="2351" t="s">
        <v>4772</v>
      </c>
      <c r="D168" s="2351"/>
      <c r="E168" s="2351"/>
      <c r="F168" s="2351"/>
      <c r="G168" s="2351"/>
      <c r="H168" s="2400">
        <f>'Part I-Project Information'!H157</f>
        <v>66</v>
      </c>
      <c r="I168" s="2357"/>
      <c r="J168" s="2415" t="s">
        <v>3751</v>
      </c>
      <c r="K168" s="2376">
        <f>'Part I-Project Information'!K157</f>
        <v>696</v>
      </c>
      <c r="L168" s="2359" t="s">
        <v>1808</v>
      </c>
      <c r="M168" s="2351"/>
      <c r="N168" s="2351"/>
      <c r="O168" s="2414">
        <f>IF('Part VI-Revenues &amp; Expenses'!$O$60=0,0,H168/'Part VI-Revenues &amp; Expenses'!$O$60)</f>
        <v>1</v>
      </c>
      <c r="P168" s="2414">
        <f>IF('Part VI-Revenues &amp; Expenses'!O$60=0,0,K168/'Part VI-Revenues &amp; Expenses'!$O$60)</f>
        <v>10.545454545454545</v>
      </c>
    </row>
    <row r="169" spans="1:16">
      <c r="A169" s="2349"/>
      <c r="B169" s="2349"/>
      <c r="C169" s="2351" t="s">
        <v>1809</v>
      </c>
      <c r="D169" s="2351"/>
      <c r="E169" s="2351" t="str">
        <f>'Part I-Project Information'!E158</f>
        <v>Northwest Georgia Housing Authority</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t="str">
        <f>'Part I-Project Information'!M158</f>
        <v>Sandra Hudson</v>
      </c>
      <c r="N169" s="2351">
        <f>'Part I-Project Information'!N158</f>
        <v>0</v>
      </c>
      <c r="O169" s="2351">
        <f>'Part I-Project Information'!O158</f>
        <v>0</v>
      </c>
      <c r="P169" s="2351">
        <f>'Part I-Project Information'!P158</f>
        <v>0</v>
      </c>
    </row>
    <row r="170" spans="1:16">
      <c r="A170" s="2349"/>
      <c r="B170" s="2349"/>
      <c r="C170" s="2359" t="s">
        <v>1811</v>
      </c>
      <c r="D170" s="2362"/>
      <c r="E170" s="2351" t="str">
        <f>'Part I-Project Information'!E159</f>
        <v>329 W 9th St</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7063783940</v>
      </c>
      <c r="N170" s="2372">
        <f>'Part I-Project Information'!N159</f>
        <v>0</v>
      </c>
      <c r="O170" s="2372">
        <f>'Part I-Project Information'!O159</f>
        <v>0</v>
      </c>
      <c r="P170" s="2351"/>
    </row>
    <row r="171" spans="1:16">
      <c r="A171" s="2349"/>
      <c r="B171" s="2349"/>
      <c r="C171" s="2359" t="s">
        <v>624</v>
      </c>
      <c r="D171" s="2351"/>
      <c r="E171" s="2351" t="str">
        <f>'Part I-Project Information'!E160</f>
        <v>Rome</v>
      </c>
      <c r="F171" s="2351">
        <f>'Part I-Project Information'!F160</f>
        <v>0</v>
      </c>
      <c r="G171" s="2351">
        <f>'Part I-Project Information'!G160</f>
        <v>0</v>
      </c>
      <c r="H171" s="2351">
        <f>'Part I-Project Information'!H160</f>
        <v>0</v>
      </c>
      <c r="I171" s="2356" t="s">
        <v>2245</v>
      </c>
      <c r="J171" s="2371">
        <f>'Part I-Project Information'!J160</f>
        <v>301610000</v>
      </c>
      <c r="K171" s="2371">
        <f>'Part I-Project Information'!K160</f>
        <v>0</v>
      </c>
      <c r="L171" s="2359" t="s">
        <v>1995</v>
      </c>
      <c r="M171" s="2372">
        <f>'Part I-Project Information'!M160</f>
        <v>7062524635</v>
      </c>
      <c r="N171" s="2372">
        <f>'Part I-Project Information'!N160</f>
        <v>0</v>
      </c>
      <c r="O171" s="2372">
        <f>'Part I-Project Information'!O160</f>
        <v>0</v>
      </c>
      <c r="P171" s="2351"/>
    </row>
    <row r="172" spans="1:16">
      <c r="A172" s="2349"/>
      <c r="B172" s="2349"/>
      <c r="C172" s="2359" t="s">
        <v>1814</v>
      </c>
      <c r="D172" s="2351"/>
      <c r="E172" s="2372">
        <f>'Part I-Project Information'!E161</f>
        <v>7063783940</v>
      </c>
      <c r="F172" s="2372">
        <f>'Part I-Project Information'!F161</f>
        <v>0</v>
      </c>
      <c r="G172" s="2372">
        <f>'Part I-Project Information'!G161</f>
        <v>0</v>
      </c>
      <c r="H172" s="2356"/>
      <c r="I172" s="2356" t="s">
        <v>1813</v>
      </c>
      <c r="J172" s="2367" t="str">
        <f>'Part I-Project Information'!J161</f>
        <v>shudson@nwgha.com</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2720</v>
      </c>
      <c r="D174" s="2402"/>
      <c r="E174" s="2402"/>
      <c r="F174" s="2402"/>
      <c r="G174" s="2402"/>
      <c r="H174" s="2351"/>
      <c r="I174" s="2376" t="str">
        <f>'Part I-Project Information'!I163</f>
        <v>No</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2721</v>
      </c>
      <c r="D176" s="2402"/>
      <c r="E176" s="2402"/>
      <c r="F176" s="2402"/>
      <c r="G176" s="2402"/>
      <c r="H176" s="2351"/>
      <c r="I176" s="2376" t="str">
        <f>'Part I-Project Information'!I165</f>
        <v>Yes</v>
      </c>
      <c r="J176" s="2382" t="s">
        <v>769</v>
      </c>
      <c r="K176" s="2382"/>
      <c r="L176" s="2376">
        <f>'Part I-Project Information'!L165</f>
        <v>2040</v>
      </c>
      <c r="M176" s="2351" t="s">
        <v>2342</v>
      </c>
      <c r="N176" s="2351"/>
      <c r="O176" s="2351"/>
      <c r="P176" s="2417">
        <f>'Part I-Project Information'!P165</f>
        <v>5</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2770</v>
      </c>
      <c r="K180" s="2351"/>
      <c r="L180" s="2382" t="s">
        <v>4773</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Yes</v>
      </c>
    </row>
    <row r="185" spans="1:16">
      <c r="A185" s="2349"/>
      <c r="B185" s="2349"/>
      <c r="C185" s="2351" t="s">
        <v>2229</v>
      </c>
      <c r="D185" s="2351"/>
      <c r="E185" s="2351"/>
      <c r="F185" s="2351"/>
      <c r="G185" s="2351"/>
      <c r="H185" s="2351"/>
      <c r="I185" s="2376" t="str">
        <f>'Part I-Project Information'!I174</f>
        <v>No</v>
      </c>
      <c r="J185" s="2351"/>
      <c r="K185" s="2351"/>
      <c r="L185" s="2351" t="s">
        <v>2862</v>
      </c>
      <c r="M185" s="2351"/>
      <c r="N185" s="2351"/>
      <c r="O185" s="2351"/>
      <c r="P185" s="2376" t="str">
        <f>'Part I-Project Information'!P174</f>
        <v>No</v>
      </c>
    </row>
    <row r="186" spans="1:16" ht="13.5">
      <c r="A186" s="2349"/>
      <c r="B186" s="2351"/>
      <c r="C186" s="2351" t="s">
        <v>2740</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f>'Part I-Project Information'!P175</f>
        <v>0</v>
      </c>
    </row>
    <row r="187" spans="1:16" ht="13.5">
      <c r="A187" s="2349"/>
      <c r="B187" s="2349"/>
      <c r="C187" s="2351" t="s">
        <v>1297</v>
      </c>
      <c r="D187" s="2421"/>
      <c r="E187" s="2351"/>
      <c r="F187" s="2351"/>
      <c r="G187" s="2351"/>
      <c r="H187" s="2351"/>
      <c r="I187" s="2376" t="str">
        <f>'Part I-Project Information'!I176</f>
        <v>No</v>
      </c>
      <c r="J187" s="2351"/>
      <c r="K187" s="2348"/>
      <c r="L187" s="2351" t="s">
        <v>3504</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2771</v>
      </c>
      <c r="K188" s="2351"/>
      <c r="L188" s="2351"/>
      <c r="M188" s="2351"/>
      <c r="N188" s="2351"/>
      <c r="O188" s="2422">
        <f>'Part I-Project Information'!O177</f>
        <v>0</v>
      </c>
      <c r="P188" s="2422">
        <f>'Part I-Project Information'!P177</f>
        <v>0</v>
      </c>
    </row>
    <row r="189" spans="1:16">
      <c r="A189" s="2349"/>
      <c r="B189" s="2349"/>
      <c r="C189" s="2351" t="s">
        <v>2920</v>
      </c>
      <c r="D189" s="2351"/>
      <c r="E189" s="2351"/>
      <c r="F189" s="2351"/>
      <c r="G189" s="2351"/>
      <c r="H189" s="2351"/>
      <c r="I189" s="2376" t="str">
        <f>'Part I-Project Information'!I178</f>
        <v>No</v>
      </c>
      <c r="J189" s="2418" t="s">
        <v>2771</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44105</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2799</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NWGHA has a CHAP on 76 units for Willingham Village which is being transfered to this property. Based on HUD's CHAP timeline, they needed to apply in this LIHTC round, They are in the process of transferring 66 of the 76 RAD units to Altoview Terrace.  15% of these 66 units will house Special Target Population Prefercence by way of MOU to 10 of the units at Altoview Terrace.  
***Request for Waiver of  Project Cap Limitation***
William J. Rea, Jr. as Certifying Entity for Rea Ventures Group, LLC's current year applications (Abbington on Cheshire Bridge &amp; Abbington Ridge) was approached by NWGHA with a partnering opportunity.  At Preapplication NWGHA was deemed "Not Qualified and must Partner with a qualified Certifying Entity" on PA18-070 Altoview Terrace.  As we are currently partnering with NWGHA on two 4% RAD rehabs in Rome, we were the logical choice to partner with them on their 2018 9% applicaiton, Altoview Terrace.  The 2018 QAP states the following under Threshold Criteria (Page 40 of 64):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on Cheshire Bridge and Abbington Ridge respectfully request that DCA waives the Award Limitation of Maximum Ownership /Development Interests (Page 27 of 46 in the QAP Core) of only 2 selected projects, if all three of the applications ultimately would have been selected based on all other QAP criteria.</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2018-045 Altoview Terrace,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4518</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4315</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Altoview Terrace,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Sandra Hudson</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329 West 9th St</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 of GP</v>
      </c>
      <c r="R209" s="2351">
        <f>'Part II-Development Team'!R6</f>
        <v>0</v>
      </c>
      <c r="S209" s="2351">
        <f>'Part II-Development Team'!S6</f>
        <v>0</v>
      </c>
    </row>
    <row r="210" spans="1:19">
      <c r="A210" s="2351"/>
      <c r="B210" s="2351"/>
      <c r="C210" s="2351"/>
      <c r="D210" s="2424"/>
      <c r="E210" s="2359" t="s">
        <v>624</v>
      </c>
      <c r="F210" s="2351"/>
      <c r="G210" s="2351"/>
      <c r="H210" s="2351" t="str">
        <f>'Part II-Development Team'!H7</f>
        <v>Rome</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7063783940</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301610000</v>
      </c>
      <c r="K211" s="2371">
        <f>'Part II-Development Team'!K8</f>
        <v>0</v>
      </c>
      <c r="L211" s="2351" t="s">
        <v>3712</v>
      </c>
      <c r="M211" s="2351" t="str">
        <f>'Part II-Development Team'!M8</f>
        <v>For Profit</v>
      </c>
      <c r="N211" s="2351">
        <f>'Part II-Development Team'!N8</f>
        <v>0</v>
      </c>
      <c r="O211" s="2359" t="s">
        <v>1995</v>
      </c>
      <c r="P211" s="2351"/>
      <c r="Q211" s="2372">
        <f>'Part II-Development Team'!Q8</f>
        <v>7062524635</v>
      </c>
      <c r="R211" s="2372">
        <f>'Part II-Development Team'!R8</f>
        <v>0</v>
      </c>
      <c r="S211" s="2372">
        <f>'Part II-Development Team'!S8</f>
        <v>0</v>
      </c>
    </row>
    <row r="212" spans="1:19">
      <c r="A212" s="2351"/>
      <c r="B212" s="2351"/>
      <c r="C212" s="2351"/>
      <c r="D212" s="2424"/>
      <c r="E212" s="2359" t="s">
        <v>4316</v>
      </c>
      <c r="F212" s="2351"/>
      <c r="G212" s="2351"/>
      <c r="H212" s="2372">
        <f>'Part II-Development Team'!H9</f>
        <v>7063783940</v>
      </c>
      <c r="I212" s="2372">
        <f>'Part II-Development Team'!I9</f>
        <v>0</v>
      </c>
      <c r="J212" s="2376">
        <f>'Part II-Development Team'!J9</f>
        <v>0</v>
      </c>
      <c r="K212" s="2356" t="s">
        <v>2000</v>
      </c>
      <c r="L212" s="2367" t="str">
        <f>'Part II-Development Team'!L9</f>
        <v>shudson@nwgha.com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4315</v>
      </c>
      <c r="F213" s="2351"/>
      <c r="G213" s="2351"/>
      <c r="H213" s="2416"/>
      <c r="I213" s="2351"/>
      <c r="J213" s="2351"/>
      <c r="K213" s="2363"/>
      <c r="L213" s="2351"/>
      <c r="M213" s="2351"/>
      <c r="N213" s="2348" t="s">
        <v>4543</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Altoview Terrace GP 2018,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Sandra Hudson</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329 West 9th St</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Rome</v>
      </c>
      <c r="I219" s="2351">
        <f>'Part II-Development Team'!I16</f>
        <v>0</v>
      </c>
      <c r="J219" s="2351">
        <f>'Part II-Development Team'!J16</f>
        <v>0</v>
      </c>
      <c r="K219" s="2356" t="s">
        <v>2722</v>
      </c>
      <c r="L219" s="2351" t="str">
        <f>'Part II-Development Team'!L16</f>
        <v>www.nwgha.com</v>
      </c>
      <c r="M219" s="2351">
        <f>'Part II-Development Team'!M16</f>
        <v>0</v>
      </c>
      <c r="N219" s="2351">
        <f>'Part II-Development Team'!N16</f>
        <v>0</v>
      </c>
      <c r="O219" s="2359" t="s">
        <v>1734</v>
      </c>
      <c r="P219" s="2351"/>
      <c r="Q219" s="2372">
        <f>'Part II-Development Team'!Q16</f>
        <v>7063783940</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301610000</v>
      </c>
      <c r="M220" s="2371">
        <f>'Part II-Development Team'!M17</f>
        <v>0</v>
      </c>
      <c r="N220" s="2351"/>
      <c r="O220" s="2359" t="s">
        <v>1995</v>
      </c>
      <c r="P220" s="2351"/>
      <c r="Q220" s="2372">
        <f>'Part II-Development Team'!Q17</f>
        <v>7062524635</v>
      </c>
      <c r="R220" s="2372">
        <f>'Part II-Development Team'!R17</f>
        <v>0</v>
      </c>
      <c r="S220" s="2372">
        <f>'Part II-Development Team'!S17</f>
        <v>0</v>
      </c>
    </row>
    <row r="221" spans="1:19">
      <c r="A221" s="2351"/>
      <c r="B221" s="2351"/>
      <c r="C221" s="2351"/>
      <c r="D221" s="2424"/>
      <c r="E221" s="2359" t="s">
        <v>4316</v>
      </c>
      <c r="F221" s="2351"/>
      <c r="G221" s="2351"/>
      <c r="H221" s="2372">
        <f>'Part II-Development Team'!H18</f>
        <v>7063783940</v>
      </c>
      <c r="I221" s="2372">
        <f>'Part II-Development Team'!I18</f>
        <v>0</v>
      </c>
      <c r="J221" s="2376">
        <f>'Part II-Development Team'!J18</f>
        <v>0</v>
      </c>
      <c r="K221" s="2356" t="s">
        <v>2000</v>
      </c>
      <c r="L221" s="2367" t="str">
        <f>'Part II-Development Team'!L18</f>
        <v>shudson@nwgha,com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2722</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4316</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2722</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4316</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4315</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Boston Capital</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Peter Flynn</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One Boston Place, 21st Floor</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VP Acquistions</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 xml:space="preserve">Boston  </v>
      </c>
      <c r="I238" s="2351">
        <f>'Part II-Development Team'!I35</f>
        <v>0</v>
      </c>
      <c r="J238" s="2351">
        <f>'Part II-Development Team'!J35</f>
        <v>0</v>
      </c>
      <c r="K238" s="2356" t="s">
        <v>2722</v>
      </c>
      <c r="L238" s="2351" t="str">
        <f>'Part II-Development Team'!L35</f>
        <v>www.bostoncapital.com</v>
      </c>
      <c r="M238" s="2351">
        <f>'Part II-Development Team'!M35</f>
        <v>0</v>
      </c>
      <c r="N238" s="2351">
        <f>'Part II-Development Team'!N35</f>
        <v>0</v>
      </c>
      <c r="O238" s="2359" t="s">
        <v>1734</v>
      </c>
      <c r="P238" s="2351"/>
      <c r="Q238" s="2372">
        <f>'Part II-Development Team'!Q35</f>
        <v>6179145367</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MA</v>
      </c>
      <c r="I239" s="2351"/>
      <c r="J239" s="2351"/>
      <c r="K239" s="2356" t="s">
        <v>2245</v>
      </c>
      <c r="L239" s="2371">
        <f>'Part II-Development Team'!L36</f>
        <v>21080000</v>
      </c>
      <c r="M239" s="2371">
        <f>'Part II-Development Team'!M36</f>
        <v>0</v>
      </c>
      <c r="N239" s="2351"/>
      <c r="O239" s="2359" t="s">
        <v>1995</v>
      </c>
      <c r="P239" s="2351"/>
      <c r="Q239" s="2372">
        <f>'Part II-Development Team'!Q36</f>
        <v>0</v>
      </c>
      <c r="R239" s="2372">
        <f>'Part II-Development Team'!R36</f>
        <v>0</v>
      </c>
      <c r="S239" s="2372">
        <f>'Part II-Development Team'!S36</f>
        <v>0</v>
      </c>
    </row>
    <row r="240" spans="1:19">
      <c r="A240" s="2351"/>
      <c r="B240" s="2351"/>
      <c r="C240" s="2351"/>
      <c r="D240" s="2424"/>
      <c r="E240" s="2359" t="s">
        <v>4316</v>
      </c>
      <c r="F240" s="2351"/>
      <c r="G240" s="2351"/>
      <c r="H240" s="2372">
        <f>'Part II-Development Team'!H37</f>
        <v>6176248625</v>
      </c>
      <c r="I240" s="2372">
        <f>'Part II-Development Team'!I37</f>
        <v>0</v>
      </c>
      <c r="J240" s="2376">
        <f>'Part II-Development Team'!J37</f>
        <v>0</v>
      </c>
      <c r="K240" s="2356" t="s">
        <v>2000</v>
      </c>
      <c r="L240" s="2367" t="str">
        <f>'Part II-Development Team'!L37</f>
        <v>pflynn@bostoncapital.com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Boston Capital</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Peter Flynn</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One Boston Place, 21st Floor</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VP Acquistions</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 xml:space="preserve">Boston  </v>
      </c>
      <c r="I244" s="2351">
        <f>'Part II-Development Team'!I41</f>
        <v>0</v>
      </c>
      <c r="J244" s="2351">
        <f>'Part II-Development Team'!J41</f>
        <v>0</v>
      </c>
      <c r="K244" s="2356" t="s">
        <v>2722</v>
      </c>
      <c r="L244" s="2351" t="str">
        <f>'Part II-Development Team'!L41</f>
        <v>www.bostoncapital.com</v>
      </c>
      <c r="M244" s="2351">
        <f>'Part II-Development Team'!M41</f>
        <v>0</v>
      </c>
      <c r="N244" s="2351">
        <f>'Part II-Development Team'!N41</f>
        <v>0</v>
      </c>
      <c r="O244" s="2359" t="s">
        <v>1734</v>
      </c>
      <c r="P244" s="2351"/>
      <c r="Q244" s="2372">
        <f>'Part II-Development Team'!Q41</f>
        <v>6179145367</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MA</v>
      </c>
      <c r="I245" s="2351"/>
      <c r="J245" s="2351"/>
      <c r="K245" s="2356" t="s">
        <v>2245</v>
      </c>
      <c r="L245" s="2371">
        <f>'Part II-Development Team'!L42</f>
        <v>21080000</v>
      </c>
      <c r="M245" s="2371">
        <f>'Part II-Development Team'!M42</f>
        <v>0</v>
      </c>
      <c r="N245" s="2351"/>
      <c r="O245" s="2359" t="s">
        <v>1995</v>
      </c>
      <c r="P245" s="2351"/>
      <c r="Q245" s="2372">
        <f>'Part II-Development Team'!Q42</f>
        <v>0</v>
      </c>
      <c r="R245" s="2372">
        <f>'Part II-Development Team'!R42</f>
        <v>0</v>
      </c>
      <c r="S245" s="2372">
        <f>'Part II-Development Team'!S42</f>
        <v>0</v>
      </c>
    </row>
    <row r="246" spans="1:19">
      <c r="A246" s="2351"/>
      <c r="B246" s="2351"/>
      <c r="C246" s="2351"/>
      <c r="D246" s="2424"/>
      <c r="E246" s="2359" t="s">
        <v>4316</v>
      </c>
      <c r="F246" s="2351"/>
      <c r="G246" s="2351"/>
      <c r="H246" s="2372">
        <f>'Part II-Development Team'!H43</f>
        <v>6176248625</v>
      </c>
      <c r="I246" s="2372">
        <f>'Part II-Development Team'!I43</f>
        <v>0</v>
      </c>
      <c r="J246" s="2376">
        <f>'Part II-Development Team'!J43</f>
        <v>0</v>
      </c>
      <c r="K246" s="2356" t="s">
        <v>2000</v>
      </c>
      <c r="L246" s="2367" t="str">
        <f>'Part II-Development Team'!L43</f>
        <v>pflynn@bostoncapital.com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4315</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2722</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4316</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4315</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Rea Ventures Group,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William J. Rea, Jr.</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2964 Peachtree Rd NW Suite 200</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Atlanta</v>
      </c>
      <c r="I259" s="2351">
        <f>'Part II-Development Team'!I56</f>
        <v>0</v>
      </c>
      <c r="J259" s="2351">
        <f>'Part II-Development Team'!J56</f>
        <v>0</v>
      </c>
      <c r="K259" s="2356" t="s">
        <v>2722</v>
      </c>
      <c r="L259" s="2351" t="str">
        <f>'Part II-Development Team'!L56</f>
        <v>www.reaventures.com</v>
      </c>
      <c r="M259" s="2351">
        <f>'Part II-Development Team'!M56</f>
        <v>0</v>
      </c>
      <c r="N259" s="2351">
        <f>'Part II-Development Team'!N56</f>
        <v>0</v>
      </c>
      <c r="O259" s="2359" t="s">
        <v>1734</v>
      </c>
      <c r="P259" s="2351"/>
      <c r="Q259" s="2372">
        <f>'Part II-Development Team'!Q56</f>
        <v>4042731892</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303050000</v>
      </c>
      <c r="M260" s="2371">
        <f>'Part II-Development Team'!M57</f>
        <v>0</v>
      </c>
      <c r="N260" s="2351"/>
      <c r="O260" s="2359" t="s">
        <v>1995</v>
      </c>
      <c r="P260" s="2351"/>
      <c r="Q260" s="2372">
        <f>'Part II-Development Team'!Q57</f>
        <v>4042731892</v>
      </c>
      <c r="R260" s="2372">
        <f>'Part II-Development Team'!R57</f>
        <v>0</v>
      </c>
      <c r="S260" s="2372">
        <f>'Part II-Development Team'!S57</f>
        <v>0</v>
      </c>
    </row>
    <row r="261" spans="1:19">
      <c r="A261" s="2351"/>
      <c r="B261" s="2351"/>
      <c r="C261" s="2351"/>
      <c r="D261" s="2424"/>
      <c r="E261" s="2359" t="s">
        <v>4316</v>
      </c>
      <c r="F261" s="2351"/>
      <c r="G261" s="2351"/>
      <c r="H261" s="2372">
        <f>'Part II-Development Team'!H58</f>
        <v>4042504093</v>
      </c>
      <c r="I261" s="2372">
        <f>'Part II-Development Team'!I58</f>
        <v>0</v>
      </c>
      <c r="J261" s="2376">
        <f>'Part II-Development Team'!J58</f>
        <v>703</v>
      </c>
      <c r="K261" s="2356" t="s">
        <v>2000</v>
      </c>
      <c r="L261" s="2367" t="str">
        <f>'Part II-Development Team'!L58</f>
        <v>billrea@reaventures.com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Northwest Georgia Housing Authority</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t="str">
        <f>'Part II-Development Team'!Q60</f>
        <v>Sandra Hudson</v>
      </c>
      <c r="R263" s="2351">
        <f>'Part II-Development Team'!R60</f>
        <v>0</v>
      </c>
      <c r="S263" s="2351">
        <f>'Part II-Development Team'!S60</f>
        <v>0</v>
      </c>
    </row>
    <row r="264" spans="1:19">
      <c r="A264" s="2351"/>
      <c r="B264" s="2351"/>
      <c r="C264" s="2351"/>
      <c r="D264" s="2424"/>
      <c r="E264" s="2359" t="s">
        <v>1031</v>
      </c>
      <c r="F264" s="2362"/>
      <c r="G264" s="2351"/>
      <c r="H264" s="2351" t="str">
        <f>'Part II-Development Team'!H61</f>
        <v>329 West 9th St</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t="str">
        <f>'Part II-Development Team'!Q61</f>
        <v>Executive Director</v>
      </c>
      <c r="R264" s="2351">
        <f>'Part II-Development Team'!R61</f>
        <v>0</v>
      </c>
      <c r="S264" s="2351">
        <f>'Part II-Development Team'!S61</f>
        <v>0</v>
      </c>
    </row>
    <row r="265" spans="1:19">
      <c r="A265" s="2351"/>
      <c r="B265" s="2351"/>
      <c r="C265" s="2351"/>
      <c r="D265" s="2424"/>
      <c r="E265" s="2359" t="s">
        <v>624</v>
      </c>
      <c r="F265" s="2351"/>
      <c r="G265" s="2351"/>
      <c r="H265" s="2351" t="str">
        <f>'Part II-Development Team'!H62</f>
        <v>Rome</v>
      </c>
      <c r="I265" s="2351">
        <f>'Part II-Development Team'!I62</f>
        <v>0</v>
      </c>
      <c r="J265" s="2351">
        <f>'Part II-Development Team'!J62</f>
        <v>0</v>
      </c>
      <c r="K265" s="2356" t="s">
        <v>2722</v>
      </c>
      <c r="L265" s="2351" t="str">
        <f>'Part II-Development Team'!L62</f>
        <v>www.nwgha,com</v>
      </c>
      <c r="M265" s="2351">
        <f>'Part II-Development Team'!M62</f>
        <v>0</v>
      </c>
      <c r="N265" s="2351">
        <f>'Part II-Development Team'!N62</f>
        <v>0</v>
      </c>
      <c r="O265" s="2359" t="s">
        <v>1734</v>
      </c>
      <c r="P265" s="2351"/>
      <c r="Q265" s="2372">
        <f>'Part II-Development Team'!Q62</f>
        <v>7063783940</v>
      </c>
      <c r="R265" s="2372">
        <f>'Part II-Development Team'!R62</f>
        <v>0</v>
      </c>
      <c r="S265" s="2372">
        <f>'Part II-Development Team'!S62</f>
        <v>0</v>
      </c>
    </row>
    <row r="266" spans="1:19">
      <c r="A266" s="2351"/>
      <c r="B266" s="2351"/>
      <c r="C266" s="2351"/>
      <c r="D266" s="2351"/>
      <c r="E266" s="2359" t="s">
        <v>1812</v>
      </c>
      <c r="F266" s="2351"/>
      <c r="G266" s="2351"/>
      <c r="H266" s="2359" t="str">
        <f>'Part II-Development Team'!H63</f>
        <v>GA</v>
      </c>
      <c r="I266" s="2351"/>
      <c r="J266" s="2351"/>
      <c r="K266" s="2356" t="s">
        <v>2245</v>
      </c>
      <c r="L266" s="2371">
        <f>'Part II-Development Team'!L63</f>
        <v>301650000</v>
      </c>
      <c r="M266" s="2371">
        <f>'Part II-Development Team'!M63</f>
        <v>0</v>
      </c>
      <c r="N266" s="2351"/>
      <c r="O266" s="2359" t="s">
        <v>1995</v>
      </c>
      <c r="P266" s="2351"/>
      <c r="Q266" s="2372">
        <f>'Part II-Development Team'!Q63</f>
        <v>7062524635</v>
      </c>
      <c r="R266" s="2372">
        <f>'Part II-Development Team'!R63</f>
        <v>0</v>
      </c>
      <c r="S266" s="2372">
        <f>'Part II-Development Team'!S63</f>
        <v>0</v>
      </c>
    </row>
    <row r="267" spans="1:19">
      <c r="A267" s="2351"/>
      <c r="B267" s="2351"/>
      <c r="C267" s="2351"/>
      <c r="D267" s="2424"/>
      <c r="E267" s="2359" t="s">
        <v>4316</v>
      </c>
      <c r="F267" s="2351"/>
      <c r="G267" s="2351"/>
      <c r="H267" s="2372">
        <f>'Part II-Development Team'!H64</f>
        <v>7063783940</v>
      </c>
      <c r="I267" s="2372">
        <f>'Part II-Development Team'!I64</f>
        <v>0</v>
      </c>
      <c r="J267" s="2376">
        <f>'Part II-Development Team'!J64</f>
        <v>0</v>
      </c>
      <c r="K267" s="2356" t="s">
        <v>2000</v>
      </c>
      <c r="L267" s="2367" t="str">
        <f>'Part II-Development Team'!L64</f>
        <v>shudson@nwgha.com</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2722</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4316</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2722</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4316</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4315</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2722</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4316</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Great Southern, LLC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Mike McGlamry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2009 Springhill Drive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Manager</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Valdosta</v>
      </c>
      <c r="I291" s="2351">
        <f>'Part II-Development Team'!I88</f>
        <v>0</v>
      </c>
      <c r="J291" s="2351">
        <f>'Part II-Development Team'!J88</f>
        <v>0</v>
      </c>
      <c r="K291" s="2356" t="s">
        <v>2722</v>
      </c>
      <c r="L291" s="2351" t="str">
        <f>'Part II-Development Team'!L88</f>
        <v>www.greatsouthernllc.com</v>
      </c>
      <c r="M291" s="2351">
        <f>'Part II-Development Team'!M88</f>
        <v>0</v>
      </c>
      <c r="N291" s="2351">
        <f>'Part II-Development Team'!N88</f>
        <v>0</v>
      </c>
      <c r="O291" s="2359" t="s">
        <v>1734</v>
      </c>
      <c r="P291" s="2351"/>
      <c r="Q291" s="2372">
        <f>'Part II-Development Team'!Q88</f>
        <v>2293789997</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316022135</v>
      </c>
      <c r="M292" s="2371">
        <f>'Part II-Development Team'!M89</f>
        <v>0</v>
      </c>
      <c r="N292" s="2351"/>
      <c r="O292" s="2359" t="s">
        <v>1995</v>
      </c>
      <c r="P292" s="2351"/>
      <c r="Q292" s="2372">
        <f>'Part II-Development Team'!Q89</f>
        <v>2295619997</v>
      </c>
      <c r="R292" s="2372">
        <f>'Part II-Development Team'!R89</f>
        <v>0</v>
      </c>
      <c r="S292" s="2372">
        <f>'Part II-Development Team'!S89</f>
        <v>0</v>
      </c>
    </row>
    <row r="293" spans="1:19">
      <c r="A293" s="2351"/>
      <c r="B293" s="2351"/>
      <c r="C293" s="2351"/>
      <c r="D293" s="2424"/>
      <c r="E293" s="2359" t="s">
        <v>4316</v>
      </c>
      <c r="F293" s="2351"/>
      <c r="G293" s="2351"/>
      <c r="H293" s="2372">
        <f>'Part II-Development Team'!H90</f>
        <v>2295066876</v>
      </c>
      <c r="I293" s="2372">
        <f>'Part II-Development Team'!I90</f>
        <v>0</v>
      </c>
      <c r="J293" s="2376">
        <f>'Part II-Development Team'!J90</f>
        <v>0</v>
      </c>
      <c r="K293" s="2356" t="s">
        <v>2000</v>
      </c>
      <c r="L293" s="2367" t="str">
        <f>'Part II-Development Team'!L90</f>
        <v>mike@greatsouthernllc.com</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Northwest Georgia Housing Authority</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Sandra Hudson</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329 West 9th St</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Executive Director</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Rome</v>
      </c>
      <c r="I297" s="2351">
        <f>'Part II-Development Team'!I94</f>
        <v>0</v>
      </c>
      <c r="J297" s="2351">
        <f>'Part II-Development Team'!J94</f>
        <v>0</v>
      </c>
      <c r="K297" s="2356" t="s">
        <v>2722</v>
      </c>
      <c r="L297" s="2351" t="str">
        <f>'Part II-Development Team'!L94</f>
        <v>www.nwgha,com</v>
      </c>
      <c r="M297" s="2351">
        <f>'Part II-Development Team'!M94</f>
        <v>0</v>
      </c>
      <c r="N297" s="2351">
        <f>'Part II-Development Team'!N94</f>
        <v>0</v>
      </c>
      <c r="O297" s="2359" t="s">
        <v>1734</v>
      </c>
      <c r="P297" s="2351"/>
      <c r="Q297" s="2372">
        <f>'Part II-Development Team'!Q94</f>
        <v>7063783940</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2245</v>
      </c>
      <c r="L298" s="2371">
        <f>'Part II-Development Team'!L95</f>
        <v>301650000</v>
      </c>
      <c r="M298" s="2371">
        <f>'Part II-Development Team'!M95</f>
        <v>0</v>
      </c>
      <c r="N298" s="2351"/>
      <c r="O298" s="2359" t="s">
        <v>1995</v>
      </c>
      <c r="P298" s="2351"/>
      <c r="Q298" s="2372">
        <f>'Part II-Development Team'!Q95</f>
        <v>7062524635</v>
      </c>
      <c r="R298" s="2372">
        <f>'Part II-Development Team'!R95</f>
        <v>0</v>
      </c>
      <c r="S298" s="2372">
        <f>'Part II-Development Team'!S95</f>
        <v>0</v>
      </c>
    </row>
    <row r="299" spans="1:19">
      <c r="A299" s="2351"/>
      <c r="B299" s="2351"/>
      <c r="C299" s="2351"/>
      <c r="D299" s="2424"/>
      <c r="E299" s="2359" t="s">
        <v>4316</v>
      </c>
      <c r="F299" s="2351"/>
      <c r="G299" s="2351"/>
      <c r="H299" s="2372">
        <f>'Part II-Development Team'!H96</f>
        <v>7063783940</v>
      </c>
      <c r="I299" s="2372">
        <f>'Part II-Development Team'!I96</f>
        <v>0</v>
      </c>
      <c r="J299" s="2376">
        <f>'Part II-Development Team'!J96</f>
        <v>0</v>
      </c>
      <c r="K299" s="2356" t="s">
        <v>2000</v>
      </c>
      <c r="L299" s="2367" t="str">
        <f>'Part II-Development Team'!L96</f>
        <v>shudson@nwgha.com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Brinson Askew Berry</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Stewart Duncan</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615 West First St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 xml:space="preserve">Rome </v>
      </c>
      <c r="I303" s="2351">
        <f>'Part II-Development Team'!I100</f>
        <v>0</v>
      </c>
      <c r="J303" s="2351">
        <f>'Part II-Development Team'!J100</f>
        <v>0</v>
      </c>
      <c r="K303" s="2356" t="s">
        <v>2722</v>
      </c>
      <c r="L303" s="2351" t="str">
        <f>'Part II-Development Team'!L100</f>
        <v>www.brinson-askew.com</v>
      </c>
      <c r="M303" s="2351">
        <f>'Part II-Development Team'!M100</f>
        <v>0</v>
      </c>
      <c r="N303" s="2351">
        <f>'Part II-Development Team'!N100</f>
        <v>0</v>
      </c>
      <c r="O303" s="2359" t="s">
        <v>1734</v>
      </c>
      <c r="P303" s="2351"/>
      <c r="Q303" s="2372">
        <f>'Part II-Development Team'!Q100</f>
        <v>7062950567</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301625007</v>
      </c>
      <c r="M304" s="2371">
        <f>'Part II-Development Team'!M101</f>
        <v>0</v>
      </c>
      <c r="N304" s="2351"/>
      <c r="O304" s="2359" t="s">
        <v>1995</v>
      </c>
      <c r="P304" s="2351"/>
      <c r="Q304" s="2372">
        <f>'Part II-Development Team'!Q101</f>
        <v>0</v>
      </c>
      <c r="R304" s="2372">
        <f>'Part II-Development Team'!R101</f>
        <v>0</v>
      </c>
      <c r="S304" s="2372">
        <f>'Part II-Development Team'!S101</f>
        <v>0</v>
      </c>
    </row>
    <row r="305" spans="1:19">
      <c r="A305" s="2358"/>
      <c r="B305" s="2358"/>
      <c r="C305" s="2358"/>
      <c r="D305" s="2358"/>
      <c r="E305" s="2359" t="s">
        <v>4316</v>
      </c>
      <c r="F305" s="2351"/>
      <c r="G305" s="2351"/>
      <c r="H305" s="2372">
        <f>'Part II-Development Team'!H102</f>
        <v>7062918853</v>
      </c>
      <c r="I305" s="2372">
        <f>'Part II-Development Team'!I102</f>
        <v>0</v>
      </c>
      <c r="J305" s="2376">
        <f>'Part II-Development Team'!J102</f>
        <v>0</v>
      </c>
      <c r="K305" s="2356" t="s">
        <v>2000</v>
      </c>
      <c r="L305" s="2367" t="str">
        <f>'Part II-Development Team'!L102</f>
        <v>isduggan@brinson-askew.com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Aprio</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Frank Gudger</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Five Concourse Pkwy, STE 1000</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Parnter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Atlanta</v>
      </c>
      <c r="I309" s="2351">
        <f>'Part II-Development Team'!I106</f>
        <v>0</v>
      </c>
      <c r="J309" s="2351">
        <f>'Part II-Development Team'!J106</f>
        <v>0</v>
      </c>
      <c r="K309" s="2356" t="s">
        <v>2722</v>
      </c>
      <c r="L309" s="2351" t="str">
        <f>'Part II-Development Team'!L106</f>
        <v>www.hawcpa.com</v>
      </c>
      <c r="M309" s="2351">
        <f>'Part II-Development Team'!M106</f>
        <v>0</v>
      </c>
      <c r="N309" s="2351">
        <f>'Part II-Development Team'!N106</f>
        <v>0</v>
      </c>
      <c r="O309" s="2359" t="s">
        <v>1734</v>
      </c>
      <c r="P309" s="2351"/>
      <c r="Q309" s="2372">
        <f>'Part II-Development Team'!Q106</f>
        <v>4048988244</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303286132</v>
      </c>
      <c r="M310" s="2371">
        <f>'Part II-Development Team'!M107</f>
        <v>0</v>
      </c>
      <c r="N310" s="2351"/>
      <c r="O310" s="2359" t="s">
        <v>1995</v>
      </c>
      <c r="P310" s="2351"/>
      <c r="Q310" s="2372">
        <f>'Part II-Development Team'!Q107</f>
        <v>6783620453</v>
      </c>
      <c r="R310" s="2372">
        <f>'Part II-Development Team'!R107</f>
        <v>0</v>
      </c>
      <c r="S310" s="2372">
        <f>'Part II-Development Team'!S107</f>
        <v>0</v>
      </c>
    </row>
    <row r="311" spans="1:19">
      <c r="A311" s="2358"/>
      <c r="B311" s="2358"/>
      <c r="C311" s="2358"/>
      <c r="D311" s="2358"/>
      <c r="E311" s="2359" t="s">
        <v>4316</v>
      </c>
      <c r="F311" s="2351"/>
      <c r="G311" s="2351"/>
      <c r="H311" s="2372">
        <f>'Part II-Development Team'!H108</f>
        <v>4048988244</v>
      </c>
      <c r="I311" s="2372">
        <f>'Part II-Development Team'!I108</f>
        <v>0</v>
      </c>
      <c r="J311" s="2376">
        <f>'Part II-Development Team'!J108</f>
        <v>0</v>
      </c>
      <c r="K311" s="2356" t="s">
        <v>2000</v>
      </c>
      <c r="L311" s="2367" t="str">
        <f>'Part II-Development Team'!L108</f>
        <v>frank.gudger@hawcpa.com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Seven Hills Architecture</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Bruce Mitchell</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21 Somerset Lane</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Principal</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Cartersville</v>
      </c>
      <c r="I315" s="2351">
        <f>'Part II-Development Team'!I112</f>
        <v>0</v>
      </c>
      <c r="J315" s="2351">
        <f>'Part II-Development Team'!J112</f>
        <v>0</v>
      </c>
      <c r="K315" s="2356" t="s">
        <v>2722</v>
      </c>
      <c r="L315" s="2351" t="str">
        <f>'Part II-Development Team'!L112</f>
        <v>www.sevenhillsarchitectue.com</v>
      </c>
      <c r="M315" s="2351">
        <f>'Part II-Development Team'!M112</f>
        <v>0</v>
      </c>
      <c r="N315" s="2351">
        <f>'Part II-Development Team'!N112</f>
        <v>0</v>
      </c>
      <c r="O315" s="2359" t="s">
        <v>1734</v>
      </c>
      <c r="P315" s="2351"/>
      <c r="Q315" s="2372">
        <f>'Part II-Development Team'!Q112</f>
        <v>7705008727</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301210000</v>
      </c>
      <c r="M316" s="2371">
        <f>'Part II-Development Team'!M113</f>
        <v>0</v>
      </c>
      <c r="N316" s="2351"/>
      <c r="O316" s="2359" t="s">
        <v>1995</v>
      </c>
      <c r="P316" s="2351"/>
      <c r="Q316" s="2372">
        <f>'Part II-Development Team'!Q113</f>
        <v>7705008727</v>
      </c>
      <c r="R316" s="2372">
        <f>'Part II-Development Team'!R113</f>
        <v>0</v>
      </c>
      <c r="S316" s="2372">
        <f>'Part II-Development Team'!S113</f>
        <v>0</v>
      </c>
    </row>
    <row r="317" spans="1:19">
      <c r="A317" s="2351"/>
      <c r="B317" s="2351"/>
      <c r="C317" s="2351"/>
      <c r="D317" s="2424"/>
      <c r="E317" s="2359" t="s">
        <v>4316</v>
      </c>
      <c r="F317" s="2351"/>
      <c r="G317" s="2351"/>
      <c r="H317" s="2372">
        <f>'Part II-Development Team'!H114</f>
        <v>7705008727</v>
      </c>
      <c r="I317" s="2372">
        <f>'Part II-Development Team'!I114</f>
        <v>0</v>
      </c>
      <c r="J317" s="2376">
        <f>'Part II-Development Team'!J114</f>
        <v>0</v>
      </c>
      <c r="K317" s="2356" t="s">
        <v>2000</v>
      </c>
      <c r="L317" s="2367" t="str">
        <f>'Part II-Development Team'!L114</f>
        <v>bruce@sevenhillsarchitecture.com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4774</v>
      </c>
      <c r="D320" s="2351"/>
      <c r="E320" s="2351"/>
      <c r="F320" s="2351"/>
      <c r="G320" s="2351"/>
      <c r="H320" s="2351" t="str">
        <f>'Part II-Development Team'!H117</f>
        <v>Ground Lease- See GL</v>
      </c>
      <c r="I320" s="2351">
        <f>'Part II-Development Team'!I117</f>
        <v>0</v>
      </c>
      <c r="J320" s="2351">
        <f>'Part II-Development Team'!J117</f>
        <v>0</v>
      </c>
      <c r="K320" s="2356" t="s">
        <v>2490</v>
      </c>
      <c r="L320" s="2351">
        <f>'Part II-Development Team'!L117</f>
        <v>0</v>
      </c>
      <c r="M320" s="2351">
        <f>'Part II-Development Team'!M117</f>
        <v>0</v>
      </c>
      <c r="N320" s="2351">
        <f>'Part II-Development Team'!N117</f>
        <v>0</v>
      </c>
      <c r="O320" s="2359" t="s">
        <v>3601</v>
      </c>
      <c r="P320" s="2351"/>
      <c r="Q320" s="2351">
        <f>'Part II-Development Team'!Q117</f>
        <v>0</v>
      </c>
      <c r="R320" s="2351">
        <f>'Part II-Development Team'!R117</f>
        <v>0</v>
      </c>
      <c r="S320" s="2351">
        <f>'Part II-Development Team'!S117</f>
        <v>0</v>
      </c>
    </row>
    <row r="321" spans="1:19">
      <c r="A321" s="2351"/>
      <c r="B321" s="2351"/>
      <c r="C321" s="2351"/>
      <c r="D321" s="2424"/>
      <c r="E321" s="2359" t="s">
        <v>1031</v>
      </c>
      <c r="F321" s="2362"/>
      <c r="G321" s="2351"/>
      <c r="H321" s="2351">
        <f>'Part II-Development Team'!H118</f>
        <v>0</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f>'Part II-Development Team'!Q118</f>
        <v>0</v>
      </c>
      <c r="R321" s="2351">
        <f>'Part II-Development Team'!R118</f>
        <v>0</v>
      </c>
      <c r="S321" s="2351">
        <f>'Part II-Development Team'!S118</f>
        <v>0</v>
      </c>
    </row>
    <row r="322" spans="1:19">
      <c r="A322" s="2351"/>
      <c r="B322" s="2351"/>
      <c r="C322" s="2351"/>
      <c r="D322" s="2424"/>
      <c r="E322" s="2359" t="s">
        <v>1812</v>
      </c>
      <c r="F322" s="2351"/>
      <c r="G322" s="2351"/>
      <c r="H322" s="2359">
        <f>'Part II-Development Team'!H119</f>
        <v>0</v>
      </c>
      <c r="I322" s="2356" t="s">
        <v>2245</v>
      </c>
      <c r="J322" s="2371">
        <f>'Part II-Development Team'!J119</f>
        <v>0</v>
      </c>
      <c r="K322" s="2371">
        <f>'Part II-Development Team'!K119</f>
        <v>0</v>
      </c>
      <c r="L322" s="2356" t="s">
        <v>2000</v>
      </c>
      <c r="M322" s="2367">
        <f>'Part II-Development Team'!M119</f>
        <v>0</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2852</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3910</v>
      </c>
      <c r="B324" s="2430"/>
      <c r="C324" s="2430"/>
      <c r="D324" s="2430"/>
      <c r="E324" s="2430"/>
      <c r="F324" s="2376" t="s">
        <v>2527</v>
      </c>
      <c r="G324" s="2365" t="s">
        <v>3500</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2853</v>
      </c>
      <c r="E325" s="2347"/>
      <c r="F325" s="2432" t="str">
        <f>'Part II-Development Team'!F122</f>
        <v>Yes</v>
      </c>
      <c r="G325" s="2433" t="str">
        <f>'Part II-Development Team'!G122</f>
        <v>William J. Rea, Jr. owns 45% interest in the Contractor and 58% of the Developer, Rea Ventures Group, LLC.</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2919</v>
      </c>
      <c r="E326" s="2347"/>
      <c r="F326" s="2432" t="str">
        <f>'Part II-Development Team'!F123</f>
        <v>Yes</v>
      </c>
      <c r="G326" s="2433" t="str">
        <f>'Part II-Development Team'!G123</f>
        <v xml:space="preserve">Northwest Georgia Housing Authority, a co-developer of this development, will continue to own the land and lease it through a long-term ground lease to the partnership's ownership entity.  </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2895</v>
      </c>
      <c r="E327" s="2347"/>
      <c r="F327" s="2432" t="str">
        <f>'Part II-Development Team'!F124</f>
        <v>Yes</v>
      </c>
      <c r="G327" s="2433" t="str">
        <f>'Part II-Development Team'!G124</f>
        <v>William J. Rea, Jr. owns a 45% interest in the Contractor (Great Southern, LLC) and 58% of the General Partner's uppier tier member (Rea GP Holdings Group II, LLC, which is the 51% Member of Altoview Terrace GP 2018, LLC, the GP).</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2854</v>
      </c>
      <c r="E328" s="2347"/>
      <c r="F328" s="2432">
        <f>'Part II-Development Team'!F125</f>
        <v>0</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3487</v>
      </c>
      <c r="E329" s="2347"/>
      <c r="F329" s="2432">
        <f>'Part II-Development Team'!F126</f>
        <v>0</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3488</v>
      </c>
      <c r="E330" s="2347"/>
      <c r="F330" s="2432">
        <f>'Part II-Development Team'!F127</f>
        <v>0</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2855</v>
      </c>
      <c r="E331" s="2347"/>
      <c r="F331" s="2432">
        <f>'Part II-Development Team'!F128</f>
        <v>0</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f>'Part II-Development Team'!F129</f>
        <v>0</v>
      </c>
      <c r="G332" s="2433">
        <f>'Part II-Development Team'!G129</f>
        <v>0</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4775</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2856</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3468</v>
      </c>
      <c r="F336" s="2347"/>
      <c r="G336" s="2347"/>
      <c r="H336" s="2347"/>
      <c r="I336" s="2347"/>
      <c r="J336" s="2347" t="s">
        <v>3469</v>
      </c>
      <c r="K336" s="2434" t="s">
        <v>4776</v>
      </c>
      <c r="L336" s="2434" t="s">
        <v>4777</v>
      </c>
      <c r="M336" s="2434" t="s">
        <v>4778</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4779</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2925</v>
      </c>
      <c r="O340" s="2382"/>
      <c r="P340" s="2382"/>
      <c r="Q340" s="2382"/>
      <c r="R340" s="2382"/>
      <c r="S340" s="2382"/>
    </row>
    <row r="341" spans="1:19" ht="13.5" customHeight="1">
      <c r="A341" s="2423" t="s">
        <v>3463</v>
      </c>
      <c r="B341" s="2423"/>
      <c r="C341" s="2423"/>
      <c r="D341" s="2423"/>
      <c r="E341" s="2433">
        <f>'Part II-Development Team'!E138</f>
        <v>0</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3464</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3465</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3466</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0.99980000000000002</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3467</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1E-4</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2912</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13.5">
      <c r="A347" s="2423" t="s">
        <v>659</v>
      </c>
      <c r="B347" s="2423"/>
      <c r="C347" s="2423"/>
      <c r="D347" s="2423"/>
      <c r="E347" s="2433">
        <f>'Part II-Development Team'!E144</f>
        <v>0</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t="str">
        <f>'Part II-Development Team'!L144</f>
        <v>NA</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2913</v>
      </c>
      <c r="B348" s="2423"/>
      <c r="C348" s="2423"/>
      <c r="D348" s="2423"/>
      <c r="E348" s="2433">
        <f>'Part II-Development Team'!E145</f>
        <v>0</v>
      </c>
      <c r="F348" s="2433">
        <f>'Part II-Development Team'!F145</f>
        <v>0</v>
      </c>
      <c r="G348" s="2433">
        <f>'Part II-Development Team'!G145</f>
        <v>0</v>
      </c>
      <c r="H348" s="2433">
        <f>'Part II-Development Team'!H145</f>
        <v>0</v>
      </c>
      <c r="I348" s="2432" t="str">
        <f>'Part II-Development Team'!I145</f>
        <v>No</v>
      </c>
      <c r="J348" s="2432" t="str">
        <f>'Part II-Development Team'!J145</f>
        <v>No</v>
      </c>
      <c r="K348" s="2437" t="str">
        <f>'Part II-Development Team'!K145</f>
        <v>For Profit</v>
      </c>
      <c r="L348" s="2438" t="str">
        <f>'Part II-Development Team'!L145</f>
        <v>NA</v>
      </c>
      <c r="M348" s="2432" t="str">
        <f>'Part II-Development Team'!M145</f>
        <v>No</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2914</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2916</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2915</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13.5">
      <c r="A352" s="2423" t="s">
        <v>1541</v>
      </c>
      <c r="B352" s="2423"/>
      <c r="C352" s="2423"/>
      <c r="D352" s="2423"/>
      <c r="E352" s="2433">
        <f>'Part II-Development Team'!E149</f>
        <v>0</v>
      </c>
      <c r="F352" s="2433">
        <f>'Part II-Development Team'!F149</f>
        <v>0</v>
      </c>
      <c r="G352" s="2433">
        <f>'Part II-Development Team'!G149</f>
        <v>0</v>
      </c>
      <c r="H352" s="2433">
        <f>'Part II-Development Team'!H149</f>
        <v>0</v>
      </c>
      <c r="I352" s="2432">
        <f>'Part II-Development Team'!I149</f>
        <v>0</v>
      </c>
      <c r="J352" s="2432">
        <f>'Part II-Development Team'!J149</f>
        <v>0</v>
      </c>
      <c r="K352" s="2437">
        <f>'Part II-Development Team'!K149</f>
        <v>0</v>
      </c>
      <c r="L352" s="2438">
        <f>'Part II-Development Team'!L149</f>
        <v>0</v>
      </c>
      <c r="M352" s="2432">
        <f>'Part II-Development Team'!M149</f>
        <v>0</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2917</v>
      </c>
      <c r="B353" s="2423"/>
      <c r="C353" s="2423"/>
      <c r="D353" s="2423"/>
      <c r="E353" s="2433">
        <f>'Part II-Development Team'!E150</f>
        <v>0</v>
      </c>
      <c r="F353" s="2433">
        <f>'Part II-Development Team'!F150</f>
        <v>0</v>
      </c>
      <c r="G353" s="2433">
        <f>'Part II-Development Team'!G150</f>
        <v>0</v>
      </c>
      <c r="H353" s="2433">
        <f>'Part II-Development Team'!H150</f>
        <v>0</v>
      </c>
      <c r="I353" s="2432">
        <f>'Part II-Development Team'!I150</f>
        <v>0</v>
      </c>
      <c r="J353" s="2432">
        <f>'Part II-Development Team'!J150</f>
        <v>0</v>
      </c>
      <c r="K353" s="2437">
        <f>'Part II-Development Team'!K150</f>
        <v>0</v>
      </c>
      <c r="L353" s="2438">
        <f>'Part II-Development Team'!L150</f>
        <v>0</v>
      </c>
      <c r="M353" s="2432">
        <f>'Part II-Development Team'!M150</f>
        <v>0</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William J. Rea, Jr., as Certifying Entity for Rea Ventures Group, LLC (co-developer) and Rea GP Holdings Group II, LLC (51% Owner of GP at the upper-tier) has been deemed qualified by DCA.  NWGHA received a letter (May 3, 2018) stating they needed to partner with a qualified Certyfying Entity. This is the reason REA is involved with this application. Per the Development Services Agreement and the ownership structure of the GP, William J. Rea, Jr. satisfies the QAP requirement of Effective Control to act as the Certifying Entity of the Developer and Owner for this project team.</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2018-045 Altoview Terrace, Rome, Floyd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3917</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3914</v>
      </c>
      <c r="D370" s="2363"/>
      <c r="E370" s="2363"/>
      <c r="F370" s="2409">
        <f>'Part III-Sources of Funds'!F7</f>
        <v>0</v>
      </c>
      <c r="G370" s="2409">
        <f>'Part III-Sources of Funds'!G7</f>
        <v>0</v>
      </c>
      <c r="H370" s="2356" t="str">
        <f>'Part III-Sources of Funds'!H7</f>
        <v>No</v>
      </c>
      <c r="I370" s="2359" t="s">
        <v>3704</v>
      </c>
      <c r="J370" s="2363"/>
      <c r="K370" s="2363"/>
      <c r="L370" s="2356" t="str">
        <f>'Part III-Sources of Funds'!L7</f>
        <v>No</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3709</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3915</v>
      </c>
      <c r="D373" s="2363"/>
      <c r="E373" s="2363"/>
      <c r="F373" s="2363"/>
      <c r="G373" s="2440"/>
      <c r="H373" s="2356" t="str">
        <f>'Part III-Sources of Funds'!H10</f>
        <v>No</v>
      </c>
      <c r="I373" s="2351" t="s">
        <v>3745</v>
      </c>
      <c r="J373" s="2347"/>
      <c r="K373" s="2347"/>
      <c r="L373" s="2356" t="str">
        <f>'Part III-Sources of Funds'!L10</f>
        <v>Yes</v>
      </c>
      <c r="M373" s="2359" t="s">
        <v>3747</v>
      </c>
      <c r="N373" s="2363"/>
      <c r="O373" s="2363" t="str">
        <f>'Part III-Sources of Funds'!O10</f>
        <v>RAD</v>
      </c>
      <c r="P373" s="2363">
        <f>'Part III-Sources of Funds'!P10</f>
        <v>0</v>
      </c>
      <c r="Q373" s="2363">
        <f>'Part III-Sources of Funds'!Q10</f>
        <v>0</v>
      </c>
    </row>
    <row r="374" spans="1:17" ht="13.5">
      <c r="A374" s="2349"/>
      <c r="B374" s="2356" t="str">
        <f>'Part III-Sources of Funds'!B11</f>
        <v>No</v>
      </c>
      <c r="C374" s="2359" t="s">
        <v>4780</v>
      </c>
      <c r="D374" s="2351"/>
      <c r="E374" s="2441">
        <f>'Part III-Sources of Funds'!E11</f>
        <v>0</v>
      </c>
      <c r="F374" s="2442">
        <f>'Part III-Sources of Funds'!F11</f>
        <v>0</v>
      </c>
      <c r="G374" s="2363"/>
      <c r="H374" s="2356" t="str">
        <f>'Part III-Sources of Funds'!H11</f>
        <v>No</v>
      </c>
      <c r="I374" s="2351" t="s">
        <v>3750</v>
      </c>
      <c r="J374" s="2363"/>
      <c r="K374" s="2363"/>
      <c r="L374" s="2356" t="str">
        <f>'Part III-Sources of Funds'!L11</f>
        <v>No</v>
      </c>
      <c r="M374" s="2351" t="s">
        <v>3643</v>
      </c>
      <c r="N374" s="2363"/>
      <c r="O374" s="2363"/>
      <c r="P374" s="2363"/>
      <c r="Q374" s="2363"/>
    </row>
    <row r="375" spans="1:17" ht="13.5">
      <c r="A375" s="2349"/>
      <c r="B375" s="2356" t="str">
        <f>'Part III-Sources of Funds'!B12</f>
        <v>No</v>
      </c>
      <c r="C375" s="2359" t="s">
        <v>4781</v>
      </c>
      <c r="D375" s="2363"/>
      <c r="E375" s="2441">
        <f>'Part III-Sources of Funds'!E12</f>
        <v>0</v>
      </c>
      <c r="F375" s="2442">
        <f>'Part III-Sources of Funds'!F12</f>
        <v>0</v>
      </c>
      <c r="G375" s="2363"/>
      <c r="H375" s="2356" t="str">
        <f>'Part III-Sources of Funds'!H12</f>
        <v>No</v>
      </c>
      <c r="I375" s="2413" t="s">
        <v>2813</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3746</v>
      </c>
      <c r="D376" s="2363"/>
      <c r="E376" s="2363" t="str">
        <f>'Part III-Sources of Funds'!E13</f>
        <v>Specify Other HOME Source here</v>
      </c>
      <c r="F376" s="2363">
        <f>'Part III-Sources of Funds'!F13</f>
        <v>0</v>
      </c>
      <c r="G376" s="2363">
        <f>'Part III-Sources of Funds'!G13</f>
        <v>0</v>
      </c>
      <c r="H376" s="2356" t="str">
        <f>'Part III-Sources of Funds'!H13</f>
        <v>No</v>
      </c>
      <c r="I376" s="2359" t="s">
        <v>3916</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3710</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ht="25.5">
      <c r="A382" s="2351"/>
      <c r="B382" s="2351" t="s">
        <v>1603</v>
      </c>
      <c r="C382" s="2351"/>
      <c r="D382" s="2351"/>
      <c r="E382" s="2351"/>
      <c r="F382" s="2351"/>
      <c r="G382" s="2351"/>
      <c r="H382" s="2430" t="str">
        <f>'Part III-Sources of Funds'!H19</f>
        <v>Synovus Bank of Rome</v>
      </c>
      <c r="I382" s="2430">
        <f>'Part III-Sources of Funds'!I19</f>
        <v>0</v>
      </c>
      <c r="J382" s="2430">
        <f>'Part III-Sources of Funds'!J19</f>
        <v>0</v>
      </c>
      <c r="K382" s="2430">
        <f>'Part III-Sources of Funds'!K19</f>
        <v>0</v>
      </c>
      <c r="L382" s="2366">
        <f>'Part III-Sources of Funds'!L19</f>
        <v>9130000</v>
      </c>
      <c r="M382" s="2366">
        <f>'Part III-Sources of Funds'!M19</f>
        <v>0</v>
      </c>
      <c r="N382" s="2443">
        <f>'Part III-Sources of Funds'!N19</f>
        <v>5.9499999999999997E-2</v>
      </c>
      <c r="O382" s="2443">
        <f>'Part III-Sources of Funds'!O19</f>
        <v>0</v>
      </c>
      <c r="P382" s="2444">
        <f>'Part III-Sources of Funds'!P19</f>
        <v>24</v>
      </c>
      <c r="Q382" s="2444">
        <f>'Part III-Sources of Funds'!Q19</f>
        <v>0</v>
      </c>
    </row>
    <row r="383" spans="1:17">
      <c r="A383" s="2351"/>
      <c r="B383" s="2351" t="s">
        <v>1604</v>
      </c>
      <c r="C383" s="2351"/>
      <c r="D383" s="2351"/>
      <c r="E383" s="2351"/>
      <c r="F383" s="2351"/>
      <c r="G383" s="2351"/>
      <c r="H383" s="2430">
        <f>'Part III-Sources of Funds'!H20</f>
        <v>0</v>
      </c>
      <c r="I383" s="2430">
        <f>'Part III-Sources of Funds'!I20</f>
        <v>0</v>
      </c>
      <c r="J383" s="2430">
        <f>'Part III-Sources of Funds'!J20</f>
        <v>0</v>
      </c>
      <c r="K383" s="2430">
        <f>'Part III-Sources of Funds'!K20</f>
        <v>0</v>
      </c>
      <c r="L383" s="2366">
        <f>'Part III-Sources of Funds'!L20</f>
        <v>0</v>
      </c>
      <c r="M383" s="2366">
        <f>'Part III-Sources of Funds'!M20</f>
        <v>0</v>
      </c>
      <c r="N383" s="2443">
        <f>'Part III-Sources of Funds'!N20</f>
        <v>0</v>
      </c>
      <c r="O383" s="2443">
        <f>'Part III-Sources of Funds'!O20</f>
        <v>0</v>
      </c>
      <c r="P383" s="2444">
        <f>'Part III-Sources of Funds'!P20</f>
        <v>0</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13.5">
      <c r="A388" s="2351"/>
      <c r="B388" s="2351" t="s">
        <v>810</v>
      </c>
      <c r="C388" s="2351"/>
      <c r="D388" s="2351"/>
      <c r="E388" s="2351"/>
      <c r="F388" s="2363"/>
      <c r="G388" s="2363"/>
      <c r="H388" s="2430" t="str">
        <f>'Part III-Sources of Funds'!H25</f>
        <v xml:space="preserve">Boston Capital </v>
      </c>
      <c r="I388" s="2430">
        <f>'Part III-Sources of Funds'!I25</f>
        <v>0</v>
      </c>
      <c r="J388" s="2430">
        <f>'Part III-Sources of Funds'!J25</f>
        <v>0</v>
      </c>
      <c r="K388" s="2430">
        <f>'Part III-Sources of Funds'!K25</f>
        <v>0</v>
      </c>
      <c r="L388" s="2366">
        <f>'Part III-Sources of Funds'!L25</f>
        <v>1994801</v>
      </c>
      <c r="M388" s="2366">
        <f>'Part III-Sources of Funds'!M25</f>
        <v>0</v>
      </c>
      <c r="N388" s="2351"/>
      <c r="O388" s="2351"/>
      <c r="P388" s="2351"/>
      <c r="Q388" s="2351"/>
    </row>
    <row r="389" spans="1:17" ht="13.5">
      <c r="A389" s="2351"/>
      <c r="B389" s="2351" t="s">
        <v>811</v>
      </c>
      <c r="C389" s="2351"/>
      <c r="D389" s="2351"/>
      <c r="E389" s="2351"/>
      <c r="F389" s="2363"/>
      <c r="G389" s="2363"/>
      <c r="H389" s="2430" t="str">
        <f>'Part III-Sources of Funds'!H26</f>
        <v xml:space="preserve">Boston Capital </v>
      </c>
      <c r="I389" s="2430">
        <f>'Part III-Sources of Funds'!I26</f>
        <v>0</v>
      </c>
      <c r="J389" s="2430">
        <f>'Part III-Sources of Funds'!J26</f>
        <v>0</v>
      </c>
      <c r="K389" s="2430">
        <f>'Part III-Sources of Funds'!K26</f>
        <v>0</v>
      </c>
      <c r="L389" s="2366">
        <f>'Part III-Sources of Funds'!L26</f>
        <v>1329867</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12454668</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12263401.35</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191266.65000000037</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c r="A400" s="2351"/>
      <c r="B400" s="2351" t="s">
        <v>2631</v>
      </c>
      <c r="C400" s="2351"/>
      <c r="D400" s="2351"/>
      <c r="E400" s="2430">
        <f>'Part III-Sources of Funds'!E37</f>
        <v>0</v>
      </c>
      <c r="F400" s="2430">
        <f>'Part III-Sources of Funds'!F37</f>
        <v>0</v>
      </c>
      <c r="G400" s="2430">
        <f>'Part III-Sources of Funds'!G37</f>
        <v>0</v>
      </c>
      <c r="H400" s="2430">
        <f>'Part III-Sources of Funds'!H37</f>
        <v>0</v>
      </c>
      <c r="I400" s="2387">
        <f>'Part III-Sources of Funds'!I37</f>
        <v>0</v>
      </c>
      <c r="J400" s="2351">
        <f>'Part III-Sources of Funds'!J37</f>
        <v>0</v>
      </c>
      <c r="K400" s="2448">
        <f>'Part III-Sources of Funds'!K37</f>
        <v>0</v>
      </c>
      <c r="L400" s="2356">
        <f>'Part III-Sources of Funds'!L37</f>
        <v>0</v>
      </c>
      <c r="M400" s="2356">
        <f>'Part III-Sources of Funds'!M37</f>
        <v>0</v>
      </c>
      <c r="N400" s="2449" t="str">
        <f>'Part III-Sources of Funds'!N37</f>
        <v/>
      </c>
      <c r="O400" s="2449">
        <f>'Part III-Sources of Funds'!O37</f>
        <v>0</v>
      </c>
      <c r="P400" s="2351">
        <f>'Part III-Sources of Funds'!P37</f>
        <v>0</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2766</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38.25">
      <c r="A405" s="2351"/>
      <c r="B405" s="2351" t="s">
        <v>230</v>
      </c>
      <c r="C405" s="2351"/>
      <c r="D405" s="2450">
        <f>'Part III-Sources of Funds'!D42</f>
        <v>0.11032727272727273</v>
      </c>
      <c r="E405" s="2430" t="str">
        <f>'Part III-Sources of Funds'!E42</f>
        <v>NWGHA and Rea Ventures Group, LLC</v>
      </c>
      <c r="F405" s="2430">
        <f>'Part III-Sources of Funds'!F42</f>
        <v>0</v>
      </c>
      <c r="G405" s="2430">
        <f>'Part III-Sources of Funds'!G42</f>
        <v>0</v>
      </c>
      <c r="H405" s="2430">
        <f>'Part III-Sources of Funds'!H42</f>
        <v>0</v>
      </c>
      <c r="I405" s="2387">
        <f>'Part III-Sources of Funds'!I42</f>
        <v>182040</v>
      </c>
      <c r="J405" s="2351">
        <f>'Part III-Sources of Funds'!J42</f>
        <v>0</v>
      </c>
      <c r="K405" s="2448">
        <f>'Part III-Sources of Funds'!K42</f>
        <v>0</v>
      </c>
      <c r="L405" s="2356">
        <f>'Part III-Sources of Funds'!L42</f>
        <v>0</v>
      </c>
      <c r="M405" s="2356">
        <f>'Part III-Sources of Funds'!M42</f>
        <v>0</v>
      </c>
      <c r="N405" s="2449">
        <f>'Part III-Sources of Funds'!N42</f>
        <v>0</v>
      </c>
      <c r="O405" s="2449">
        <f>'Part III-Sources of Funds'!O42</f>
        <v>0</v>
      </c>
      <c r="P405" s="2351">
        <f>'Part III-Sources of Funds'!P42</f>
        <v>0</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4236</v>
      </c>
      <c r="C407" s="2351"/>
      <c r="D407" s="2363"/>
      <c r="E407" s="2363" t="s">
        <v>4129</v>
      </c>
      <c r="F407" s="2454" t="e">
        <f>'Part III-Sources of Funds'!F44</f>
        <v>#N/A</v>
      </c>
      <c r="G407" s="2363"/>
      <c r="H407" s="2440" t="s">
        <v>4235</v>
      </c>
      <c r="I407" s="2454" t="e">
        <f>'Part III-Sources of Funds'!I44</f>
        <v>#N/A</v>
      </c>
      <c r="J407" s="2363"/>
      <c r="K407" s="2448"/>
      <c r="L407" s="2356"/>
      <c r="M407" s="2356"/>
      <c r="N407" s="2453"/>
      <c r="O407" s="2453"/>
      <c r="P407" s="2356"/>
      <c r="Q407" s="2356"/>
    </row>
    <row r="408" spans="1:17" ht="13.5">
      <c r="A408" s="2351"/>
      <c r="B408" s="2363" t="s">
        <v>4782</v>
      </c>
      <c r="C408" s="2351"/>
      <c r="D408" s="2450"/>
      <c r="E408" s="2363"/>
      <c r="F408" s="2455" t="e">
        <f>'Part III-Sources of Funds'!F45</f>
        <v>#N/A</v>
      </c>
      <c r="G408" s="2455">
        <f>'Part III-Sources of Funds'!G45</f>
        <v>0</v>
      </c>
      <c r="H408" s="2440" t="s">
        <v>4237</v>
      </c>
      <c r="I408" s="2455" t="e">
        <f>'Part III-Sources of Funds'!I45</f>
        <v>#N/A</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13.5">
      <c r="A412" s="2351"/>
      <c r="B412" s="2351" t="s">
        <v>810</v>
      </c>
      <c r="C412" s="2351"/>
      <c r="D412" s="2351"/>
      <c r="E412" s="2430" t="str">
        <f>'Part III-Sources of Funds'!E49</f>
        <v>Boston Capital</v>
      </c>
      <c r="F412" s="2430">
        <f>'Part III-Sources of Funds'!F49</f>
        <v>0</v>
      </c>
      <c r="G412" s="2430">
        <f>'Part III-Sources of Funds'!G49</f>
        <v>0</v>
      </c>
      <c r="H412" s="2430">
        <f>'Part III-Sources of Funds'!H49</f>
        <v>0</v>
      </c>
      <c r="I412" s="2387">
        <f>'Part III-Sources of Funds'!I49</f>
        <v>7979202</v>
      </c>
      <c r="J412" s="2351">
        <f>'Part III-Sources of Funds'!J49</f>
        <v>0</v>
      </c>
      <c r="K412" s="2363"/>
      <c r="L412" s="2458">
        <f>'Part IV-A-Uses of Funds'!$J$175*10*'Part IV-A-Uses of Funds'!$N$168</f>
        <v>7980000</v>
      </c>
      <c r="M412" s="2458"/>
      <c r="N412" s="2459">
        <f>I412-L412</f>
        <v>-798</v>
      </c>
      <c r="O412" s="2459"/>
      <c r="P412" s="2460" t="s">
        <v>2577</v>
      </c>
      <c r="Q412" s="2351"/>
    </row>
    <row r="413" spans="1:17" ht="13.5">
      <c r="A413" s="2351"/>
      <c r="B413" s="2351" t="s">
        <v>811</v>
      </c>
      <c r="C413" s="2351"/>
      <c r="D413" s="2351"/>
      <c r="E413" s="2430" t="str">
        <f>'Part III-Sources of Funds'!E50</f>
        <v>Boston Capital</v>
      </c>
      <c r="F413" s="2430">
        <f>'Part III-Sources of Funds'!F50</f>
        <v>0</v>
      </c>
      <c r="G413" s="2430">
        <f>'Part III-Sources of Funds'!G50</f>
        <v>0</v>
      </c>
      <c r="H413" s="2430">
        <f>'Part III-Sources of Funds'!H50</f>
        <v>0</v>
      </c>
      <c r="I413" s="2387">
        <f>'Part III-Sources of Funds'!I50</f>
        <v>5319468</v>
      </c>
      <c r="J413" s="2351">
        <f>'Part III-Sources of Funds'!J50</f>
        <v>0</v>
      </c>
      <c r="K413" s="2363"/>
      <c r="L413" s="2458">
        <f>'Part IV-A-Uses of Funds'!$J$175*10*'Part IV-A-Uses of Funds'!$Q$168</f>
        <v>5320000.0000000009</v>
      </c>
      <c r="M413" s="2458"/>
      <c r="N413" s="2459">
        <f>I413-L413</f>
        <v>-532.00000000093132</v>
      </c>
      <c r="O413" s="2459"/>
      <c r="P413" s="2461">
        <f>I412/I422</f>
        <v>0.59189774075963286</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0.39459849383975526</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0.98649623459938818</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13480710</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13480710.35</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-0.34999999962747097</v>
      </c>
      <c r="J423" s="2446"/>
      <c r="K423" s="2351"/>
      <c r="L423" s="2356"/>
      <c r="M423" s="2430"/>
      <c r="N423" s="2430"/>
      <c r="O423" s="2430"/>
      <c r="P423" s="2430"/>
      <c r="Q423" s="2351"/>
    </row>
    <row r="424" spans="1:17">
      <c r="A424" s="2351" t="s">
        <v>3489</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The project will have no permanent mortgage since the property can not support the required debt service coverage ratios as a result of the low median incomes in the Rome MSA.  Alternatively it will be financed with Federal and State 9% LIHTC credits and deferred developer fee.  The property is able to maintain the required ratio of 1.10 of Effective Gross Income to Total Annual Expenses.
Boston Capital is investing in the deal in return for 99.99% of the credits and losses.  Their investment rate is equal to $0.84 of the Federal Credit Allocated to them and $0.56 of the State Credit Allocated to them.</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2018-045 Altoview Terrace,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2018-045 Altoview Terrace,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7500</v>
      </c>
      <c r="H444" s="2366">
        <f>'Part IV-A-Uses of Funds'!H8</f>
        <v>0</v>
      </c>
      <c r="I444" s="2351"/>
      <c r="J444" s="2366">
        <f>'Part IV-A-Uses of Funds'!J8</f>
        <v>7500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9500</v>
      </c>
      <c r="H445" s="2366">
        <f>'Part IV-A-Uses of Funds'!H9</f>
        <v>0</v>
      </c>
      <c r="I445" s="2351"/>
      <c r="J445" s="2366">
        <f>'Part IV-A-Uses of Funds'!J9</f>
        <v>9500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25000</v>
      </c>
      <c r="H446" s="2366">
        <f>'Part IV-A-Uses of Funds'!H10</f>
        <v>0</v>
      </c>
      <c r="I446" s="2351"/>
      <c r="J446" s="2366">
        <f>'Part IV-A-Uses of Funds'!J10</f>
        <v>25000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16500</v>
      </c>
      <c r="H447" s="2366">
        <f>'Part IV-A-Uses of Funds'!H11</f>
        <v>0</v>
      </c>
      <c r="I447" s="2351"/>
      <c r="J447" s="2366">
        <f>'Part IV-A-Uses of Funds'!J11</f>
        <v>16500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10000</v>
      </c>
      <c r="H448" s="2366">
        <f>'Part IV-A-Uses of Funds'!H12</f>
        <v>0</v>
      </c>
      <c r="I448" s="2351"/>
      <c r="J448" s="2366">
        <f>'Part IV-A-Uses of Funds'!J12</f>
        <v>10000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25000</v>
      </c>
      <c r="H449" s="2366">
        <f>'Part IV-A-Uses of Funds'!H13</f>
        <v>0</v>
      </c>
      <c r="I449" s="2351"/>
      <c r="J449" s="2366">
        <f>'Part IV-A-Uses of Funds'!J13</f>
        <v>25000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93500</v>
      </c>
      <c r="H453" s="2366"/>
      <c r="I453" s="2351"/>
      <c r="J453" s="2366">
        <f>SUM(J444:K452)</f>
        <v>93500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0</v>
      </c>
      <c r="H455" s="2366">
        <f>'Part IV-A-Uses of Funds'!H19</f>
        <v>0</v>
      </c>
      <c r="I455" s="2351"/>
      <c r="J455" s="2381"/>
      <c r="K455" s="2366"/>
      <c r="L455" s="2381"/>
      <c r="M455" s="2381"/>
      <c r="N455" s="2366"/>
      <c r="O455" s="2351"/>
      <c r="P455" s="2381"/>
      <c r="Q455" s="2366"/>
      <c r="R455" s="2351"/>
      <c r="S455" s="2366">
        <f>'Part IV-A-Uses of Funds'!S19</f>
        <v>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47000</v>
      </c>
      <c r="H456" s="2366">
        <f>'Part IV-A-Uses of Funds'!H20</f>
        <v>0</v>
      </c>
      <c r="I456" s="2351"/>
      <c r="J456" s="2381"/>
      <c r="K456" s="2366"/>
      <c r="L456" s="2381"/>
      <c r="M456" s="2381"/>
      <c r="N456" s="2366"/>
      <c r="O456" s="2351"/>
      <c r="P456" s="2381"/>
      <c r="Q456" s="2366"/>
      <c r="R456" s="2351"/>
      <c r="S456" s="2366">
        <f>'Part IV-A-Uses of Funds'!S20</f>
        <v>47000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47000</v>
      </c>
      <c r="H459" s="2366"/>
      <c r="I459" s="2351"/>
      <c r="J459" s="2381"/>
      <c r="K459" s="2366"/>
      <c r="L459" s="2381"/>
      <c r="M459" s="2366">
        <f>SUM(M457:N458)</f>
        <v>0</v>
      </c>
      <c r="N459" s="2366"/>
      <c r="O459" s="2351"/>
      <c r="P459" s="2381"/>
      <c r="Q459" s="2366"/>
      <c r="R459" s="2351"/>
      <c r="S459" s="2366">
        <f>SUM(S455:T458)</f>
        <v>47000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3753</v>
      </c>
      <c r="F461" s="2417">
        <f>IF('Part I-Project Information'!$O$37="","",G461/'Part I-Project Information'!$O$37)</f>
        <v>301590.20288795466</v>
      </c>
      <c r="G461" s="2366">
        <f>'Part IV-A-Uses of Funds'!G25</f>
        <v>1650000</v>
      </c>
      <c r="H461" s="2366">
        <f>'Part IV-A-Uses of Funds'!H25</f>
        <v>0</v>
      </c>
      <c r="I461" s="2351"/>
      <c r="J461" s="2366">
        <f>'Part IV-A-Uses of Funds'!J25</f>
        <v>1650000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1650000</v>
      </c>
      <c r="H463" s="2366"/>
      <c r="I463" s="2351"/>
      <c r="J463" s="2366">
        <f>SUM(J461:K462)</f>
        <v>1650000</v>
      </c>
      <c r="K463" s="2366"/>
      <c r="L463" s="2381"/>
      <c r="M463" s="2366">
        <f>M461</f>
        <v>0</v>
      </c>
      <c r="N463" s="2366"/>
      <c r="O463" s="2351"/>
      <c r="P463" s="2366">
        <f>P461</f>
        <v>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6158464</v>
      </c>
      <c r="H465" s="2366">
        <f>'Part IV-A-Uses of Funds'!H29</f>
        <v>0</v>
      </c>
      <c r="I465" s="2351"/>
      <c r="J465" s="2366">
        <f>'Part IV-A-Uses of Funds'!J29</f>
        <v>6158464</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2797</v>
      </c>
      <c r="C467" s="2351"/>
      <c r="D467" s="2351"/>
      <c r="E467" s="2351"/>
      <c r="F467" s="2351"/>
      <c r="G467" s="2366">
        <f>'Part IV-A-Uses of Funds'!G31</f>
        <v>375000</v>
      </c>
      <c r="H467" s="2366">
        <f>'Part IV-A-Uses of Funds'!H31</f>
        <v>0</v>
      </c>
      <c r="I467" s="2351"/>
      <c r="J467" s="2366">
        <f>'Part IV-A-Uses of Funds'!J31</f>
        <v>375000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2796</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6533464</v>
      </c>
      <c r="H469" s="2366"/>
      <c r="I469" s="2351"/>
      <c r="J469" s="2366">
        <f>SUM(J465:K468)</f>
        <v>6533464</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3757</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491007.83999999997</v>
      </c>
      <c r="F471" s="2475" t="e">
        <f>IF(($G$27+$G$33)=0,0,G471/($G$27+$G$33))</f>
        <v>#VALUE!</v>
      </c>
      <c r="G471" s="2366">
        <f>'Part IV-A-Uses of Funds'!G35</f>
        <v>491007</v>
      </c>
      <c r="H471" s="2366">
        <f>'Part IV-A-Uses of Funds'!H35</f>
        <v>0</v>
      </c>
      <c r="I471" s="2358"/>
      <c r="J471" s="2366">
        <f>'Part IV-A-Uses of Funds'!J35</f>
        <v>491007</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2753</v>
      </c>
      <c r="C472" s="2351"/>
      <c r="D472" s="2475">
        <f>'DCA Underwriting Assumptions'!$R$75</f>
        <v>0.02</v>
      </c>
      <c r="E472" s="2476">
        <f>D472*(G463+G469)</f>
        <v>163669.28</v>
      </c>
      <c r="F472" s="2475" t="e">
        <f>IF(($G$27+$G$33)=0,0,G472/($G$27+$G$33))</f>
        <v>#VALUE!</v>
      </c>
      <c r="G472" s="2366">
        <f>'Part IV-A-Uses of Funds'!G36</f>
        <v>163669</v>
      </c>
      <c r="H472" s="2366">
        <f>'Part IV-A-Uses of Funds'!H36</f>
        <v>0</v>
      </c>
      <c r="I472" s="2358"/>
      <c r="J472" s="2366">
        <f>'Part IV-A-Uses of Funds'!J36</f>
        <v>163669</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2754</v>
      </c>
      <c r="C473" s="2351"/>
      <c r="D473" s="2475">
        <f>'DCA Underwriting Assumptions'!$R$76</f>
        <v>0.06</v>
      </c>
      <c r="E473" s="2476">
        <f>D473*(G463+G469)</f>
        <v>491007.83999999997</v>
      </c>
      <c r="F473" s="2475" t="e">
        <f>IF(($G$27+$G$33)=0,0,G473/($G$27+$G$33))</f>
        <v>#VALUE!</v>
      </c>
      <c r="G473" s="2366">
        <f>'Part IV-A-Uses of Funds'!G37</f>
        <v>491007</v>
      </c>
      <c r="H473" s="2366">
        <f>'Part IV-A-Uses of Funds'!H37</f>
        <v>0</v>
      </c>
      <c r="I473" s="2358"/>
      <c r="J473" s="2366">
        <f>'Part IV-A-Uses of Funds'!J37</f>
        <v>491007</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3758</v>
      </c>
      <c r="C474" s="2351"/>
      <c r="D474" s="2473">
        <f>SUM(D471:D473)</f>
        <v>0.14000000000000001</v>
      </c>
      <c r="E474" s="2477">
        <f>SUM(E471:E473)</f>
        <v>1145684.96</v>
      </c>
      <c r="F474" s="2468" t="s">
        <v>193</v>
      </c>
      <c r="G474" s="2366">
        <f>SUM(G471:H473)</f>
        <v>1145683</v>
      </c>
      <c r="H474" s="2366"/>
      <c r="I474" s="2351"/>
      <c r="J474" s="2366">
        <f>SUM(J471:K473)</f>
        <v>1145683</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4783</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4784</v>
      </c>
      <c r="C479" s="2480"/>
      <c r="D479" s="2351"/>
      <c r="E479" s="2350" t="s">
        <v>2761</v>
      </c>
      <c r="F479" s="2481">
        <f>B480/'Part VI-Revenues &amp; Expenses'!$O$60</f>
        <v>141350.71212121213</v>
      </c>
      <c r="G479" s="2482" t="s">
        <v>4785</v>
      </c>
      <c r="H479" s="2351"/>
      <c r="I479" s="2351"/>
      <c r="J479" s="2483">
        <f>B480/'Part VI-Revenues &amp; Expenses'!$O$62</f>
        <v>141350.71212121213</v>
      </c>
      <c r="K479" s="2483"/>
      <c r="L479" s="2351"/>
      <c r="M479" s="2484" t="s">
        <v>1414</v>
      </c>
      <c r="N479" s="2484"/>
      <c r="O479" s="2351"/>
      <c r="P479" s="2483">
        <f>B480/'Part I-Project Information'!$P$71</f>
        <v>107.30804711403529</v>
      </c>
      <c r="Q479" s="2483"/>
      <c r="R479" s="2351"/>
      <c r="S479" s="2390" t="s">
        <v>2795</v>
      </c>
      <c r="T479" s="2390"/>
      <c r="U479" s="2351"/>
      <c r="V479" s="2465"/>
      <c r="W479" s="1329">
        <f>'Part IV-A-Uses of Funds'!W43</f>
        <v>0</v>
      </c>
      <c r="X479" s="1329">
        <f>'Part IV-A-Uses of Funds'!X43</f>
        <v>0</v>
      </c>
    </row>
    <row r="480" spans="1:24">
      <c r="A480" s="2351"/>
      <c r="B480" s="2485">
        <f>G463+G469+G474+G477</f>
        <v>9329147</v>
      </c>
      <c r="C480" s="2485"/>
      <c r="D480" s="2351"/>
      <c r="E480" s="2350"/>
      <c r="F480" s="2481">
        <f>B480/'Part VI-Revenues &amp; Expenses'!$O$117</f>
        <v>118.95173917478452</v>
      </c>
      <c r="G480" s="2390" t="s">
        <v>4786</v>
      </c>
      <c r="H480" s="2351"/>
      <c r="I480" s="2351"/>
      <c r="J480" s="2483">
        <f>B480/'Part VI-Revenues &amp; Expenses'!$O$119</f>
        <v>118.95173917478452</v>
      </c>
      <c r="K480" s="2483"/>
      <c r="L480" s="2351"/>
      <c r="M480" s="2390" t="s">
        <v>2794</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4241</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4240</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466457.35000000003</v>
      </c>
      <c r="F483" s="2489">
        <f>G483/B480</f>
        <v>0.05</v>
      </c>
      <c r="G483" s="2366">
        <f>'Part IV-A-Uses of Funds'!G47</f>
        <v>466457.35000000003</v>
      </c>
      <c r="H483" s="2366">
        <f>'Part IV-A-Uses of Funds'!H47</f>
        <v>0</v>
      </c>
      <c r="I483" s="2351"/>
      <c r="J483" s="2366">
        <f>'Part IV-A-Uses of Funds'!J47</f>
        <v>466457.35000000003</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4787</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3759</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3760</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91300</v>
      </c>
      <c r="H490" s="2366">
        <f>'Part IV-A-Uses of Funds'!H54</f>
        <v>0</v>
      </c>
      <c r="I490" s="2351"/>
      <c r="J490" s="2366">
        <f>'Part IV-A-Uses of Funds'!J54</f>
        <v>91300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447991</v>
      </c>
      <c r="H491" s="2366">
        <f>'Part IV-A-Uses of Funds'!H55</f>
        <v>0</v>
      </c>
      <c r="I491" s="2351"/>
      <c r="J491" s="2366">
        <f>'Part IV-A-Uses of Funds'!J55</f>
        <v>335993</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111998</v>
      </c>
      <c r="T491" s="2366">
        <f>'Part IV-A-Uses of Funds'!T55</f>
        <v>0</v>
      </c>
      <c r="U491" s="2351"/>
      <c r="V491" s="2465"/>
      <c r="W491" s="1329"/>
      <c r="X491" s="1329"/>
    </row>
    <row r="492" spans="1:24">
      <c r="A492" s="2351"/>
      <c r="B492" s="2351" t="s">
        <v>2364</v>
      </c>
      <c r="C492" s="2351"/>
      <c r="D492" s="2351"/>
      <c r="E492" s="2351"/>
      <c r="F492" s="2351"/>
      <c r="G492" s="2366">
        <f>'Part IV-A-Uses of Funds'!G56</f>
        <v>25000</v>
      </c>
      <c r="H492" s="2366">
        <f>'Part IV-A-Uses of Funds'!H56</f>
        <v>0</v>
      </c>
      <c r="I492" s="2351"/>
      <c r="J492" s="2366">
        <f>'Part IV-A-Uses of Funds'!J56</f>
        <v>25000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18000</v>
      </c>
      <c r="H493" s="2366">
        <f>'Part IV-A-Uses of Funds'!H57</f>
        <v>0</v>
      </c>
      <c r="I493" s="2351"/>
      <c r="J493" s="2366">
        <f>'Part IV-A-Uses of Funds'!J57</f>
        <v>18000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20000</v>
      </c>
      <c r="H494" s="2366">
        <f>'Part IV-A-Uses of Funds'!H58</f>
        <v>0</v>
      </c>
      <c r="I494" s="2351"/>
      <c r="J494" s="2366">
        <f>'Part IV-A-Uses of Funds'!J58</f>
        <v>20000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48000</v>
      </c>
      <c r="H495" s="2366">
        <f>'Part IV-A-Uses of Funds'!H59</f>
        <v>0</v>
      </c>
      <c r="I495" s="2351"/>
      <c r="J495" s="2366">
        <f>'Part IV-A-Uses of Funds'!J59</f>
        <v>48000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65000</v>
      </c>
      <c r="H496" s="2366">
        <f>'Part IV-A-Uses of Funds'!H60</f>
        <v>0</v>
      </c>
      <c r="I496" s="2351"/>
      <c r="J496" s="2366">
        <f>'Part IV-A-Uses of Funds'!J60</f>
        <v>20000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45000</v>
      </c>
      <c r="T496" s="2366">
        <f>'Part IV-A-Uses of Funds'!T60</f>
        <v>0</v>
      </c>
      <c r="U496" s="2351"/>
      <c r="V496" s="2465"/>
      <c r="W496" s="1329"/>
      <c r="X496" s="1329"/>
    </row>
    <row r="497" spans="1:24">
      <c r="A497" s="2351"/>
      <c r="B497" s="2490" t="s">
        <v>1163</v>
      </c>
      <c r="C497" s="2351"/>
      <c r="D497" s="2489"/>
      <c r="E497" s="2489"/>
      <c r="F497" s="2491"/>
      <c r="G497" s="2366">
        <f>'Part IV-A-Uses of Funds'!G61</f>
        <v>80682</v>
      </c>
      <c r="H497" s="2366">
        <f>'Part IV-A-Uses of Funds'!H61</f>
        <v>0</v>
      </c>
      <c r="I497" s="2358"/>
      <c r="J497" s="2366">
        <f>'Part IV-A-Uses of Funds'!J61</f>
        <v>80682</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f>'Part IV-A-Uses of Funds'!C62</f>
        <v>0</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795973</v>
      </c>
      <c r="H500" s="2366"/>
      <c r="I500" s="2351"/>
      <c r="J500" s="2366">
        <f>SUM(J488:K499)</f>
        <v>638975</v>
      </c>
      <c r="K500" s="2366"/>
      <c r="L500" s="2381"/>
      <c r="M500" s="2366">
        <f>SUM(M488:N499)</f>
        <v>0</v>
      </c>
      <c r="N500" s="2366"/>
      <c r="O500" s="2351"/>
      <c r="P500" s="2366">
        <f>SUM(P488:Q499)</f>
        <v>0</v>
      </c>
      <c r="Q500" s="2366"/>
      <c r="R500" s="2351"/>
      <c r="S500" s="2366">
        <f>SUM(S488:T499)</f>
        <v>156998</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140000</v>
      </c>
      <c r="H502" s="2366">
        <f>'Part IV-A-Uses of Funds'!H66</f>
        <v>0</v>
      </c>
      <c r="I502" s="2351"/>
      <c r="J502" s="2366">
        <f>'Part IV-A-Uses of Funds'!J66</f>
        <v>140000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25000</v>
      </c>
      <c r="H503" s="2366">
        <f>'Part IV-A-Uses of Funds'!H67</f>
        <v>0</v>
      </c>
      <c r="I503" s="2351"/>
      <c r="J503" s="2366">
        <f>'Part IV-A-Uses of Funds'!J67</f>
        <v>25000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3876</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10000</v>
      </c>
      <c r="H505" s="2366">
        <f>'Part IV-A-Uses of Funds'!H69</f>
        <v>0</v>
      </c>
      <c r="I505" s="2351"/>
      <c r="J505" s="2366">
        <f>'Part IV-A-Uses of Funds'!J69</f>
        <v>10000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6000</v>
      </c>
      <c r="H506" s="2366">
        <f>'Part IV-A-Uses of Funds'!H70</f>
        <v>0</v>
      </c>
      <c r="I506" s="2351"/>
      <c r="J506" s="2366">
        <f>'Part IV-A-Uses of Funds'!J70</f>
        <v>6000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12500</v>
      </c>
      <c r="H507" s="2366">
        <f>'Part IV-A-Uses of Funds'!H71</f>
        <v>0</v>
      </c>
      <c r="I507" s="2351"/>
      <c r="J507" s="2366">
        <f>'Part IV-A-Uses of Funds'!J71</f>
        <v>12500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72600</v>
      </c>
      <c r="H508" s="2366">
        <f>'Part IV-A-Uses of Funds'!H72</f>
        <v>0</v>
      </c>
      <c r="I508" s="2351"/>
      <c r="J508" s="2366">
        <f>'Part IV-A-Uses of Funds'!J72</f>
        <v>72600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135000</v>
      </c>
      <c r="H509" s="2366">
        <f>'Part IV-A-Uses of Funds'!H73</f>
        <v>0</v>
      </c>
      <c r="I509" s="2351"/>
      <c r="J509" s="2366">
        <f>'Part IV-A-Uses of Funds'!J73</f>
        <v>120000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15000</v>
      </c>
      <c r="T509" s="2366">
        <f>'Part IV-A-Uses of Funds'!T73</f>
        <v>0</v>
      </c>
      <c r="U509" s="2351"/>
      <c r="V509" s="2465"/>
      <c r="W509" s="1329"/>
      <c r="X509" s="1329"/>
    </row>
    <row r="510" spans="1:24">
      <c r="A510" s="2351"/>
      <c r="B510" s="2351" t="s">
        <v>2065</v>
      </c>
      <c r="C510" s="2351"/>
      <c r="D510" s="2351"/>
      <c r="E510" s="2351"/>
      <c r="F510" s="2351"/>
      <c r="G510" s="2366">
        <f>'Part IV-A-Uses of Funds'!G74</f>
        <v>30000</v>
      </c>
      <c r="H510" s="2366">
        <f>'Part IV-A-Uses of Funds'!H74</f>
        <v>0</v>
      </c>
      <c r="I510" s="2351"/>
      <c r="J510" s="2366">
        <f>'Part IV-A-Uses of Funds'!J74</f>
        <v>25000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5000</v>
      </c>
      <c r="T510" s="2366">
        <f>'Part IV-A-Uses of Funds'!T74</f>
        <v>0</v>
      </c>
      <c r="U510" s="2351"/>
      <c r="V510" s="2465"/>
      <c r="W510" s="1329"/>
      <c r="X510" s="1329"/>
    </row>
    <row r="511" spans="1:24">
      <c r="A511" s="2351"/>
      <c r="B511" s="2351" t="s">
        <v>1289</v>
      </c>
      <c r="C511" s="2351"/>
      <c r="D511" s="2351"/>
      <c r="E511" s="2351"/>
      <c r="F511" s="2351"/>
      <c r="G511" s="2366">
        <f>'Part IV-A-Uses of Funds'!G75</f>
        <v>7500</v>
      </c>
      <c r="H511" s="2366">
        <f>'Part IV-A-Uses of Funds'!H75</f>
        <v>0</v>
      </c>
      <c r="I511" s="2351"/>
      <c r="J511" s="2366">
        <f>'Part IV-A-Uses of Funds'!J75</f>
        <v>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7500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Landscape Architect</v>
      </c>
      <c r="D512" s="2369">
        <f>'Part IV-A-Uses of Funds'!D76</f>
        <v>0</v>
      </c>
      <c r="E512" s="2369">
        <f>'Part IV-A-Uses of Funds'!E76</f>
        <v>0</v>
      </c>
      <c r="F512" s="2369">
        <f>'Part IV-A-Uses of Funds'!F76</f>
        <v>0</v>
      </c>
      <c r="G512" s="2366">
        <f>'Part IV-A-Uses of Funds'!G76</f>
        <v>30000</v>
      </c>
      <c r="H512" s="2366">
        <f>'Part IV-A-Uses of Funds'!H76</f>
        <v>0</v>
      </c>
      <c r="I512" s="2351"/>
      <c r="J512" s="2366">
        <f>'Part IV-A-Uses of Funds'!J76</f>
        <v>30000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488600</v>
      </c>
      <c r="H513" s="2366"/>
      <c r="I513" s="2351"/>
      <c r="J513" s="2366">
        <f>SUM(J502:K512)</f>
        <v>461100</v>
      </c>
      <c r="K513" s="2366"/>
      <c r="L513" s="2381"/>
      <c r="M513" s="2366">
        <f>SUM(M502:N512)</f>
        <v>0</v>
      </c>
      <c r="N513" s="2366"/>
      <c r="O513" s="2351"/>
      <c r="P513" s="2366">
        <f>SUM(P502:Q512)</f>
        <v>0</v>
      </c>
      <c r="Q513" s="2366"/>
      <c r="R513" s="2351"/>
      <c r="S513" s="2366">
        <f>SUM(S502:T512)</f>
        <v>27500</v>
      </c>
      <c r="T513" s="2366"/>
      <c r="U513" s="2351"/>
      <c r="V513" s="2465">
        <f>SUM(V502:V512)</f>
        <v>0</v>
      </c>
      <c r="W513" s="1329"/>
      <c r="X513" s="1329"/>
    </row>
    <row r="514" spans="1:24">
      <c r="A514" s="2351"/>
      <c r="B514" s="2348" t="s">
        <v>1281</v>
      </c>
      <c r="C514" s="2351"/>
      <c r="D514" s="2493" t="s">
        <v>3761</v>
      </c>
      <c r="E514" s="2494">
        <f>G519/'Part VI-Revenues &amp; Expenses'!$O$62</f>
        <v>1639.7575757575758</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55624</v>
      </c>
      <c r="H515" s="2366">
        <f>'Part IV-A-Uses of Funds'!H79</f>
        <v>0</v>
      </c>
      <c r="I515" s="2351"/>
      <c r="J515" s="2366">
        <f>'Part IV-A-Uses of Funds'!J79</f>
        <v>55624</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31400</v>
      </c>
      <c r="H517" s="2366">
        <f>'Part IV-A-Uses of Funds'!H81</f>
        <v>0</v>
      </c>
      <c r="I517" s="2358"/>
      <c r="J517" s="2366">
        <f>'Part IV-A-Uses of Funds'!J81</f>
        <v>31400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21200</v>
      </c>
      <c r="H518" s="2366">
        <f>'Part IV-A-Uses of Funds'!H82</f>
        <v>0</v>
      </c>
      <c r="I518" s="2358"/>
      <c r="J518" s="2366">
        <f>'Part IV-A-Uses of Funds'!J82</f>
        <v>21200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108224</v>
      </c>
      <c r="H519" s="2366"/>
      <c r="I519" s="2351"/>
      <c r="J519" s="2366">
        <f>SUM(J515:K518)</f>
        <v>108224</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1287</v>
      </c>
      <c r="C522" s="2351"/>
      <c r="D522" s="2351"/>
      <c r="E522" s="2351"/>
      <c r="F522" s="2351"/>
      <c r="G522" s="2366">
        <f>'Part IV-A-Uses of Funds'!G86</f>
        <v>0</v>
      </c>
      <c r="H522" s="2366">
        <f>'Part IV-A-Uses of Funds'!H86</f>
        <v>0</v>
      </c>
      <c r="I522" s="2351"/>
      <c r="J522" s="2366"/>
      <c r="K522" s="2366"/>
      <c r="L522" s="2381"/>
      <c r="M522" s="2366"/>
      <c r="N522" s="2366"/>
      <c r="O522" s="2351"/>
      <c r="P522" s="2366"/>
      <c r="Q522" s="2366"/>
      <c r="R522" s="2351"/>
      <c r="S522" s="2366">
        <f>'Part IV-A-Uses of Funds'!S86</f>
        <v>0</v>
      </c>
      <c r="T522" s="2366">
        <f>'Part IV-A-Uses of Funds'!T86</f>
        <v>0</v>
      </c>
      <c r="U522" s="2351"/>
      <c r="V522" s="2465"/>
      <c r="W522" s="1329"/>
      <c r="X522" s="1329"/>
    </row>
    <row r="523" spans="1:24">
      <c r="A523" s="2351"/>
      <c r="B523" s="2351" t="s">
        <v>1288</v>
      </c>
      <c r="C523" s="2351"/>
      <c r="D523" s="2351"/>
      <c r="E523" s="2351"/>
      <c r="F523" s="2351"/>
      <c r="G523" s="2366">
        <f>'Part IV-A-Uses of Funds'!G87</f>
        <v>0</v>
      </c>
      <c r="H523" s="2366">
        <f>'Part IV-A-Uses of Funds'!H87</f>
        <v>0</v>
      </c>
      <c r="I523" s="2351"/>
      <c r="J523" s="2366"/>
      <c r="K523" s="2366"/>
      <c r="L523" s="2381"/>
      <c r="M523" s="2366"/>
      <c r="N523" s="2366"/>
      <c r="O523" s="2351"/>
      <c r="P523" s="2366"/>
      <c r="Q523" s="2366"/>
      <c r="R523" s="2351"/>
      <c r="S523" s="2366">
        <f>'Part IV-A-Uses of Funds'!S87</f>
        <v>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f>'Part IV-A-Uses of Funds'!C90</f>
        <v>0</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0</v>
      </c>
      <c r="H527" s="2366"/>
      <c r="I527" s="2351"/>
      <c r="J527" s="2366"/>
      <c r="K527" s="2366"/>
      <c r="L527" s="2381"/>
      <c r="M527" s="2366"/>
      <c r="N527" s="2366"/>
      <c r="O527" s="2351"/>
      <c r="P527" s="2366"/>
      <c r="Q527" s="2366"/>
      <c r="R527" s="2351"/>
      <c r="S527" s="2366">
        <f>SUM(S521:T526)</f>
        <v>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4788</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3982</v>
      </c>
      <c r="C534" s="2351"/>
      <c r="D534" s="2351"/>
      <c r="E534" s="2351"/>
      <c r="F534" s="2351"/>
      <c r="G534" s="2366">
        <f>'Part IV-A-Uses of Funds'!G98</f>
        <v>1000</v>
      </c>
      <c r="H534" s="2366">
        <f>'Part IV-A-Uses of Funds'!H98</f>
        <v>0</v>
      </c>
      <c r="I534" s="2351"/>
      <c r="J534" s="2381"/>
      <c r="K534" s="2381"/>
      <c r="L534" s="2497"/>
      <c r="M534" s="2381"/>
      <c r="N534" s="2381"/>
      <c r="O534" s="2351"/>
      <c r="P534" s="2381"/>
      <c r="Q534" s="2381"/>
      <c r="R534" s="2351"/>
      <c r="S534" s="2366">
        <f>'Part IV-A-Uses of Funds'!S98</f>
        <v>1000</v>
      </c>
      <c r="T534" s="2366">
        <f>'Part IV-A-Uses of Funds'!T98</f>
        <v>0</v>
      </c>
      <c r="U534" s="2351"/>
      <c r="V534" s="2465"/>
      <c r="W534" s="1329"/>
      <c r="X534" s="1329"/>
    </row>
    <row r="535" spans="1:24">
      <c r="A535" s="2351"/>
      <c r="B535" s="2351" t="s">
        <v>524</v>
      </c>
      <c r="C535" s="2351"/>
      <c r="D535" s="2351"/>
      <c r="E535" s="2498">
        <f>'DCA Underwriting Assumptions'!$Q$88*J611</f>
        <v>76000</v>
      </c>
      <c r="F535" s="2498"/>
      <c r="G535" s="2366">
        <f>'Part IV-A-Uses of Funds'!G99</f>
        <v>76000</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76000</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55600</v>
      </c>
      <c r="F536" s="2498"/>
      <c r="G536" s="2366">
        <f>'Part IV-A-Uses of Funds'!G100</f>
        <v>55600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55600</v>
      </c>
      <c r="T536" s="2366">
        <f>'Part IV-A-Uses of Funds'!T100</f>
        <v>0</v>
      </c>
      <c r="U536" s="2351"/>
      <c r="V536" s="2465"/>
      <c r="W536" s="1329"/>
      <c r="X536" s="1329"/>
    </row>
    <row r="537" spans="1:24">
      <c r="A537" s="2351"/>
      <c r="B537" s="2351" t="s">
        <v>4298</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4299</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f>'Part IV-A-Uses of Funds'!C103</f>
        <v>0</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f>'Part IV-A-Uses of Funds'!C104</f>
        <v>0</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145100</v>
      </c>
      <c r="H541" s="2366"/>
      <c r="I541" s="2351"/>
      <c r="J541" s="2381"/>
      <c r="K541" s="2381"/>
      <c r="L541" s="2381"/>
      <c r="M541" s="2381"/>
      <c r="N541" s="2381"/>
      <c r="O541" s="2351"/>
      <c r="P541" s="2381"/>
      <c r="Q541" s="2381"/>
      <c r="R541" s="2351"/>
      <c r="S541" s="2366">
        <f>SUM(S532:T540)</f>
        <v>145100</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5000</v>
      </c>
      <c r="H543" s="2366">
        <f>'Part IV-A-Uses of Funds'!H107</f>
        <v>0</v>
      </c>
      <c r="I543" s="2351"/>
      <c r="J543" s="2366"/>
      <c r="K543" s="2366"/>
      <c r="L543" s="2381"/>
      <c r="M543" s="2366"/>
      <c r="N543" s="2366"/>
      <c r="O543" s="2351"/>
      <c r="P543" s="2366"/>
      <c r="Q543" s="2366"/>
      <c r="R543" s="2351"/>
      <c r="S543" s="2366">
        <f>'Part IV-A-Uses of Funds'!S107</f>
        <v>5000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2402</v>
      </c>
      <c r="C545" s="2351"/>
      <c r="D545" s="2351"/>
      <c r="E545" s="2351"/>
      <c r="F545" s="2351"/>
      <c r="G545" s="2366">
        <f>'Part IV-A-Uses of Funds'!G109</f>
        <v>50000</v>
      </c>
      <c r="H545" s="2366">
        <f>'Part IV-A-Uses of Funds'!H109</f>
        <v>0</v>
      </c>
      <c r="I545" s="2351"/>
      <c r="J545" s="2366"/>
      <c r="K545" s="2366"/>
      <c r="L545" s="2381"/>
      <c r="M545" s="2366"/>
      <c r="N545" s="2366"/>
      <c r="O545" s="2351"/>
      <c r="P545" s="2366"/>
      <c r="Q545" s="2366"/>
      <c r="R545" s="2351"/>
      <c r="S545" s="2366">
        <f>'Part IV-A-Uses of Funds'!S109</f>
        <v>50000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55000</v>
      </c>
      <c r="H547" s="2366"/>
      <c r="I547" s="2351"/>
      <c r="J547" s="2366"/>
      <c r="K547" s="2366"/>
      <c r="L547" s="2381"/>
      <c r="M547" s="2366"/>
      <c r="N547" s="2366"/>
      <c r="O547" s="2351"/>
      <c r="P547" s="2366"/>
      <c r="Q547" s="2366"/>
      <c r="R547" s="2351"/>
      <c r="S547" s="2366">
        <f>SUM(S543:T546)</f>
        <v>55000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0</v>
      </c>
      <c r="H549" s="2366">
        <f>'Part IV-A-Uses of Funds'!H113</f>
        <v>0</v>
      </c>
      <c r="I549" s="2351"/>
      <c r="J549" s="2366">
        <f>'Part IV-A-Uses of Funds'!J113</f>
        <v>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4250</v>
      </c>
      <c r="C550" s="2351"/>
      <c r="D550" s="2351"/>
      <c r="E550" s="2351"/>
      <c r="F550" s="2502">
        <f>'Part IV-A-Uses of Funds'!F114</f>
        <v>825000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3657</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1650000</v>
      </c>
      <c r="H553" s="2366">
        <f>'Part IV-A-Uses of Funds'!H117</f>
        <v>0</v>
      </c>
      <c r="I553" s="2351"/>
      <c r="J553" s="2366">
        <f>'Part IV-A-Uses of Funds'!J117</f>
        <v>1650000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1650000</v>
      </c>
      <c r="H554" s="2366"/>
      <c r="I554" s="2351"/>
      <c r="J554" s="2366">
        <f>SUM(J549:K553)</f>
        <v>1650000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20000</v>
      </c>
      <c r="H556" s="2366">
        <f>'Part IV-A-Uses of Funds'!H120</f>
        <v>0</v>
      </c>
      <c r="I556" s="2351"/>
      <c r="J556" s="2497"/>
      <c r="K556" s="2497"/>
      <c r="L556" s="2497"/>
      <c r="M556" s="2497"/>
      <c r="N556" s="2497"/>
      <c r="O556" s="2351"/>
      <c r="P556" s="2497"/>
      <c r="Q556" s="2497"/>
      <c r="R556" s="2351"/>
      <c r="S556" s="2366">
        <f>'Part IV-A-Uses of Funds'!S120</f>
        <v>20000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69702.75</v>
      </c>
      <c r="G557" s="2366">
        <f>'Part IV-A-Uses of Funds'!G121</f>
        <v>69703</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69703</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139405.5</v>
      </c>
      <c r="G558" s="2366">
        <f>'Part IV-A-Uses of Funds'!G122</f>
        <v>139406</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139406</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3588</v>
      </c>
      <c r="F560" s="2417">
        <f>IF('Part VI-Revenues &amp; Expenses'!$O$62=0,0,G560/'Part VI-Revenues &amp; Expenses'!$O$62)</f>
        <v>1100</v>
      </c>
      <c r="G560" s="2366">
        <f>'Part IV-A-Uses of Funds'!G124</f>
        <v>72600</v>
      </c>
      <c r="H560" s="2366">
        <f>'Part IV-A-Uses of Funds'!H124</f>
        <v>0</v>
      </c>
      <c r="I560" s="2351"/>
      <c r="J560" s="2366">
        <f>'Part IV-A-Uses of Funds'!J124</f>
        <v>72600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f>'Part IV-A-Uses of Funds'!C125</f>
        <v>0</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301709</v>
      </c>
      <c r="H562" s="2366"/>
      <c r="I562" s="2351"/>
      <c r="J562" s="2366">
        <f>SUM(J560:K561)</f>
        <v>72600</v>
      </c>
      <c r="K562" s="2366"/>
      <c r="L562" s="2381"/>
      <c r="M562" s="2366">
        <f>SUM(M560:N561)</f>
        <v>0</v>
      </c>
      <c r="N562" s="2366"/>
      <c r="O562" s="2351"/>
      <c r="P562" s="2366">
        <f>SUM(P560:Q561)</f>
        <v>0</v>
      </c>
      <c r="Q562" s="2366"/>
      <c r="R562" s="2351"/>
      <c r="S562" s="2366">
        <f>SUM(S556:T561)</f>
        <v>229109</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f>'Part IV-A-Uses of Funds'!C129</f>
        <v>0</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4789</v>
      </c>
      <c r="C568" s="2351"/>
      <c r="D568" s="2351"/>
      <c r="E568" s="2351"/>
      <c r="F568" s="2351"/>
      <c r="G568" s="2507">
        <f>G453+G459+G463+G469+G474+G477+G483+G500+G513+G519+G527+G541+G547+G554+G562+G566</f>
        <v>13480710.35</v>
      </c>
      <c r="H568" s="2507"/>
      <c r="I568" s="2351"/>
      <c r="J568" s="2507">
        <f>J453+J459+J463+J469+J474+J477+J483+J500+J513+J519+J527+J541+J547+J554+J562+J566</f>
        <v>12820003.35</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660707</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4790</v>
      </c>
      <c r="C570" s="2480"/>
      <c r="D570" s="2509">
        <f>IF('Part VI-Revenues &amp; Expenses'!$O$62=0,0,G568/'Part VI-Revenues &amp; Expenses'!$O$62)</f>
        <v>204253.1871212121</v>
      </c>
      <c r="E570" s="2509"/>
      <c r="F570" s="2496" t="s">
        <v>2780</v>
      </c>
      <c r="G570" s="2509">
        <f>IF('Part I-Project Information'!$P$71=0,0,G568/'Part I-Project Information'!$P$71)</f>
        <v>155.06119705997378</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12820003.35</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12820003.35</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DDA/QCT</v>
      </c>
      <c r="I588" s="2351">
        <f>'Part IV-A-Uses of Funds'!I152</f>
        <v>0</v>
      </c>
      <c r="J588" s="2514">
        <f>'Part IV-A-Uses of Funds'!J152</f>
        <v>1.3</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16666004.355</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16666004.355</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1499940.3919500001</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1499940.3919500001</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4791</v>
      </c>
      <c r="C598" s="2351"/>
      <c r="D598" s="2351"/>
      <c r="E598" s="2351"/>
      <c r="F598" s="2351"/>
      <c r="G598" s="2474" t="str">
        <f>IF(J599&gt;J598,"TDC exceeds QAP PUCL!","")</f>
        <v/>
      </c>
      <c r="H598" s="2474"/>
      <c r="I598" s="2474"/>
      <c r="J598" s="2444">
        <f>'Part VIII-Threshold Criteria'!$P$63</f>
        <v>13494772</v>
      </c>
      <c r="K598" s="2444"/>
      <c r="L598" s="2444"/>
      <c r="M598" s="2518" t="s">
        <v>2763</v>
      </c>
      <c r="N598" s="2518"/>
      <c r="O598" s="2518"/>
      <c r="P598" s="2518"/>
      <c r="Q598" s="2518"/>
      <c r="R598" s="2518"/>
      <c r="S598" s="2518" t="s">
        <v>3698</v>
      </c>
      <c r="T598" s="2518"/>
      <c r="U598" s="2351"/>
      <c r="V598" s="2465"/>
      <c r="W598" s="1329"/>
      <c r="X598" s="1329"/>
    </row>
    <row r="599" spans="1:24">
      <c r="A599" s="2351"/>
      <c r="B599" s="2351" t="s">
        <v>4792</v>
      </c>
      <c r="C599" s="2351"/>
      <c r="D599" s="2351"/>
      <c r="E599" s="2351"/>
      <c r="F599" s="2351"/>
      <c r="G599" s="2351"/>
      <c r="H599" s="2351"/>
      <c r="I599" s="2351"/>
      <c r="J599" s="2387">
        <f>'Part IV-A-Uses of Funds'!J163</f>
        <v>13480710.35</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13480710.35</v>
      </c>
      <c r="K601" s="2387"/>
      <c r="L601" s="2387"/>
      <c r="M601" s="2363" t="s">
        <v>2764</v>
      </c>
      <c r="N601" s="2363"/>
      <c r="O601" s="2519">
        <f>'Part III-Sources of Funds'!$I$41</f>
        <v>0</v>
      </c>
      <c r="P601" s="2519"/>
      <c r="Q601" s="2519"/>
      <c r="R601" s="2519"/>
      <c r="S601" s="2520" t="s">
        <v>1675</v>
      </c>
      <c r="T601" s="2521">
        <f>'Part IV-A-Uses of Funds'!T165</f>
        <v>0</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1348071.0349999999</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4793</v>
      </c>
      <c r="C604" s="2351"/>
      <c r="D604" s="2351"/>
      <c r="E604" s="2351"/>
      <c r="F604" s="2351"/>
      <c r="G604" s="2351"/>
      <c r="H604" s="2351"/>
      <c r="I604" s="2351"/>
      <c r="J604" s="2522">
        <f>N604+Q604</f>
        <v>1.4</v>
      </c>
      <c r="K604" s="2522"/>
      <c r="L604" s="2522"/>
      <c r="M604" s="2356" t="s">
        <v>1301</v>
      </c>
      <c r="N604" s="2523">
        <f>'Part IV-A-Uses of Funds'!N168</f>
        <v>0.84</v>
      </c>
      <c r="O604" s="2523">
        <f>'Part IV-A-Uses of Funds'!O168</f>
        <v>0</v>
      </c>
      <c r="P604" s="2356" t="s">
        <v>618</v>
      </c>
      <c r="Q604" s="2523">
        <f>'Part IV-A-Uses of Funds'!Q168</f>
        <v>0.56000000000000005</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962907.88214285718</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4794</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4795</v>
      </c>
      <c r="C609" s="2351"/>
      <c r="D609" s="2351"/>
      <c r="E609" s="2351"/>
      <c r="F609" s="2351"/>
      <c r="G609" s="2351"/>
      <c r="H609" s="2351"/>
      <c r="I609" s="2351"/>
      <c r="J609" s="2446">
        <f>'Part IV-A-Uses of Funds'!J173</f>
        <v>950000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4796</v>
      </c>
      <c r="C611" s="2351"/>
      <c r="D611" s="2358"/>
      <c r="E611" s="2358"/>
      <c r="F611" s="2359"/>
      <c r="G611" s="2351"/>
      <c r="H611" s="2351"/>
      <c r="I611" s="2351"/>
      <c r="J611" s="2446">
        <f>IF(J609="",0,+MIN(J607,J609))</f>
        <v>950000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Hard Costs Estimated by Architect familiar with Rome, GA as well as discussions with the Construction Company which has decades of experience building multi-family housing.  Soft cost based on previous project experience. Some soft costs are actual thrid party costs. Financing costs are based on term sheets supplied.
Water &amp; Sewer tap fees were calculated by the Rome Georgia Department of Public Services, Water and Sewer Division.  A copy of the letter is included uner the Feasibility Tab.
The property is not subject to impact fees.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$47,000:  There is a house on the site that has been vacant since 2013.  It will be demolished during construction and the cost associated with that demolition including proper disposal has been estimated by the construction company to be $30,000.  Additionally, lead was detected in the soil during the Phase I Environmental.  GEC has included a Site Remediation Estimate of $12,000 - $17,000 in the Phase I Environmental.  As a result, $17,000 has been included in Demolition above to budget for this remediation.  As the remediation is a cost incurred to get the land ready for it's intended use, it is properly allocated to land cost (as is demolition).</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2018-045 - Altoview Terrace  -  Rome  -  Floyd,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3739</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4797</v>
      </c>
      <c r="B627" s="2529"/>
      <c r="C627" s="2529"/>
      <c r="D627" s="2529"/>
      <c r="E627" s="2527"/>
      <c r="F627" s="2530" t="s">
        <v>3730</v>
      </c>
      <c r="G627" s="2531"/>
      <c r="H627" s="2530" t="s">
        <v>3731</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f>'Part IV-B-Other Items'!F9</f>
        <v>0</v>
      </c>
      <c r="G631" s="2535"/>
      <c r="H631" s="2537">
        <f>'Part IV-B-Other Items'!H9</f>
        <v>0</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3733</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f>'Part IV-B-Other Items'!F14</f>
        <v>0</v>
      </c>
      <c r="G636" s="2535"/>
      <c r="H636" s="2537">
        <f>'Part IV-B-Other Items'!H14</f>
        <v>0</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3733</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f>'Part IV-B-Other Items'!F19</f>
        <v>0</v>
      </c>
      <c r="G641" s="2535"/>
      <c r="H641" s="2537">
        <f>'Part IV-B-Other Items'!H19</f>
        <v>0</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3733</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3732</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f>'Part IV-B-Other Items'!F25</f>
        <v>0</v>
      </c>
      <c r="G647" s="2535"/>
      <c r="H647" s="2537">
        <f>'Part IV-B-Other Items'!H25</f>
        <v>0</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3733</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f>'Part IV-A-Uses of Funds'!$C$62</f>
        <v>0</v>
      </c>
      <c r="B653" s="2536"/>
      <c r="C653" s="2536"/>
      <c r="D653" s="2536"/>
      <c r="E653" s="2535"/>
      <c r="F653" s="2537">
        <f>'Part IV-B-Other Items'!F31</f>
        <v>0</v>
      </c>
      <c r="G653" s="2535"/>
      <c r="H653" s="2537">
        <f>'Part IV-B-Other Items'!H31</f>
        <v>0</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3733</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f>'Part IV-B-Other Items'!F36</f>
        <v>0</v>
      </c>
      <c r="G658" s="2535"/>
      <c r="H658" s="2537">
        <f>'Part IV-B-Other Items'!H36</f>
        <v>0</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3733</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Landscape Architect</v>
      </c>
      <c r="B664" s="2536"/>
      <c r="C664" s="2536"/>
      <c r="D664" s="2536"/>
      <c r="E664" s="2533"/>
      <c r="F664" s="2537" t="str">
        <f>'Part IV-B-Other Items'!F42</f>
        <v xml:space="preserve">There is not a line item for Landscape Architecture. </v>
      </c>
      <c r="G664" s="2535"/>
      <c r="H664" s="2537" t="str">
        <f>'Part IV-B-Other Items'!H42</f>
        <v>This amount is based on an estimate from the site acrchitect.</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3733</v>
      </c>
      <c r="B667" s="2539">
        <f>'Part IV-A-Uses of Funds'!$G$76</f>
        <v>30000</v>
      </c>
      <c r="C667" s="2538" t="s">
        <v>1803</v>
      </c>
      <c r="D667" s="2539">
        <f>'Part IV-A-Uses of Funds'!$J$76+'Part IV-A-Uses of Funds'!$M$76+'Part IV-A-Uses of Funds'!$P$76</f>
        <v>30000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f>'Part IV-A-Uses of Funds'!$C$90</f>
        <v>0</v>
      </c>
      <c r="B670" s="2536"/>
      <c r="C670" s="2536"/>
      <c r="D670" s="2536"/>
      <c r="E670" s="2533"/>
      <c r="F670" s="2537">
        <f>'Part IV-B-Other Items'!F48</f>
        <v>0</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3733</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4798</v>
      </c>
      <c r="B675" s="2535"/>
      <c r="C675" s="2535"/>
      <c r="D675" s="2535"/>
      <c r="E675" s="2535"/>
      <c r="F675" s="2535"/>
      <c r="G675" s="2535"/>
      <c r="H675" s="2533"/>
    </row>
    <row r="676" spans="1:8" ht="13.5" customHeight="1">
      <c r="A676" s="2536">
        <f>'Part IV-A-Uses of Funds'!$C$103</f>
        <v>0</v>
      </c>
      <c r="B676" s="2536"/>
      <c r="C676" s="2536"/>
      <c r="D676" s="2536"/>
      <c r="E676" s="2533"/>
      <c r="F676" s="2537">
        <f>'Part IV-B-Other Items'!F54</f>
        <v>0</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3733</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f>'Part IV-A-Uses of Funds'!$C$104</f>
        <v>0</v>
      </c>
      <c r="B681" s="2536"/>
      <c r="C681" s="2536"/>
      <c r="D681" s="2536"/>
      <c r="E681" s="2533"/>
      <c r="F681" s="2537">
        <f>'Part IV-B-Other Items'!F59</f>
        <v>0</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3733</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4799</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f>'Part IV-B-Other Items'!F65</f>
        <v>0</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3733</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f>'Part IV-A-Uses of Funds'!$C$125</f>
        <v>0</v>
      </c>
      <c r="B693" s="2536"/>
      <c r="C693" s="2536"/>
      <c r="D693" s="2536"/>
      <c r="E693" s="2533"/>
      <c r="F693" s="2537">
        <f>'Part IV-B-Other Items'!F71</f>
        <v>0</v>
      </c>
      <c r="G693" s="2535"/>
      <c r="H693" s="2537">
        <f>'Part IV-B-Other Items'!H71</f>
        <v>0</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3733</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4800</v>
      </c>
      <c r="B698" s="2540"/>
      <c r="C698" s="2535"/>
      <c r="D698" s="2535"/>
      <c r="E698" s="2535"/>
      <c r="F698" s="2535"/>
      <c r="G698" s="2541"/>
      <c r="H698" s="2533"/>
    </row>
    <row r="699" spans="1:8" ht="13.5" customHeight="1">
      <c r="A699" s="2536">
        <f>'Part IV-A-Uses of Funds'!$C$129</f>
        <v>0</v>
      </c>
      <c r="B699" s="2536"/>
      <c r="C699" s="2536"/>
      <c r="D699" s="2536"/>
      <c r="E699" s="2533"/>
      <c r="F699" s="2537">
        <f>'Part IV-B-Other Items'!F77</f>
        <v>0</v>
      </c>
      <c r="G699" s="2535"/>
      <c r="H699" s="2537">
        <f>'Part IV-B-Other Items'!H77</f>
        <v>0</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3733</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2018-045 Altoview Terrace,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3832</v>
      </c>
    </row>
    <row r="716" spans="1:13" ht="63.75">
      <c r="A716" s="2547" t="s">
        <v>622</v>
      </c>
      <c r="B716" s="2547" t="s">
        <v>2243</v>
      </c>
      <c r="F716" s="683" t="s">
        <v>2536</v>
      </c>
      <c r="I716" s="2548" t="str">
        <f>'Part V-Utility Allowances'!I7</f>
        <v>HUD NWGHA ALLOWANCE - 2017-2018 Approved Utility Allowance</v>
      </c>
      <c r="J716" s="2548"/>
      <c r="K716" s="2548"/>
      <c r="L716" s="2548"/>
      <c r="M716" s="2548"/>
    </row>
    <row r="717" spans="1:13">
      <c r="A717" s="2547"/>
      <c r="F717" s="683" t="s">
        <v>642</v>
      </c>
      <c r="I717" s="2549">
        <f>'Part V-Utility Allowances'!I8</f>
        <v>43018</v>
      </c>
      <c r="J717" s="2549">
        <f>'Part V-Utility Allowances'!J8</f>
        <v>0</v>
      </c>
      <c r="K717" s="2550" t="s">
        <v>545</v>
      </c>
      <c r="L717" s="2442" t="str">
        <f>'Part V-Utility Allowances'!L8</f>
        <v>MF</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v>
      </c>
      <c r="E721" s="2442">
        <f>'Part V-Utility Allowances'!E12</f>
        <v>0</v>
      </c>
      <c r="F721" s="2553" t="str">
        <f>'Part V-Utility Allowances'!F12</f>
        <v>X</v>
      </c>
      <c r="G721" s="2553">
        <f>'Part V-Utility Allowances'!G12</f>
        <v>0</v>
      </c>
      <c r="I721" s="2550">
        <f>'Part V-Utility Allowances'!I12</f>
        <v>0</v>
      </c>
      <c r="J721" s="2550">
        <f>'Part V-Utility Allowances'!J12</f>
        <v>16</v>
      </c>
      <c r="K721" s="2550">
        <f>'Part V-Utility Allowances'!K12</f>
        <v>21</v>
      </c>
      <c r="L721" s="2550">
        <f>'Part V-Utility Allowances'!L12</f>
        <v>25</v>
      </c>
      <c r="M721" s="2550">
        <f>'Part V-Utility Allowances'!M12</f>
        <v>32</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8</v>
      </c>
      <c r="K722" s="2550">
        <f>'Part V-Utility Allowances'!K13</f>
        <v>11</v>
      </c>
      <c r="L722" s="2550">
        <f>'Part V-Utility Allowances'!L13</f>
        <v>13</v>
      </c>
      <c r="M722" s="2550">
        <f>'Part V-Utility Allowances'!M13</f>
        <v>17</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23</v>
      </c>
      <c r="K723" s="2550">
        <f>'Part V-Utility Allowances'!K14</f>
        <v>30</v>
      </c>
      <c r="L723" s="2550">
        <f>'Part V-Utility Allowances'!L14</f>
        <v>47</v>
      </c>
      <c r="M723" s="2550">
        <f>'Part V-Utility Allowances'!M14</f>
        <v>46</v>
      </c>
    </row>
    <row r="724" spans="1:13">
      <c r="B724" s="683" t="s">
        <v>471</v>
      </c>
      <c r="D724" s="683" t="s">
        <v>1608</v>
      </c>
      <c r="F724" s="2553">
        <f>'Part V-Utility Allowances'!F15</f>
        <v>0</v>
      </c>
      <c r="G724" s="2553">
        <f>'Part V-Utility Allowances'!G15</f>
        <v>0</v>
      </c>
      <c r="I724" s="2550">
        <f>'Part V-Utility Allowances'!I15</f>
        <v>0</v>
      </c>
      <c r="J724" s="2550">
        <f>'Part V-Utility Allowances'!J15</f>
        <v>0</v>
      </c>
      <c r="K724" s="2550">
        <f>'Part V-Utility Allowances'!K15</f>
        <v>0</v>
      </c>
      <c r="L724" s="2550">
        <f>'Part V-Utility Allowances'!L15</f>
        <v>0</v>
      </c>
      <c r="M724" s="2550">
        <f>'Part V-Utility Allowances'!M15</f>
        <v>0</v>
      </c>
    </row>
    <row r="725" spans="1:13">
      <c r="B725" s="683" t="s">
        <v>3829</v>
      </c>
      <c r="D725" s="683" t="s">
        <v>1608</v>
      </c>
      <c r="F725" s="2553">
        <f>'Part V-Utility Allowances'!F16</f>
        <v>0</v>
      </c>
      <c r="G725" s="2553">
        <f>'Part V-Utility Allowances'!G16</f>
        <v>0</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3830</v>
      </c>
      <c r="D726" s="683" t="s">
        <v>1608</v>
      </c>
      <c r="F726" s="2553">
        <f>'Part V-Utility Allowances'!F17</f>
        <v>0</v>
      </c>
      <c r="G726" s="2553">
        <f>'Part V-Utility Allowances'!G17</f>
        <v>0</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3831</v>
      </c>
      <c r="D727" s="683" t="s">
        <v>1608</v>
      </c>
      <c r="F727" s="2553" t="str">
        <f>'Part V-Utility Allowances'!F18</f>
        <v>X</v>
      </c>
      <c r="G727" s="2553">
        <f>'Part V-Utility Allowances'!G18</f>
        <v>0</v>
      </c>
      <c r="I727" s="2550">
        <f>'Part V-Utility Allowances'!I18</f>
        <v>0</v>
      </c>
      <c r="J727" s="2550">
        <f>'Part V-Utility Allowances'!J18</f>
        <v>30</v>
      </c>
      <c r="K727" s="2550">
        <f>'Part V-Utility Allowances'!K18</f>
        <v>39</v>
      </c>
      <c r="L727" s="2550">
        <f>'Part V-Utility Allowances'!L18</f>
        <v>36</v>
      </c>
      <c r="M727" s="2550">
        <f>'Part V-Utility Allowances'!M18</f>
        <v>60</v>
      </c>
    </row>
    <row r="728" spans="1:13">
      <c r="B728" s="683" t="s">
        <v>1382</v>
      </c>
      <c r="D728" s="683" t="s">
        <v>4544</v>
      </c>
      <c r="E728" s="2550" t="str">
        <f>'Part V-Utility Allowances'!E19</f>
        <v>Yes</v>
      </c>
      <c r="F728" s="2553">
        <f>'Part V-Utility Allowances'!F19</f>
        <v>0</v>
      </c>
      <c r="G728" s="2553" t="str">
        <f>'Part V-Utility Allowances'!G19</f>
        <v>X</v>
      </c>
      <c r="I728" s="2550">
        <f>'Part V-Utility Allowances'!I19</f>
        <v>0</v>
      </c>
      <c r="J728" s="2550">
        <f>'Part V-Utility Allowances'!J19</f>
        <v>0</v>
      </c>
      <c r="K728" s="2550">
        <f>'Part V-Utility Allowances'!K19</f>
        <v>0</v>
      </c>
      <c r="L728" s="2550">
        <f>'Part V-Utility Allowances'!L19</f>
        <v>0</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77</v>
      </c>
      <c r="K730" s="2552">
        <f>IF(SUM(K721:K729)=0,0,IF(OR($D721="&lt;&lt;Select Fuel &gt;&gt;",$D722="&lt;&lt;Select Fuel &gt;&gt;",$D723="&lt;&lt;Select Fuel &gt;&gt;"),"Select Fuel",IF($E728="&lt;Select&gt;","Submeter?",SUM(K721:K729))))</f>
        <v>101</v>
      </c>
      <c r="L730" s="2552">
        <f>IF(SUM(L721:L729)=0,0,IF(OR($D721="&lt;&lt;Select Fuel &gt;&gt;",$D722="&lt;&lt;Select Fuel &gt;&gt;",$D723="&lt;&lt;Select Fuel &gt;&gt;"),"Select Fuel",IF($E728="&lt;Select&gt;","Submeter?",SUM(L721:L729))))</f>
        <v>121</v>
      </c>
      <c r="M730" s="2552">
        <f>IF(SUM(M721:M729)=0,0,IF(OR($D721="&lt;&lt;Select Fuel &gt;&gt;",$D722="&lt;&lt;Select Fuel &gt;&gt;",$D723="&lt;&lt;Select Fuel &gt;&gt;"),"Select Fuel",IF($E728="&lt;Select&gt;","Submeter?",SUM(M721:M729))))</f>
        <v>155</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3829</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3830</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3831</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4544</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4545</v>
      </c>
      <c r="F748" s="2550"/>
      <c r="G748" s="2550"/>
      <c r="I748" s="2552"/>
      <c r="J748" s="2552"/>
      <c r="K748" s="2552"/>
      <c r="L748" s="2552"/>
      <c r="M748" s="2552"/>
    </row>
    <row r="749" spans="1:13">
      <c r="A749" s="2547"/>
      <c r="B749" s="2547" t="s">
        <v>577</v>
      </c>
    </row>
    <row r="750" spans="1:13" ht="409.5">
      <c r="B750" s="1329" t="str">
        <f>'Part V-Utility Allowances'!B41</f>
        <v>NWGHA administers its own Section 8 and Utility Allowances. The current UA is effective from 10/1/17-10/1/18.  Range/Microwave and Refrigerator are provided so no utility allowance is required for those line-item.  Similarly, NWGHA Utility Allowance for Air Conditioning is solely for properties in which the tenant provde their own window mounted units.  As Altoview is equipped with central heat and air, no utility allowance is required for that line-item</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4.1" customHeight="1">
      <c r="A758" s="2544" t="str">
        <f>CONCATENATE("PART SIX - PROJECTED REVENUES &amp; EXPENSES","  -  ",'Part I-Project Information'!$O$6," ",'Part I-Project Information'!$F$34,", ",'Part I-Project Information'!F795,", ",'Part I-Project Information'!J796," County")</f>
        <v>PART SIX - PROJECTED REVENUES &amp; EXPENSES  -  2018-045 Altoview Terrace,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2018-045 Altoview Terrace,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3591</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3443</v>
      </c>
      <c r="JD760" s="2548" t="s">
        <v>3444</v>
      </c>
      <c r="JE760" s="2548" t="s">
        <v>3445</v>
      </c>
      <c r="JF760" s="2548" t="s">
        <v>3446</v>
      </c>
      <c r="JG760" s="2548" t="s">
        <v>3447</v>
      </c>
    </row>
    <row r="761" spans="1:277" s="2355" customFormat="1" ht="3" customHeight="1">
      <c r="B761" s="2544"/>
      <c r="D761" s="2544"/>
      <c r="P761" s="2558" t="s">
        <v>4801</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35" customHeight="1">
      <c r="A762" s="2561" t="str">
        <f>IF(A805&gt;0,"Finish Row!","")</f>
        <v/>
      </c>
      <c r="B762" s="2544" t="s">
        <v>1860</v>
      </c>
      <c r="E762" s="2544"/>
      <c r="G762" s="2554">
        <f>'Part VI-Revenues &amp; Expenses'!G5</f>
        <v>0</v>
      </c>
      <c r="H762" s="2544"/>
      <c r="I762" s="2562" t="s">
        <v>806</v>
      </c>
      <c r="J762" s="2562" t="s">
        <v>3586</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3438</v>
      </c>
      <c r="JI762" s="2560" t="s">
        <v>3439</v>
      </c>
      <c r="JJ762" s="2560" t="s">
        <v>3440</v>
      </c>
      <c r="JK762" s="2560" t="s">
        <v>3441</v>
      </c>
      <c r="JL762" s="2560" t="s">
        <v>3442</v>
      </c>
      <c r="JM762" s="2548" t="s">
        <v>3452</v>
      </c>
      <c r="JN762" s="2548" t="s">
        <v>3454</v>
      </c>
      <c r="JO762" s="2548" t="s">
        <v>3455</v>
      </c>
      <c r="JP762" s="2548" t="s">
        <v>3456</v>
      </c>
      <c r="JQ762" s="2548" t="s">
        <v>3457</v>
      </c>
    </row>
    <row r="763" spans="1:277" s="2355" customFormat="1" ht="13.35" customHeight="1">
      <c r="A763" s="2561"/>
      <c r="B763" s="2564" t="s">
        <v>1818</v>
      </c>
      <c r="E763" s="2544"/>
      <c r="F763" s="2550" t="str">
        <f>'Part VI-Revenues &amp; Expenses'!F6</f>
        <v>No</v>
      </c>
      <c r="G763" s="2562" t="s">
        <v>3688</v>
      </c>
      <c r="H763" s="2558" t="s">
        <v>3918</v>
      </c>
      <c r="I763" s="2562" t="s">
        <v>807</v>
      </c>
      <c r="J763" s="2562" t="s">
        <v>3691</v>
      </c>
      <c r="K763" s="2560"/>
      <c r="L763" s="2560"/>
      <c r="M763" s="2565" t="str">
        <f>'Part I-Project Information'!$O$40</f>
        <v>Rome</v>
      </c>
      <c r="N763" s="2565"/>
      <c r="O763" s="2566">
        <f>VLOOKUP('Part I-Project Information'!$O$40,'DCA Underwriting Assumptions'!$C$155:$D$265,2)</f>
        <v>51900</v>
      </c>
      <c r="P763" s="2558"/>
      <c r="Q763" s="2559"/>
      <c r="S763" s="2544" t="s">
        <v>2715</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3689</v>
      </c>
      <c r="H764" s="2558"/>
      <c r="I764" s="2518" t="s">
        <v>3878</v>
      </c>
      <c r="J764" s="2562" t="s">
        <v>3692</v>
      </c>
      <c r="K764" s="2560"/>
      <c r="L764" s="2560"/>
      <c r="P764" s="2558"/>
      <c r="Q764" s="2559"/>
      <c r="R764" s="2560"/>
      <c r="S764" s="2567"/>
      <c r="T764" s="2568" t="s">
        <v>2712</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3689</v>
      </c>
      <c r="I765" s="2518"/>
      <c r="J765" s="2562" t="s">
        <v>4802</v>
      </c>
      <c r="K765" s="2570" t="s">
        <v>146</v>
      </c>
      <c r="L765" s="2570"/>
      <c r="M765" s="2562" t="s">
        <v>2383</v>
      </c>
      <c r="N765" s="2562" t="s">
        <v>537</v>
      </c>
      <c r="O765" s="2562" t="s">
        <v>385</v>
      </c>
      <c r="P765" s="2558"/>
      <c r="Q765" s="2570" t="s">
        <v>3596</v>
      </c>
      <c r="R765" s="2570"/>
      <c r="S765" s="2562" t="s">
        <v>2711</v>
      </c>
      <c r="T765" s="2562" t="s">
        <v>2713</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3386</v>
      </c>
      <c r="FH765" s="2548" t="s">
        <v>3386</v>
      </c>
      <c r="FI765" s="2548" t="s">
        <v>3386</v>
      </c>
      <c r="FJ765" s="2548" t="s">
        <v>3386</v>
      </c>
      <c r="FK765" s="2548" t="s">
        <v>3386</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3382</v>
      </c>
      <c r="GB765" s="2548" t="s">
        <v>3382</v>
      </c>
      <c r="GC765" s="2548" t="s">
        <v>3382</v>
      </c>
      <c r="GD765" s="2548" t="s">
        <v>3382</v>
      </c>
      <c r="GE765" s="2548" t="s">
        <v>3382</v>
      </c>
      <c r="GF765" s="2548" t="s">
        <v>360</v>
      </c>
      <c r="GG765" s="2548" t="s">
        <v>360</v>
      </c>
      <c r="GH765" s="2548" t="s">
        <v>360</v>
      </c>
      <c r="GI765" s="2548" t="s">
        <v>360</v>
      </c>
      <c r="GJ765" s="2548" t="s">
        <v>360</v>
      </c>
      <c r="GK765" s="2548" t="s">
        <v>3381</v>
      </c>
      <c r="GL765" s="2548" t="s">
        <v>3381</v>
      </c>
      <c r="GM765" s="2548" t="s">
        <v>3381</v>
      </c>
      <c r="GN765" s="2548" t="s">
        <v>3381</v>
      </c>
      <c r="GO765" s="2548" t="s">
        <v>3381</v>
      </c>
      <c r="GP765" s="2548" t="s">
        <v>361</v>
      </c>
      <c r="GQ765" s="2548" t="s">
        <v>361</v>
      </c>
      <c r="GR765" s="2548" t="s">
        <v>361</v>
      </c>
      <c r="GS765" s="2548" t="s">
        <v>361</v>
      </c>
      <c r="GT765" s="2548" t="s">
        <v>361</v>
      </c>
      <c r="GU765" s="2548" t="s">
        <v>3380</v>
      </c>
      <c r="GV765" s="2548" t="s">
        <v>3380</v>
      </c>
      <c r="GW765" s="2548" t="s">
        <v>3380</v>
      </c>
      <c r="GX765" s="2548" t="s">
        <v>3380</v>
      </c>
      <c r="GY765" s="2548" t="s">
        <v>3380</v>
      </c>
      <c r="GZ765" s="2548" t="s">
        <v>362</v>
      </c>
      <c r="HA765" s="2548" t="s">
        <v>362</v>
      </c>
      <c r="HB765" s="2548" t="s">
        <v>362</v>
      </c>
      <c r="HC765" s="2548" t="s">
        <v>362</v>
      </c>
      <c r="HD765" s="2548" t="s">
        <v>362</v>
      </c>
      <c r="HE765" s="2548" t="s">
        <v>3383</v>
      </c>
      <c r="HF765" s="2548" t="s">
        <v>3383</v>
      </c>
      <c r="HG765" s="2548" t="s">
        <v>3383</v>
      </c>
      <c r="HH765" s="2548" t="s">
        <v>3383</v>
      </c>
      <c r="HI765" s="2548" t="s">
        <v>3383</v>
      </c>
      <c r="HJ765" s="2548" t="s">
        <v>363</v>
      </c>
      <c r="HK765" s="2548" t="s">
        <v>363</v>
      </c>
      <c r="HL765" s="2548" t="s">
        <v>363</v>
      </c>
      <c r="HM765" s="2548" t="s">
        <v>363</v>
      </c>
      <c r="HN765" s="2548" t="s">
        <v>363</v>
      </c>
      <c r="HO765" s="2548" t="s">
        <v>3384</v>
      </c>
      <c r="HP765" s="2548" t="s">
        <v>3384</v>
      </c>
      <c r="HQ765" s="2548" t="s">
        <v>3384</v>
      </c>
      <c r="HR765" s="2548" t="s">
        <v>3384</v>
      </c>
      <c r="HS765" s="2548" t="s">
        <v>3384</v>
      </c>
      <c r="HT765" s="2548" t="s">
        <v>1473</v>
      </c>
      <c r="HU765" s="2548" t="s">
        <v>1473</v>
      </c>
      <c r="HV765" s="2548" t="s">
        <v>1473</v>
      </c>
      <c r="HW765" s="2548" t="s">
        <v>1473</v>
      </c>
      <c r="HX765" s="2548" t="s">
        <v>1473</v>
      </c>
      <c r="HY765" s="2548" t="s">
        <v>3385</v>
      </c>
      <c r="HZ765" s="2548" t="s">
        <v>3385</v>
      </c>
      <c r="IA765" s="2548" t="s">
        <v>3385</v>
      </c>
      <c r="IB765" s="2548" t="s">
        <v>3385</v>
      </c>
      <c r="IC765" s="2548" t="s">
        <v>3385</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3690</v>
      </c>
      <c r="H766" s="2562" t="s">
        <v>1490</v>
      </c>
      <c r="I766" s="2518"/>
      <c r="J766" s="2571" t="s">
        <v>352</v>
      </c>
      <c r="K766" s="2562" t="s">
        <v>1542</v>
      </c>
      <c r="L766" s="2562" t="s">
        <v>544</v>
      </c>
      <c r="M766" s="2562" t="s">
        <v>1488</v>
      </c>
      <c r="N766" s="2562" t="s">
        <v>3335</v>
      </c>
      <c r="O766" s="2562" t="s">
        <v>386</v>
      </c>
      <c r="P766" s="2558"/>
      <c r="Q766" s="2562" t="s">
        <v>3597</v>
      </c>
      <c r="R766" s="2562" t="s">
        <v>1050</v>
      </c>
      <c r="S766" s="2562" t="s">
        <v>1490</v>
      </c>
      <c r="T766" s="2562" t="s">
        <v>2714</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3387</v>
      </c>
      <c r="FR766" s="2550" t="s">
        <v>3387</v>
      </c>
      <c r="FS766" s="2550" t="s">
        <v>3387</v>
      </c>
      <c r="FT766" s="2550" t="s">
        <v>3387</v>
      </c>
      <c r="FU766" s="2550" t="s">
        <v>3387</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4</v>
      </c>
      <c r="F767" s="2575">
        <f>'Part VI-Revenues &amp; Expenses'!F10</f>
        <v>821</v>
      </c>
      <c r="G767" s="2575">
        <f>'Part VI-Revenues &amp; Expenses'!G10</f>
        <v>487</v>
      </c>
      <c r="H767" s="2575">
        <f>'Part VI-Revenues &amp; Expenses'!H10</f>
        <v>449</v>
      </c>
      <c r="I767" s="2575">
        <f>'Part VI-Revenues &amp; Expenses'!I10</f>
        <v>77</v>
      </c>
      <c r="J767" s="2576" t="str">
        <f>'Part VI-Revenues &amp; Expenses'!J10</f>
        <v>RAD</v>
      </c>
      <c r="K767" s="2577">
        <f t="shared" ref="K767:K804" si="2">MAX(0,H767-I767)</f>
        <v>372</v>
      </c>
      <c r="L767" s="2577">
        <f t="shared" ref="L767:L804" si="3">MAX(0,E767*K767)</f>
        <v>1488</v>
      </c>
      <c r="M767" s="2451" t="str">
        <f>'Part VI-Revenues &amp; Expenses'!M10</f>
        <v>No</v>
      </c>
      <c r="N767" s="2451" t="str">
        <f>'Part VI-Revenues &amp; Expenses'!N10</f>
        <v>2-Story Walkup</v>
      </c>
      <c r="O767" s="2451" t="str">
        <f>'Part VI-Revenues &amp; Expenses'!O10</f>
        <v>New Construction</v>
      </c>
      <c r="P767" s="2557" t="str">
        <f>'Part VI-Revenues &amp; Expenses'!P10</f>
        <v>No</v>
      </c>
      <c r="Q767" s="2578">
        <f>'Part VI-Revenues &amp; Expenses'!Q10</f>
        <v>17960</v>
      </c>
      <c r="R767" s="2579">
        <f>'Part VI-Revenues &amp; Expenses'!R10</f>
        <v>0.46140012845215156</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4</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f t="shared" ref="AW767:AW804" si="30">IF(OR(AND($C767=1,NOT($J767=""),NOT($J767=0),NOT($J767="PHA Oper Sub"),$B767="50% AMI",NOT($M767="Common Space")),AND($C767=1,NOT($J767=""),NOT($J767=0),NOT($J767="PHA Oper Sub"),$B767="HOME 50% AMI",NOT($M767="Common Space"))),$E767,"")</f>
        <v>4</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3284</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f t="shared" ref="CU767:CU804" si="80">IF(AND(C767=1,NOT(J767=""),NOT($J767=0),NOT(M767="Common Space")),E767*F767,"")</f>
        <v>3284</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4</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4</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f t="shared" ref="HK767:HK804" si="200">IF(AND($C767=1, $N767="2-Story Walkup",NOT($P767="Yes")),$E767,"")</f>
        <v>4</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4</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3</v>
      </c>
      <c r="D768" s="2574">
        <f>'Part VI-Revenues &amp; Expenses'!D11</f>
        <v>2</v>
      </c>
      <c r="E768" s="2575">
        <f>'Part VI-Revenues &amp; Expenses'!E11</f>
        <v>5</v>
      </c>
      <c r="F768" s="2575">
        <f>'Part VI-Revenues &amp; Expenses'!F11</f>
        <v>1626</v>
      </c>
      <c r="G768" s="2575">
        <f>'Part VI-Revenues &amp; Expenses'!G11</f>
        <v>675</v>
      </c>
      <c r="H768" s="2575">
        <f>'Part VI-Revenues &amp; Expenses'!H11</f>
        <v>675</v>
      </c>
      <c r="I768" s="2575">
        <f>'Part VI-Revenues &amp; Expenses'!I11</f>
        <v>121</v>
      </c>
      <c r="J768" s="2576" t="str">
        <f>'Part VI-Revenues &amp; Expenses'!J11</f>
        <v>RAD</v>
      </c>
      <c r="K768" s="2577">
        <f t="shared" si="2"/>
        <v>554</v>
      </c>
      <c r="L768" s="2577">
        <f t="shared" si="3"/>
        <v>2770</v>
      </c>
      <c r="M768" s="2451" t="str">
        <f>'Part VI-Revenues &amp; Expenses'!M11</f>
        <v>No</v>
      </c>
      <c r="N768" s="2451" t="str">
        <f>'Part VI-Revenues &amp; Expenses'!N11</f>
        <v>Townhome</v>
      </c>
      <c r="O768" s="2451" t="str">
        <f>'Part VI-Revenues &amp; Expenses'!O11</f>
        <v>New Construction</v>
      </c>
      <c r="P768" s="2557" t="str">
        <f>'Part VI-Revenues &amp; Expenses'!P11</f>
        <v>No</v>
      </c>
      <c r="Q768" s="2578">
        <f>'Part VI-Revenues &amp; Expenses'!Q11</f>
        <v>27000</v>
      </c>
      <c r="R768" s="2579">
        <f>'Part VI-Revenues &amp; Expenses'!R11</f>
        <v>0.50022232103156961</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t="str">
        <f t="shared" si="11"/>
        <v/>
      </c>
      <c r="AE768" s="683">
        <f t="shared" si="12"/>
        <v>5</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f t="shared" si="32"/>
        <v>5</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t="str">
        <f t="shared" si="66"/>
        <v/>
      </c>
      <c r="CH768" s="683">
        <f t="shared" si="67"/>
        <v>8130</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f t="shared" si="82"/>
        <v>8130</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f t="shared" si="92"/>
        <v>5</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t="str">
        <f t="shared" si="136"/>
        <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f t="shared" si="172"/>
        <v>5</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0</v>
      </c>
      <c r="JK768" s="2550">
        <f t="shared" ref="JK768:JK804" si="252">IF(AND($C768=3,$E768&gt;0,OR($N768="1-Story",$N768="2-Story",$N768="3+ Story",$N768="2-Story Walkup",$N768="Townhome"),$O768="New Construction"),$E768,0)</f>
        <v>5</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f>'Part VI-Revenues &amp; Expenses'!B12</f>
        <v>0</v>
      </c>
      <c r="C769" s="2573">
        <f>'Part VI-Revenues &amp; Expenses'!C12</f>
        <v>0</v>
      </c>
      <c r="D769" s="2574">
        <f>'Part VI-Revenues &amp; Expenses'!D12</f>
        <v>0</v>
      </c>
      <c r="E769" s="2575">
        <f>'Part VI-Revenues &amp; Expenses'!E12</f>
        <v>0</v>
      </c>
      <c r="F769" s="2575">
        <f>'Part VI-Revenues &amp; Expenses'!F12</f>
        <v>0</v>
      </c>
      <c r="G769" s="2575">
        <f>'Part VI-Revenues &amp; Expenses'!G12</f>
        <v>0</v>
      </c>
      <c r="H769" s="2575">
        <f>'Part VI-Revenues &amp; Expenses'!H12</f>
        <v>0</v>
      </c>
      <c r="I769" s="2575">
        <f>'Part VI-Revenues &amp; Expenses'!I12</f>
        <v>0</v>
      </c>
      <c r="J769" s="2576">
        <f>'Part VI-Revenues &amp; Expenses'!J12</f>
        <v>0</v>
      </c>
      <c r="K769" s="2577">
        <f t="shared" si="2"/>
        <v>0</v>
      </c>
      <c r="L769" s="2577">
        <f t="shared" si="3"/>
        <v>0</v>
      </c>
      <c r="M769" s="2451">
        <f>'Part VI-Revenues &amp; Expenses'!M12</f>
        <v>0</v>
      </c>
      <c r="N769" s="2451">
        <f>'Part VI-Revenues &amp; Expenses'!N12</f>
        <v>0</v>
      </c>
      <c r="O769" s="2451">
        <f>'Part VI-Revenues &amp; Expenses'!O12</f>
        <v>0</v>
      </c>
      <c r="P769" s="2557">
        <f>'Part VI-Revenues &amp; Expenses'!P12</f>
        <v>0</v>
      </c>
      <c r="Q769" s="2578" t="str">
        <f>'Part VI-Revenues &amp; Expenses'!Q12</f>
        <v/>
      </c>
      <c r="R769" s="2579" t="str">
        <f>'Part VI-Revenues &amp; Expenses'!R12</f>
        <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t="str">
        <f t="shared" si="136"/>
        <v/>
      </c>
      <c r="EZ769" s="2580" t="str">
        <f t="shared" si="137"/>
        <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0</v>
      </c>
      <c r="JJ769" s="2550">
        <f t="shared" si="251"/>
        <v>0</v>
      </c>
      <c r="JK769" s="2550">
        <f t="shared" si="252"/>
        <v>0</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f>'Part VI-Revenues &amp; Expenses'!B13</f>
        <v>0</v>
      </c>
      <c r="C770" s="2573">
        <f>'Part VI-Revenues &amp; Expenses'!C13</f>
        <v>0</v>
      </c>
      <c r="D770" s="2574">
        <f>'Part VI-Revenues &amp; Expenses'!D13</f>
        <v>0</v>
      </c>
      <c r="E770" s="2575">
        <f>'Part VI-Revenues &amp; Expenses'!E13</f>
        <v>0</v>
      </c>
      <c r="F770" s="2575">
        <f>'Part VI-Revenues &amp; Expenses'!F13</f>
        <v>0</v>
      </c>
      <c r="G770" s="2575">
        <f>'Part VI-Revenues &amp; Expenses'!G13</f>
        <v>0</v>
      </c>
      <c r="H770" s="2575">
        <f>'Part VI-Revenues &amp; Expenses'!H13</f>
        <v>0</v>
      </c>
      <c r="I770" s="2575">
        <f>'Part VI-Revenues &amp; Expenses'!I13</f>
        <v>0</v>
      </c>
      <c r="J770" s="2576">
        <f>'Part VI-Revenues &amp; Expenses'!J13</f>
        <v>0</v>
      </c>
      <c r="K770" s="2577">
        <f t="shared" si="2"/>
        <v>0</v>
      </c>
      <c r="L770" s="2577">
        <f t="shared" si="3"/>
        <v>0</v>
      </c>
      <c r="M770" s="2451">
        <f>'Part VI-Revenues &amp; Expenses'!M13</f>
        <v>0</v>
      </c>
      <c r="N770" s="2451">
        <f>'Part VI-Revenues &amp; Expenses'!N13</f>
        <v>0</v>
      </c>
      <c r="O770" s="2451">
        <f>'Part VI-Revenues &amp; Expenses'!O13</f>
        <v>0</v>
      </c>
      <c r="P770" s="2557">
        <f>'Part VI-Revenues &amp; Expenses'!P13</f>
        <v>0</v>
      </c>
      <c r="Q770" s="2578" t="str">
        <f>'Part VI-Revenues &amp; Expenses'!Q13</f>
        <v/>
      </c>
      <c r="R770" s="2579" t="str">
        <f>'Part VI-Revenues &amp; Expenses'!R13</f>
        <v/>
      </c>
      <c r="S770" s="2578">
        <f>'Part VI-Revenues &amp; Expenses'!S13</f>
        <v>0</v>
      </c>
      <c r="T770" s="2579">
        <f>'Part VI-Revenues &amp; Expenses'!T13</f>
        <v>0</v>
      </c>
      <c r="U770" s="2501"/>
      <c r="V770" s="2501"/>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t="str">
        <f t="shared" si="135"/>
        <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0</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1</v>
      </c>
      <c r="D771" s="2574">
        <f>'Part VI-Revenues &amp; Expenses'!D14</f>
        <v>1</v>
      </c>
      <c r="E771" s="2575">
        <f>'Part VI-Revenues &amp; Expenses'!E14</f>
        <v>8</v>
      </c>
      <c r="F771" s="2575">
        <f>'Part VI-Revenues &amp; Expenses'!F14</f>
        <v>821</v>
      </c>
      <c r="G771" s="2575">
        <f>'Part VI-Revenues &amp; Expenses'!G14</f>
        <v>585</v>
      </c>
      <c r="H771" s="2575">
        <f>'Part VI-Revenues &amp; Expenses'!H14</f>
        <v>449</v>
      </c>
      <c r="I771" s="2575">
        <f>'Part VI-Revenues &amp; Expenses'!I14</f>
        <v>77</v>
      </c>
      <c r="J771" s="2576" t="str">
        <f>'Part VI-Revenues &amp; Expenses'!J14</f>
        <v>RAD</v>
      </c>
      <c r="K771" s="2577">
        <f t="shared" si="2"/>
        <v>372</v>
      </c>
      <c r="L771" s="2577">
        <f t="shared" si="3"/>
        <v>2976</v>
      </c>
      <c r="M771" s="2451" t="str">
        <f>'Part VI-Revenues &amp; Expenses'!M14</f>
        <v>No</v>
      </c>
      <c r="N771" s="2451" t="str">
        <f>'Part VI-Revenues &amp; Expenses'!N14</f>
        <v>2-Story Walkup</v>
      </c>
      <c r="O771" s="2451" t="str">
        <f>'Part VI-Revenues &amp; Expenses'!O14</f>
        <v>New Construction</v>
      </c>
      <c r="P771" s="2557" t="str">
        <f>'Part VI-Revenues &amp; Expenses'!P14</f>
        <v>No</v>
      </c>
      <c r="Q771" s="2578">
        <f>'Part VI-Revenues &amp; Expenses'!Q14</f>
        <v>17960</v>
      </c>
      <c r="R771" s="2579">
        <f>'Part VI-Revenues &amp; Expenses'!R14</f>
        <v>0.46140012845215156</v>
      </c>
      <c r="S771" s="2578">
        <f>'Part VI-Revenues &amp; Expenses'!S14</f>
        <v>0</v>
      </c>
      <c r="T771" s="2579">
        <f>'Part VI-Revenues &amp; Expenses'!T14</f>
        <v>0</v>
      </c>
      <c r="U771" s="2501"/>
      <c r="V771" s="2501"/>
      <c r="W771" s="683" t="str">
        <f t="shared" si="4"/>
        <v/>
      </c>
      <c r="X771" s="683">
        <f t="shared" si="5"/>
        <v>8</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f t="shared" si="35"/>
        <v>8</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f t="shared" si="60"/>
        <v>6568</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f t="shared" si="80"/>
        <v>6568</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f t="shared" si="90"/>
        <v>8</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f t="shared" si="135"/>
        <v>8</v>
      </c>
      <c r="EY771" s="2580" t="str">
        <f t="shared" si="136"/>
        <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f t="shared" si="200"/>
        <v>8</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8</v>
      </c>
      <c r="JJ771" s="2550">
        <f t="shared" si="251"/>
        <v>0</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60% AMI</v>
      </c>
      <c r="C772" s="2573">
        <f>'Part VI-Revenues &amp; Expenses'!C15</f>
        <v>2</v>
      </c>
      <c r="D772" s="2574">
        <f>'Part VI-Revenues &amp; Expenses'!D15</f>
        <v>2</v>
      </c>
      <c r="E772" s="2575">
        <f>'Part VI-Revenues &amp; Expenses'!E15</f>
        <v>26</v>
      </c>
      <c r="F772" s="2575">
        <f>'Part VI-Revenues &amp; Expenses'!F15</f>
        <v>1118</v>
      </c>
      <c r="G772" s="2575">
        <f>'Part VI-Revenues &amp; Expenses'!G15</f>
        <v>702</v>
      </c>
      <c r="H772" s="2575">
        <f>'Part VI-Revenues &amp; Expenses'!H15</f>
        <v>604</v>
      </c>
      <c r="I772" s="2575">
        <f>'Part VI-Revenues &amp; Expenses'!I15</f>
        <v>101</v>
      </c>
      <c r="J772" s="2576" t="str">
        <f>'Part VI-Revenues &amp; Expenses'!J15</f>
        <v>RAD</v>
      </c>
      <c r="K772" s="2577">
        <f t="shared" si="2"/>
        <v>503</v>
      </c>
      <c r="L772" s="2577">
        <f t="shared" si="3"/>
        <v>13078</v>
      </c>
      <c r="M772" s="2451" t="str">
        <f>'Part VI-Revenues &amp; Expenses'!M15</f>
        <v>No</v>
      </c>
      <c r="N772" s="2451" t="str">
        <f>'Part VI-Revenues &amp; Expenses'!N15</f>
        <v>2-Story Walkup</v>
      </c>
      <c r="O772" s="2451" t="str">
        <f>'Part VI-Revenues &amp; Expenses'!O15</f>
        <v>New Construction</v>
      </c>
      <c r="P772" s="2557" t="str">
        <f>'Part VI-Revenues &amp; Expenses'!P15</f>
        <v>No</v>
      </c>
      <c r="Q772" s="2578">
        <f>'Part VI-Revenues &amp; Expenses'!Q15</f>
        <v>24160</v>
      </c>
      <c r="R772" s="2579">
        <f>'Part VI-Revenues &amp; Expenses'!R15</f>
        <v>0.51723399700278316</v>
      </c>
      <c r="S772" s="2578">
        <f>'Part VI-Revenues &amp; Expenses'!S15</f>
        <v>0</v>
      </c>
      <c r="T772" s="2579">
        <f>'Part VI-Revenues &amp; Expenses'!T15</f>
        <v>0</v>
      </c>
      <c r="U772" s="2501"/>
      <c r="V772" s="2501"/>
      <c r="W772" s="683" t="str">
        <f t="shared" si="4"/>
        <v/>
      </c>
      <c r="X772" s="683" t="str">
        <f t="shared" si="5"/>
        <v/>
      </c>
      <c r="Y772" s="683">
        <f t="shared" si="6"/>
        <v>26</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f t="shared" si="36"/>
        <v>26</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f t="shared" si="61"/>
        <v>29068</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f t="shared" si="81"/>
        <v>29068</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f t="shared" si="91"/>
        <v>26</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f t="shared" si="136"/>
        <v>26</v>
      </c>
      <c r="EZ772" s="2580" t="str">
        <f t="shared" si="137"/>
        <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f t="shared" si="201"/>
        <v>26</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26</v>
      </c>
      <c r="JK772" s="2550">
        <f t="shared" si="252"/>
        <v>0</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60% AMI</v>
      </c>
      <c r="C773" s="2573">
        <f>'Part VI-Revenues &amp; Expenses'!C16</f>
        <v>3</v>
      </c>
      <c r="D773" s="2574">
        <f>'Part VI-Revenues &amp; Expenses'!D16</f>
        <v>2</v>
      </c>
      <c r="E773" s="2575">
        <f>'Part VI-Revenues &amp; Expenses'!E16</f>
        <v>11</v>
      </c>
      <c r="F773" s="2575">
        <f>'Part VI-Revenues &amp; Expenses'!F16</f>
        <v>1626</v>
      </c>
      <c r="G773" s="2575">
        <f>'Part VI-Revenues &amp; Expenses'!G16</f>
        <v>810</v>
      </c>
      <c r="H773" s="2575">
        <f>'Part VI-Revenues &amp; Expenses'!H16</f>
        <v>749</v>
      </c>
      <c r="I773" s="2575">
        <f>'Part VI-Revenues &amp; Expenses'!I16</f>
        <v>121</v>
      </c>
      <c r="J773" s="2576" t="str">
        <f>'Part VI-Revenues &amp; Expenses'!J16</f>
        <v>RAD</v>
      </c>
      <c r="K773" s="2577">
        <f t="shared" si="2"/>
        <v>628</v>
      </c>
      <c r="L773" s="2577">
        <f t="shared" si="3"/>
        <v>6908</v>
      </c>
      <c r="M773" s="2451" t="str">
        <f>'Part VI-Revenues &amp; Expenses'!M16</f>
        <v>No</v>
      </c>
      <c r="N773" s="2451" t="str">
        <f>'Part VI-Revenues &amp; Expenses'!N16</f>
        <v>Townhome</v>
      </c>
      <c r="O773" s="2451" t="str">
        <f>'Part VI-Revenues &amp; Expenses'!O16</f>
        <v>New Construction</v>
      </c>
      <c r="P773" s="2557" t="str">
        <f>'Part VI-Revenues &amp; Expenses'!P16</f>
        <v>No</v>
      </c>
      <c r="Q773" s="2578">
        <f>'Part VI-Revenues &amp; Expenses'!Q16</f>
        <v>29960</v>
      </c>
      <c r="R773" s="2579">
        <f>'Part VI-Revenues &amp; Expenses'!R16</f>
        <v>0.55506150881873428</v>
      </c>
      <c r="S773" s="2578">
        <f>'Part VI-Revenues &amp; Expenses'!S16</f>
        <v>0</v>
      </c>
      <c r="T773" s="2579">
        <f>'Part VI-Revenues &amp; Expenses'!T16</f>
        <v>0</v>
      </c>
      <c r="U773" s="2501"/>
      <c r="V773" s="2501"/>
      <c r="W773" s="683" t="str">
        <f t="shared" si="4"/>
        <v/>
      </c>
      <c r="X773" s="683" t="str">
        <f t="shared" si="5"/>
        <v/>
      </c>
      <c r="Y773" s="683" t="str">
        <f t="shared" si="6"/>
        <v/>
      </c>
      <c r="Z773" s="683">
        <f t="shared" si="7"/>
        <v>11</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f t="shared" si="37"/>
        <v>11</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f t="shared" si="62"/>
        <v>17886</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f t="shared" si="82"/>
        <v>17886</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f t="shared" si="92"/>
        <v>11</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f t="shared" si="172"/>
        <v>11</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11</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60% AMI</v>
      </c>
      <c r="C774" s="2573">
        <f>'Part VI-Revenues &amp; Expenses'!C17</f>
        <v>4</v>
      </c>
      <c r="D774" s="2574">
        <f>'Part VI-Revenues &amp; Expenses'!D17</f>
        <v>2</v>
      </c>
      <c r="E774" s="2575">
        <f>'Part VI-Revenues &amp; Expenses'!E17</f>
        <v>2</v>
      </c>
      <c r="F774" s="2575">
        <f>'Part VI-Revenues &amp; Expenses'!F17</f>
        <v>1878</v>
      </c>
      <c r="G774" s="2575">
        <f>'Part VI-Revenues &amp; Expenses'!G17</f>
        <v>904</v>
      </c>
      <c r="H774" s="2575">
        <f>'Part VI-Revenues &amp; Expenses'!H17</f>
        <v>904</v>
      </c>
      <c r="I774" s="2575">
        <f>'Part VI-Revenues &amp; Expenses'!I17</f>
        <v>155</v>
      </c>
      <c r="J774" s="2576" t="str">
        <f>'Part VI-Revenues &amp; Expenses'!J17</f>
        <v>RAD</v>
      </c>
      <c r="K774" s="2577">
        <f t="shared" si="2"/>
        <v>749</v>
      </c>
      <c r="L774" s="2577">
        <f t="shared" si="3"/>
        <v>1498</v>
      </c>
      <c r="M774" s="2451" t="str">
        <f>'Part VI-Revenues &amp; Expenses'!M17</f>
        <v>No</v>
      </c>
      <c r="N774" s="2451" t="str">
        <f>'Part VI-Revenues &amp; Expenses'!N17</f>
        <v>Townhome</v>
      </c>
      <c r="O774" s="2451" t="str">
        <f>'Part VI-Revenues &amp; Expenses'!O17</f>
        <v>New Construction</v>
      </c>
      <c r="P774" s="2557" t="str">
        <f>'Part VI-Revenues &amp; Expenses'!P17</f>
        <v>No</v>
      </c>
      <c r="Q774" s="2578">
        <f>'Part VI-Revenues &amp; Expenses'!Q17</f>
        <v>36160</v>
      </c>
      <c r="R774" s="2579">
        <f>'Part VI-Revenues &amp; Expenses'!R17</f>
        <v>0.6006245432197197</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f t="shared" si="8"/>
        <v>2</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f t="shared" si="38"/>
        <v>2</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f t="shared" si="63"/>
        <v>3756</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f t="shared" si="83"/>
        <v>3756</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f t="shared" si="93"/>
        <v>2</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f t="shared" si="173"/>
        <v>2</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2</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f>'Part VI-Revenues &amp; Expenses'!B18</f>
        <v>0</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50% AMI</v>
      </c>
      <c r="C776" s="2573">
        <f>'Part VI-Revenues &amp; Expenses'!C19</f>
        <v>1</v>
      </c>
      <c r="D776" s="2574">
        <f>'Part VI-Revenues &amp; Expenses'!D19</f>
        <v>1</v>
      </c>
      <c r="E776" s="2575">
        <f>'Part VI-Revenues &amp; Expenses'!E19</f>
        <v>4</v>
      </c>
      <c r="F776" s="2575">
        <f>'Part VI-Revenues &amp; Expenses'!F19</f>
        <v>821</v>
      </c>
      <c r="G776" s="2575">
        <f>'Part VI-Revenues &amp; Expenses'!G19</f>
        <v>487</v>
      </c>
      <c r="H776" s="2575">
        <f>'Part VI-Revenues &amp; Expenses'!H19</f>
        <v>449</v>
      </c>
      <c r="I776" s="2575">
        <f>'Part VI-Revenues &amp; Expenses'!I19</f>
        <v>77</v>
      </c>
      <c r="J776" s="2576" t="str">
        <f>'Part VI-Revenues &amp; Expenses'!J19</f>
        <v>Other Govt</v>
      </c>
      <c r="K776" s="2577">
        <f t="shared" si="2"/>
        <v>372</v>
      </c>
      <c r="L776" s="2577">
        <f t="shared" si="3"/>
        <v>1488</v>
      </c>
      <c r="M776" s="2451" t="str">
        <f>'Part VI-Revenues &amp; Expenses'!M19</f>
        <v>No</v>
      </c>
      <c r="N776" s="2451" t="str">
        <f>'Part VI-Revenues &amp; Expenses'!N19</f>
        <v>2-Story Walkup</v>
      </c>
      <c r="O776" s="2451" t="str">
        <f>'Part VI-Revenues &amp; Expenses'!O19</f>
        <v>New Construction</v>
      </c>
      <c r="P776" s="2557" t="str">
        <f>'Part VI-Revenues &amp; Expenses'!P19</f>
        <v>No</v>
      </c>
      <c r="Q776" s="2578">
        <f>'Part VI-Revenues &amp; Expenses'!Q19</f>
        <v>17960</v>
      </c>
      <c r="R776" s="2579">
        <f>'Part VI-Revenues &amp; Expenses'!R19</f>
        <v>0.46140012845215156</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f t="shared" si="10"/>
        <v>4</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f t="shared" si="30"/>
        <v>4</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f t="shared" si="65"/>
        <v>3284</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f t="shared" si="80"/>
        <v>3284</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f t="shared" si="90"/>
        <v>4</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f t="shared" si="135"/>
        <v>4</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f t="shared" si="200"/>
        <v>4</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4</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50% AMI</v>
      </c>
      <c r="C777" s="2573">
        <f>'Part VI-Revenues &amp; Expenses'!C20</f>
        <v>2</v>
      </c>
      <c r="D777" s="2574">
        <f>'Part VI-Revenues &amp; Expenses'!D20</f>
        <v>2</v>
      </c>
      <c r="E777" s="2575">
        <f>'Part VI-Revenues &amp; Expenses'!E20</f>
        <v>2</v>
      </c>
      <c r="F777" s="2575">
        <f>'Part VI-Revenues &amp; Expenses'!F20</f>
        <v>1118</v>
      </c>
      <c r="G777" s="2575">
        <f>'Part VI-Revenues &amp; Expenses'!G20</f>
        <v>585</v>
      </c>
      <c r="H777" s="2575">
        <f>'Part VI-Revenues &amp; Expenses'!H20</f>
        <v>585</v>
      </c>
      <c r="I777" s="2575">
        <f>'Part VI-Revenues &amp; Expenses'!I20</f>
        <v>101</v>
      </c>
      <c r="J777" s="2576" t="str">
        <f>'Part VI-Revenues &amp; Expenses'!J20</f>
        <v>Other Govt</v>
      </c>
      <c r="K777" s="2577">
        <f t="shared" si="2"/>
        <v>484</v>
      </c>
      <c r="L777" s="2577">
        <f t="shared" si="3"/>
        <v>968</v>
      </c>
      <c r="M777" s="2451" t="str">
        <f>'Part VI-Revenues &amp; Expenses'!M20</f>
        <v>No</v>
      </c>
      <c r="N777" s="2451" t="str">
        <f>'Part VI-Revenues &amp; Expenses'!N20</f>
        <v>2-Story Walkup</v>
      </c>
      <c r="O777" s="2451" t="str">
        <f>'Part VI-Revenues &amp; Expenses'!O20</f>
        <v>New Construction</v>
      </c>
      <c r="P777" s="2557" t="str">
        <f>'Part VI-Revenues &amp; Expenses'!P20</f>
        <v>No</v>
      </c>
      <c r="Q777" s="2578">
        <f>'Part VI-Revenues &amp; Expenses'!Q20</f>
        <v>23400</v>
      </c>
      <c r="R777" s="2579">
        <f>'Part VI-Revenues &amp; Expenses'!R20</f>
        <v>0.50096339113680155</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f t="shared" si="11"/>
        <v>2</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f t="shared" si="31"/>
        <v>2</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f t="shared" si="66"/>
        <v>2236</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f t="shared" si="81"/>
        <v>2236</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f t="shared" si="91"/>
        <v>2</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f t="shared" si="136"/>
        <v>2</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f t="shared" si="201"/>
        <v>2</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2</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50% AMI</v>
      </c>
      <c r="C778" s="2573">
        <f>'Part VI-Revenues &amp; Expenses'!C21</f>
        <v>2</v>
      </c>
      <c r="D778" s="2574">
        <f>'Part VI-Revenues &amp; Expenses'!D21</f>
        <v>2</v>
      </c>
      <c r="E778" s="2575">
        <f>'Part VI-Revenues &amp; Expenses'!E21</f>
        <v>4</v>
      </c>
      <c r="F778" s="2575">
        <f>'Part VI-Revenues &amp; Expenses'!F21</f>
        <v>1054</v>
      </c>
      <c r="G778" s="2575">
        <f>'Part VI-Revenues &amp; Expenses'!G21</f>
        <v>585</v>
      </c>
      <c r="H778" s="2575">
        <f>'Part VI-Revenues &amp; Expenses'!H21</f>
        <v>585</v>
      </c>
      <c r="I778" s="2575">
        <f>'Part VI-Revenues &amp; Expenses'!I21</f>
        <v>101</v>
      </c>
      <c r="J778" s="2576" t="str">
        <f>'Part VI-Revenues &amp; Expenses'!J21</f>
        <v>Other Govt</v>
      </c>
      <c r="K778" s="2577">
        <f t="shared" si="2"/>
        <v>484</v>
      </c>
      <c r="L778" s="2577">
        <f t="shared" si="3"/>
        <v>1936</v>
      </c>
      <c r="M778" s="2451" t="str">
        <f>'Part VI-Revenues &amp; Expenses'!M21</f>
        <v>No</v>
      </c>
      <c r="N778" s="2451" t="str">
        <f>'Part VI-Revenues &amp; Expenses'!N21</f>
        <v>Duplex</v>
      </c>
      <c r="O778" s="2451" t="str">
        <f>'Part VI-Revenues &amp; Expenses'!O21</f>
        <v>New Construction</v>
      </c>
      <c r="P778" s="2557" t="str">
        <f>'Part VI-Revenues &amp; Expenses'!P21</f>
        <v>No</v>
      </c>
      <c r="Q778" s="2578">
        <f>'Part VI-Revenues &amp; Expenses'!Q21</f>
        <v>23400</v>
      </c>
      <c r="R778" s="2579">
        <f>'Part VI-Revenues &amp; Expenses'!R21</f>
        <v>0.50096339113680155</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f t="shared" si="11"/>
        <v>4</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f t="shared" si="31"/>
        <v>4</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f t="shared" si="66"/>
        <v>4216</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f t="shared" si="81"/>
        <v>4216</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f t="shared" si="91"/>
        <v>4</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f t="shared" si="161"/>
        <v>4</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4</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66</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78428</v>
      </c>
      <c r="G805" s="479"/>
      <c r="H805" s="479"/>
      <c r="I805" s="479"/>
      <c r="J805" s="479"/>
      <c r="K805" s="2584" t="s">
        <v>1314</v>
      </c>
      <c r="L805" s="2582">
        <f>SUM(L767:L804)</f>
        <v>33110</v>
      </c>
      <c r="M805" s="2355"/>
      <c r="N805" s="2355"/>
      <c r="O805" s="2355"/>
      <c r="P805" s="2355"/>
      <c r="Q805" s="2355"/>
      <c r="R805" s="2355"/>
      <c r="S805" s="2355"/>
      <c r="T805" s="2355"/>
      <c r="U805" s="2562"/>
      <c r="V805" s="2585"/>
      <c r="W805" s="2585">
        <f t="shared" ref="W805:CH805" si="259">SUM(W767:W804)</f>
        <v>0</v>
      </c>
      <c r="X805" s="2585">
        <f t="shared" si="259"/>
        <v>8</v>
      </c>
      <c r="Y805" s="2585">
        <f t="shared" si="259"/>
        <v>26</v>
      </c>
      <c r="Z805" s="2585">
        <f t="shared" si="259"/>
        <v>11</v>
      </c>
      <c r="AA805" s="2585">
        <f t="shared" si="259"/>
        <v>2</v>
      </c>
      <c r="AB805" s="2585">
        <f t="shared" si="259"/>
        <v>0</v>
      </c>
      <c r="AC805" s="2585">
        <f t="shared" si="259"/>
        <v>8</v>
      </c>
      <c r="AD805" s="2585">
        <f t="shared" si="259"/>
        <v>6</v>
      </c>
      <c r="AE805" s="2585">
        <f t="shared" si="259"/>
        <v>5</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8</v>
      </c>
      <c r="AX805" s="2585">
        <f t="shared" si="259"/>
        <v>6</v>
      </c>
      <c r="AY805" s="2585">
        <f t="shared" si="259"/>
        <v>5</v>
      </c>
      <c r="AZ805" s="2585">
        <f t="shared" si="259"/>
        <v>0</v>
      </c>
      <c r="BA805" s="2585">
        <f t="shared" si="259"/>
        <v>0</v>
      </c>
      <c r="BB805" s="2585">
        <f t="shared" si="259"/>
        <v>8</v>
      </c>
      <c r="BC805" s="2585">
        <f t="shared" si="259"/>
        <v>26</v>
      </c>
      <c r="BD805" s="2585">
        <f t="shared" si="259"/>
        <v>11</v>
      </c>
      <c r="BE805" s="2585">
        <f t="shared" si="259"/>
        <v>2</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6568</v>
      </c>
      <c r="CB805" s="2585">
        <f t="shared" si="259"/>
        <v>29068</v>
      </c>
      <c r="CC805" s="2585">
        <f t="shared" si="259"/>
        <v>17886</v>
      </c>
      <c r="CD805" s="2585">
        <f t="shared" si="259"/>
        <v>3756</v>
      </c>
      <c r="CE805" s="2585">
        <f t="shared" si="259"/>
        <v>0</v>
      </c>
      <c r="CF805" s="2585">
        <f t="shared" si="259"/>
        <v>6568</v>
      </c>
      <c r="CG805" s="2585">
        <f t="shared" si="259"/>
        <v>6452</v>
      </c>
      <c r="CH805" s="2585">
        <f t="shared" si="259"/>
        <v>8130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13136</v>
      </c>
      <c r="CV805" s="2585">
        <f t="shared" si="260"/>
        <v>35520</v>
      </c>
      <c r="CW805" s="2585">
        <f t="shared" si="260"/>
        <v>26016</v>
      </c>
      <c r="CX805" s="2585">
        <f t="shared" si="260"/>
        <v>3756</v>
      </c>
      <c r="CY805" s="2585">
        <f t="shared" si="260"/>
        <v>0</v>
      </c>
      <c r="CZ805" s="2585">
        <f t="shared" si="260"/>
        <v>0</v>
      </c>
      <c r="DA805" s="2585">
        <f t="shared" si="260"/>
        <v>0</v>
      </c>
      <c r="DB805" s="2585">
        <f t="shared" si="260"/>
        <v>0</v>
      </c>
      <c r="DC805" s="2585">
        <f t="shared" si="260"/>
        <v>0</v>
      </c>
      <c r="DD805" s="2585">
        <f t="shared" si="260"/>
        <v>0</v>
      </c>
      <c r="DE805" s="2585">
        <f t="shared" si="260"/>
        <v>16</v>
      </c>
      <c r="DF805" s="2585">
        <f t="shared" si="260"/>
        <v>32</v>
      </c>
      <c r="DG805" s="2585">
        <f t="shared" si="260"/>
        <v>16</v>
      </c>
      <c r="DH805" s="2585">
        <f t="shared" si="260"/>
        <v>2</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16</v>
      </c>
      <c r="EY805" s="2585">
        <f t="shared" si="261"/>
        <v>28</v>
      </c>
      <c r="EZ805" s="2585">
        <f t="shared" si="261"/>
        <v>0</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4</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16</v>
      </c>
      <c r="GJ805" s="2585">
        <f t="shared" si="261"/>
        <v>2</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16</v>
      </c>
      <c r="HL805" s="2585">
        <f t="shared" si="262"/>
        <v>28</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16</v>
      </c>
      <c r="JJ805" s="2585">
        <f t="shared" si="262"/>
        <v>28</v>
      </c>
      <c r="JK805" s="2585">
        <f t="shared" si="262"/>
        <v>16</v>
      </c>
      <c r="JL805" s="2585">
        <f t="shared" si="262"/>
        <v>2</v>
      </c>
      <c r="JM805" s="2585">
        <f t="shared" si="262"/>
        <v>0</v>
      </c>
      <c r="JN805" s="2585">
        <f t="shared" si="262"/>
        <v>0</v>
      </c>
      <c r="JO805" s="2585">
        <f t="shared" si="262"/>
        <v>4</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397320</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4803</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8</v>
      </c>
      <c r="L813" s="2591">
        <f>Y805</f>
        <v>26</v>
      </c>
      <c r="M813" s="2591">
        <f>Z805</f>
        <v>11</v>
      </c>
      <c r="N813" s="2591">
        <f>AA805</f>
        <v>2</v>
      </c>
      <c r="O813" s="2591">
        <f t="shared" ref="O813:O819" si="263">SUM(J813:N813)</f>
        <v>47</v>
      </c>
      <c r="P813" s="2518" t="s">
        <v>3693</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8</v>
      </c>
      <c r="L814" s="2591">
        <f>AD805</f>
        <v>6</v>
      </c>
      <c r="M814" s="2591">
        <f>AE805</f>
        <v>5</v>
      </c>
      <c r="N814" s="2591">
        <f>AF805</f>
        <v>0</v>
      </c>
      <c r="O814" s="2591">
        <f t="shared" si="263"/>
        <v>19</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16</v>
      </c>
      <c r="L815" s="2591">
        <f>SUM(L813:L814)</f>
        <v>32</v>
      </c>
      <c r="M815" s="2591">
        <f>SUM(M813:M814)</f>
        <v>16</v>
      </c>
      <c r="N815" s="2591">
        <f>SUM(N813:N814)</f>
        <v>2</v>
      </c>
      <c r="O815" s="2591">
        <f t="shared" si="263"/>
        <v>66</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16</v>
      </c>
      <c r="L817" s="2591">
        <f>SUM(L815:L816)</f>
        <v>32</v>
      </c>
      <c r="M817" s="2591">
        <f>SUM(M815:M816)</f>
        <v>16</v>
      </c>
      <c r="N817" s="2591">
        <f>SUM(N815:N816)</f>
        <v>2</v>
      </c>
      <c r="O817" s="2591">
        <f t="shared" si="263"/>
        <v>66</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3694</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16</v>
      </c>
      <c r="L819" s="2591">
        <f>SUM(L817:L818)</f>
        <v>32</v>
      </c>
      <c r="M819" s="2591">
        <f>SUM(M817:M818)</f>
        <v>16</v>
      </c>
      <c r="N819" s="2591">
        <f>SUM(N817:N818)</f>
        <v>2</v>
      </c>
      <c r="O819" s="2591">
        <f t="shared" si="263"/>
        <v>66</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8</v>
      </c>
      <c r="L821" s="2591">
        <f>BC805</f>
        <v>26</v>
      </c>
      <c r="M821" s="2591">
        <f>BD805</f>
        <v>11</v>
      </c>
      <c r="N821" s="2591">
        <f>BE805</f>
        <v>2</v>
      </c>
      <c r="O821" s="2591">
        <f>SUM(J821:N821)</f>
        <v>47</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8</v>
      </c>
      <c r="L822" s="2591">
        <f>AX805</f>
        <v>6</v>
      </c>
      <c r="M822" s="2591">
        <f>AY805</f>
        <v>5</v>
      </c>
      <c r="N822" s="2591">
        <f>AZ805</f>
        <v>0</v>
      </c>
      <c r="O822" s="2591">
        <f>SUM(J822:N822)</f>
        <v>19</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16</v>
      </c>
      <c r="L823" s="2591">
        <f>SUM(L821:L822)</f>
        <v>32</v>
      </c>
      <c r="M823" s="2591">
        <f>SUM(M821:M822)</f>
        <v>16</v>
      </c>
      <c r="N823" s="2591">
        <f>SUM(N821:N822)</f>
        <v>2</v>
      </c>
      <c r="O823" s="2591">
        <f>SUM(J823:N823)</f>
        <v>66</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16</v>
      </c>
      <c r="L829" s="2591">
        <f>DF805</f>
        <v>32</v>
      </c>
      <c r="M829" s="2591">
        <f>DG805</f>
        <v>16</v>
      </c>
      <c r="N829" s="2591">
        <f>DH805</f>
        <v>2</v>
      </c>
      <c r="O829" s="2591">
        <f t="shared" ref="O829:O839" si="264">SUM(J829:N829)</f>
        <v>66</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16</v>
      </c>
      <c r="L831" s="2591">
        <f>SUM(L829:L830)+DP805</f>
        <v>32</v>
      </c>
      <c r="M831" s="2591">
        <f>SUM(M829:M830)+DQ805</f>
        <v>16</v>
      </c>
      <c r="N831" s="2591">
        <f>SUM(N829:N830)+DR805</f>
        <v>2</v>
      </c>
      <c r="O831" s="2591">
        <f t="shared" si="264"/>
        <v>66</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4546</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3377</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4804</v>
      </c>
      <c r="D843" s="2501"/>
      <c r="E843" s="2556" t="s">
        <v>40</v>
      </c>
      <c r="F843" s="2355"/>
      <c r="G843" s="2357"/>
      <c r="J843" s="2591">
        <f t="shared" ref="J843:O843" si="265">SUM(J844:J851)</f>
        <v>0</v>
      </c>
      <c r="K843" s="2591">
        <f t="shared" si="265"/>
        <v>16</v>
      </c>
      <c r="L843" s="2591">
        <f t="shared" si="265"/>
        <v>28</v>
      </c>
      <c r="M843" s="2591">
        <f t="shared" si="265"/>
        <v>0</v>
      </c>
      <c r="N843" s="2591">
        <f t="shared" si="265"/>
        <v>0</v>
      </c>
      <c r="O843" s="2591">
        <f t="shared" si="265"/>
        <v>44</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3377</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3377</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16</v>
      </c>
      <c r="L848" s="2591">
        <f>HL805</f>
        <v>28</v>
      </c>
      <c r="M848" s="2591">
        <f>HM805</f>
        <v>0</v>
      </c>
      <c r="N848" s="2591">
        <f>HN805</f>
        <v>0</v>
      </c>
      <c r="O848" s="2591">
        <f t="shared" si="266"/>
        <v>44</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3377</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3377</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3377</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16</v>
      </c>
      <c r="N854" s="2591">
        <f>GJ805</f>
        <v>2</v>
      </c>
      <c r="O854" s="2591">
        <f t="shared" si="266"/>
        <v>18</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3377</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4</v>
      </c>
      <c r="M856" s="2591">
        <f>FY805</f>
        <v>0</v>
      </c>
      <c r="N856" s="2591">
        <f>FZ805</f>
        <v>0</v>
      </c>
      <c r="O856" s="2591">
        <f t="shared" si="266"/>
        <v>4</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3377</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3377</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4805</v>
      </c>
      <c r="D861" s="2501"/>
      <c r="E861" s="2556" t="s">
        <v>3372</v>
      </c>
      <c r="F861" s="2357"/>
      <c r="H861" s="2598"/>
      <c r="J861" s="2591">
        <f t="shared" ref="J861:N862" si="267">J852+J856+J858</f>
        <v>0</v>
      </c>
      <c r="K861" s="2591">
        <f t="shared" si="267"/>
        <v>0</v>
      </c>
      <c r="L861" s="2591">
        <f t="shared" si="267"/>
        <v>4</v>
      </c>
      <c r="M861" s="2591">
        <f t="shared" si="267"/>
        <v>0</v>
      </c>
      <c r="N861" s="2591">
        <f t="shared" si="267"/>
        <v>0</v>
      </c>
      <c r="O861" s="2591">
        <f t="shared" ref="O861:O868" si="268">SUM(J861:N861)</f>
        <v>4</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3377</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3373</v>
      </c>
      <c r="F863" s="2357"/>
      <c r="H863" s="2357"/>
      <c r="J863" s="2591">
        <f>J844+J854</f>
        <v>0</v>
      </c>
      <c r="K863" s="2591">
        <f t="shared" ref="K863:N864" si="269">K844+K854</f>
        <v>0</v>
      </c>
      <c r="L863" s="2591">
        <f t="shared" si="269"/>
        <v>0</v>
      </c>
      <c r="M863" s="2591">
        <f t="shared" si="269"/>
        <v>16</v>
      </c>
      <c r="N863" s="2591">
        <f t="shared" si="269"/>
        <v>2</v>
      </c>
      <c r="O863" s="2591">
        <f t="shared" si="268"/>
        <v>18</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3377</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3374</v>
      </c>
      <c r="F865" s="2357"/>
      <c r="H865" s="2598"/>
      <c r="J865" s="2591">
        <f>J848</f>
        <v>0</v>
      </c>
      <c r="K865" s="2591">
        <f t="shared" ref="K865:N866" si="270">K848</f>
        <v>16</v>
      </c>
      <c r="L865" s="2591">
        <f t="shared" si="270"/>
        <v>28</v>
      </c>
      <c r="M865" s="2591">
        <f t="shared" si="270"/>
        <v>0</v>
      </c>
      <c r="N865" s="2591">
        <f t="shared" si="270"/>
        <v>0</v>
      </c>
      <c r="O865" s="2591">
        <f t="shared" si="268"/>
        <v>44</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3377</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3375</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3377</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6568</v>
      </c>
      <c r="L870" s="2604">
        <f>CB805</f>
        <v>29068</v>
      </c>
      <c r="M870" s="2604">
        <f>CC805</f>
        <v>17886</v>
      </c>
      <c r="N870" s="2604">
        <f>CD805</f>
        <v>3756</v>
      </c>
      <c r="O870" s="2604">
        <f t="shared" ref="O870:O876" si="272">SUM(J870:N870)</f>
        <v>57278</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6568</v>
      </c>
      <c r="L871" s="2604">
        <f>CG805</f>
        <v>6452</v>
      </c>
      <c r="M871" s="2604">
        <f>CH805</f>
        <v>8130</v>
      </c>
      <c r="N871" s="2604">
        <f>CI805</f>
        <v>0</v>
      </c>
      <c r="O871" s="2604">
        <f t="shared" si="272"/>
        <v>21150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13136</v>
      </c>
      <c r="L872" s="2604">
        <f>SUM(L870:L871)</f>
        <v>35520</v>
      </c>
      <c r="M872" s="2604">
        <f>SUM(M870:M871)</f>
        <v>26016</v>
      </c>
      <c r="N872" s="2604">
        <f>SUM(N870:N871)</f>
        <v>3756</v>
      </c>
      <c r="O872" s="2604">
        <f t="shared" si="272"/>
        <v>78428</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13136</v>
      </c>
      <c r="L874" s="2604">
        <f>SUM(L872:L873)</f>
        <v>35520</v>
      </c>
      <c r="M874" s="2604">
        <f>SUM(M872:M873)</f>
        <v>26016</v>
      </c>
      <c r="N874" s="2604">
        <f>SUM(N872:N873)</f>
        <v>3756</v>
      </c>
      <c r="O874" s="2604">
        <f t="shared" si="272"/>
        <v>78428</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13136</v>
      </c>
      <c r="L876" s="2604">
        <f>SUM(L874:L875)</f>
        <v>35520</v>
      </c>
      <c r="M876" s="2604">
        <f>SUM(M874:M875)</f>
        <v>26016</v>
      </c>
      <c r="N876" s="2604">
        <f>SUM(N874:N875)</f>
        <v>3756</v>
      </c>
      <c r="O876" s="2604">
        <f t="shared" si="272"/>
        <v>78428</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4.1" customHeight="1">
      <c r="A877" s="2547" t="s">
        <v>750</v>
      </c>
      <c r="B877" s="2547" t="s">
        <v>4806</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7946.4000000000005</v>
      </c>
      <c r="I879" s="2606">
        <f>'Part VI-Revenues &amp; Expenses'!I122</f>
        <v>0</v>
      </c>
      <c r="J879" s="1330"/>
      <c r="K879" s="2607" t="s">
        <v>4807</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4808</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4809</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4808</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4809</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4808</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4809</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4808</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4809</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3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52490</v>
      </c>
      <c r="G921" s="2604">
        <f>'Part VI-Revenues &amp; Expenses'!G164</f>
        <v>0</v>
      </c>
      <c r="I921" s="2355" t="s">
        <v>1390</v>
      </c>
      <c r="K921" s="2604">
        <f>'Part VI-Revenues &amp; Expenses'!K164</f>
        <v>0</v>
      </c>
      <c r="L921" s="2604">
        <f>'Part VI-Revenues &amp; Expenses'!L164</f>
        <v>0</v>
      </c>
      <c r="N921" s="2355" t="s">
        <v>938</v>
      </c>
      <c r="P921" s="2615">
        <f>'Part VI-Revenues &amp; Expenses'!P164</f>
        <v>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32947</v>
      </c>
      <c r="G922" s="2604">
        <f>'Part VI-Revenues &amp; Expenses'!G165</f>
        <v>0</v>
      </c>
      <c r="I922" s="2355" t="s">
        <v>1391</v>
      </c>
      <c r="K922" s="2604">
        <f>'Part VI-Revenues &amp; Expenses'!K165</f>
        <v>0</v>
      </c>
      <c r="L922" s="2604">
        <f>'Part VI-Revenues &amp; Expenses'!L165</f>
        <v>0</v>
      </c>
      <c r="N922" s="2355" t="s">
        <v>148</v>
      </c>
      <c r="P922" s="2615">
        <f>'Part VI-Revenues &amp; Expenses'!P165</f>
        <v>15900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7615</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Copier, Cell Phone &amp; Social Events</v>
      </c>
      <c r="C924" s="478">
        <f>'Part VI-Revenues &amp; Expenses'!C167</f>
        <v>0</v>
      </c>
      <c r="D924" s="478">
        <f>'Part VI-Revenues &amp; Expenses'!D167</f>
        <v>0</v>
      </c>
      <c r="E924" s="478">
        <f>'Part VI-Revenues &amp; Expenses'!E167</f>
        <v>0</v>
      </c>
      <c r="F924" s="2604">
        <f>'Part VI-Revenues &amp; Expenses'!F167</f>
        <v>3234</v>
      </c>
      <c r="G924" s="2604">
        <f>'Part VI-Revenues &amp; Expenses'!G167</f>
        <v>0</v>
      </c>
      <c r="N924" s="2621" t="s">
        <v>193</v>
      </c>
      <c r="P924" s="2615">
        <f>SUM(P921:P923)</f>
        <v>15900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96286</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35" customHeight="1">
      <c r="B927" s="2544" t="s">
        <v>1303</v>
      </c>
      <c r="D927" s="2623"/>
      <c r="I927" s="2544" t="s">
        <v>1304</v>
      </c>
      <c r="N927" s="2544" t="s">
        <v>1392</v>
      </c>
      <c r="P927" s="2624">
        <f>IF(OR('Part VII-Pro Forma'!$B$20 = "Choose Mgt Fee",'Part VII-Pro Forma'!$B$20 = "Choose One!"), 0,- 'Part VII-Pro Forma'!$B$20)</f>
        <v>24240</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5000</v>
      </c>
      <c r="G928" s="2604">
        <f>'Part VI-Revenues &amp; Expenses'!G171</f>
        <v>0</v>
      </c>
      <c r="I928" s="2355" t="s">
        <v>1614</v>
      </c>
      <c r="K928" s="2615">
        <f>'Part VI-Revenues &amp; Expenses'!K171</f>
        <v>1250</v>
      </c>
      <c r="L928" s="2615">
        <f>'Part VI-Revenues &amp; Expenses'!L171</f>
        <v>0</v>
      </c>
      <c r="N928" s="2625">
        <f>+P927/(O819*0.93)</f>
        <v>394.91691104594327</v>
      </c>
      <c r="O928" s="2626" t="s">
        <v>2773</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6400</v>
      </c>
      <c r="G929" s="2604">
        <f>'Part VI-Revenues &amp; Expenses'!G172</f>
        <v>0</v>
      </c>
      <c r="I929" s="2355" t="s">
        <v>2065</v>
      </c>
      <c r="K929" s="2615">
        <f>'Part VI-Revenues &amp; Expenses'!K172</f>
        <v>9000</v>
      </c>
      <c r="L929" s="2615">
        <f>'Part VI-Revenues &amp; Expenses'!L172</f>
        <v>0</v>
      </c>
      <c r="N929" s="2625">
        <f>+P927/(O819*0.93)/12</f>
        <v>32.909742587161936</v>
      </c>
      <c r="O929" s="2626" t="s">
        <v>2774</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1500</v>
      </c>
      <c r="G930" s="2604">
        <f>'Part VI-Revenues &amp; Expenses'!G173</f>
        <v>0</v>
      </c>
      <c r="I930" s="2355" t="s">
        <v>1615</v>
      </c>
      <c r="K930" s="2615">
        <f>'Part VI-Revenues &amp; Expenses'!K173</f>
        <v>1700</v>
      </c>
      <c r="L930" s="2615">
        <f>'Part VI-Revenues &amp; Expenses'!L173</f>
        <v>0</v>
      </c>
      <c r="N930" s="478" t="s">
        <v>3755</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5966</v>
      </c>
      <c r="G931" s="2604">
        <f>'Part VI-Revenues &amp; Expenses'!G174</f>
        <v>0</v>
      </c>
      <c r="I931" s="2622" t="str">
        <f>'Part VI-Revenues &amp; Expenses'!I174</f>
        <v>App Screening and Compliance</v>
      </c>
      <c r="J931" s="2622">
        <f>'Part VI-Revenues &amp; Expenses'!J174</f>
        <v>0</v>
      </c>
      <c r="K931" s="2615">
        <f>'Part VI-Revenues &amp; Expenses'!K174</f>
        <v>4200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1650</v>
      </c>
      <c r="G932" s="2604">
        <f>'Part VI-Revenues &amp; Expenses'!G175</f>
        <v>0</v>
      </c>
      <c r="I932" s="2544"/>
      <c r="J932" s="2621" t="s">
        <v>193</v>
      </c>
      <c r="K932" s="2615">
        <f>SUM(K928:K931)</f>
        <v>16150</v>
      </c>
      <c r="L932" s="2615"/>
      <c r="M932" s="2628" t="str">
        <f>IF(P934="","",IF(P932&lt;P934, "WARNING! OE below required minimum.",""))</f>
        <v/>
      </c>
      <c r="N932" s="2544" t="s">
        <v>2202</v>
      </c>
      <c r="P932" s="2615">
        <f>F925+F934+F945+K923+K932+K942+P924+P927</f>
        <v>278811</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Payroll tax $13,564 Bank charges $1265</v>
      </c>
      <c r="C933" s="478">
        <f>'Part VI-Revenues &amp; Expenses'!C176</f>
        <v>0</v>
      </c>
      <c r="D933" s="478">
        <f>'Part VI-Revenues &amp; Expenses'!D176</f>
        <v>0</v>
      </c>
      <c r="E933" s="478">
        <f>'Part VI-Revenues &amp; Expenses'!E176</f>
        <v>0</v>
      </c>
      <c r="F933" s="2604">
        <f>'Part VI-Revenues &amp; Expenses'!F176</f>
        <v>14829</v>
      </c>
      <c r="G933" s="2604">
        <f>'Part VI-Revenues &amp; Expenses'!G176</f>
        <v>0</v>
      </c>
      <c r="J933" s="2591"/>
      <c r="M933" s="2628"/>
      <c r="N933" s="2626" t="s">
        <v>2775</v>
      </c>
      <c r="O933" s="2625">
        <f>+P932/O819</f>
        <v>4224.409090909091</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35345</v>
      </c>
      <c r="G934" s="2604"/>
      <c r="J934" s="2591"/>
      <c r="M934" s="2628"/>
      <c r="O934" s="2626" t="s">
        <v>3756</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2772</v>
      </c>
      <c r="N936" s="2544" t="s">
        <v>3503</v>
      </c>
      <c r="O936" s="2544"/>
      <c r="P936" s="2629">
        <f>'Part VI-Revenues &amp; Expenses'!P179</f>
        <v>17180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5139</v>
      </c>
      <c r="G937" s="2604">
        <f>'Part VI-Revenues &amp; Expenses'!G180</f>
        <v>0</v>
      </c>
      <c r="I937" s="2355" t="s">
        <v>1380</v>
      </c>
      <c r="J937" s="2417">
        <f>K937/12/O819</f>
        <v>15.416666666666666</v>
      </c>
      <c r="K937" s="2615">
        <f>'Part VI-Revenues &amp; Expenses'!K180</f>
        <v>12210</v>
      </c>
      <c r="L937" s="2615">
        <f>'Part VI-Revenues &amp; Expenses'!L180</f>
        <v>0</v>
      </c>
      <c r="M937" s="2628" t="str">
        <f>IF(P936&lt;P945, "WARNING! RR proposed is below the DCA required minimum.","")</f>
        <v/>
      </c>
      <c r="N937" s="478" t="s">
        <v>3764</v>
      </c>
      <c r="P937" s="2630">
        <f>P936/O945</f>
        <v>260.30303030303031</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2500</v>
      </c>
      <c r="G938" s="2604">
        <f>'Part VI-Revenues &amp; Expenses'!G181</f>
        <v>0</v>
      </c>
      <c r="I938" s="2355" t="s">
        <v>1381</v>
      </c>
      <c r="J938" s="2417">
        <f>K938/12/O819</f>
        <v>0</v>
      </c>
      <c r="K938" s="2615">
        <f>'Part VI-Revenues &amp; Expenses'!K181</f>
        <v>0</v>
      </c>
      <c r="L938" s="2615">
        <f>'Part VI-Revenues &amp; Expenses'!L181</f>
        <v>0</v>
      </c>
      <c r="M938" s="2628"/>
      <c r="N938" s="2631" t="s">
        <v>3763</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12000</v>
      </c>
      <c r="G939" s="2604">
        <f>'Part VI-Revenues &amp; Expenses'!G182</f>
        <v>0</v>
      </c>
      <c r="I939" s="2355" t="s">
        <v>2368</v>
      </c>
      <c r="J939" s="2417">
        <f>K939/12/O819</f>
        <v>40.404040404040401</v>
      </c>
      <c r="K939" s="2615">
        <f>'Part VI-Revenues &amp; Expenses'!K182</f>
        <v>32000</v>
      </c>
      <c r="L939" s="2615">
        <f>'Part VI-Revenues &amp; Expenses'!L182</f>
        <v>0</v>
      </c>
      <c r="M939" s="2628"/>
      <c r="N939" s="2632" t="s">
        <v>2732</v>
      </c>
      <c r="O939" s="2633" t="s">
        <v>3877</v>
      </c>
      <c r="P939" s="2633" t="s">
        <v>3458</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3295</v>
      </c>
      <c r="G940" s="2604">
        <f>'Part VI-Revenues &amp; Expenses'!G183</f>
        <v>0</v>
      </c>
      <c r="I940" s="2355" t="s">
        <v>1383</v>
      </c>
      <c r="K940" s="2615">
        <f>'Part VI-Revenues &amp; Expenses'!K183</f>
        <v>3616</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3630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3450</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47826</v>
      </c>
      <c r="L942" s="2615"/>
      <c r="M942" s="2628"/>
      <c r="N942" s="2357" t="s">
        <v>3449</v>
      </c>
      <c r="O942" s="2635" t="str">
        <f>CONCATENATE(SUM(JH805:JL805)," units x $",'DCA Underwriting Assumptions'!$Q$66," =")</f>
        <v>62 units x $250 =</v>
      </c>
      <c r="P942" s="2635">
        <f>SUM(JH805:JL805)*'DCA Underwriting Assumptions'!$Q$66</f>
        <v>15500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11500</v>
      </c>
      <c r="G943" s="2604">
        <f>'Part VI-Revenues &amp; Expenses'!G186</f>
        <v>0</v>
      </c>
      <c r="J943" s="2591"/>
      <c r="M943" s="2628"/>
      <c r="N943" s="2474" t="s">
        <v>3453</v>
      </c>
      <c r="O943" s="2635" t="str">
        <f>CONCATENATE(SUM(JM805:JQ805)," units x $",'DCA Underwriting Assumptions'!$Q$67," =")</f>
        <v>4 units x $420 =</v>
      </c>
      <c r="P943" s="2635">
        <f>SUM(JM805:JQ805)*'DCA Underwriting Assumptions'!$Q$67</f>
        <v>1680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Pool Supplies and Maintenance</v>
      </c>
      <c r="C944" s="478">
        <f>'Part VI-Revenues &amp; Expenses'!C187</f>
        <v>0</v>
      </c>
      <c r="D944" s="478">
        <f>'Part VI-Revenues &amp; Expenses'!D187</f>
        <v>0</v>
      </c>
      <c r="E944" s="478">
        <f>'Part VI-Revenues &amp; Expenses'!E187</f>
        <v>0</v>
      </c>
      <c r="F944" s="2604">
        <f>'Part VI-Revenues &amp; Expenses'!F187</f>
        <v>5000</v>
      </c>
      <c r="G944" s="2604">
        <f>'Part VI-Revenues &amp; Expenses'!G187</f>
        <v>0</v>
      </c>
      <c r="J944" s="2591"/>
      <c r="N944" s="2474" t="s">
        <v>3448</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43064</v>
      </c>
      <c r="G945" s="2604"/>
      <c r="J945" s="2591"/>
      <c r="N945" s="2584" t="s">
        <v>2735</v>
      </c>
      <c r="O945" s="2578">
        <f>SUM(JC805:JG805)+SUM(JH805:JL805)+SUM(JM805:JQ805)+O841</f>
        <v>66</v>
      </c>
      <c r="P945" s="2636">
        <f>SUM(P941:P944)</f>
        <v>17180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295991</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4154</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 xml:space="preserve">NWGHA has been awarded a CHAP which is being transferred from approved PIC Willingham Viallge of 76 units. 66 units will be used for Altoview Terrace project.
Operating expenses are based on NWGHA's vast experience owning and operating multi-family properties in and around Rome, GA. and Insurance expense is from an actual quote from C.J. Thomas Insurance.
We have set aside 15% (10) of the units for Integrated Supportive Housing Targeted Population Preference units. Eventhough there is RAD on all units, NWGHA is commiting project based vouchers for minimum of 10 years, to cover the residents portion of the rent. The rent rate will be the same and these units are included in the breakdown of rents above.  
									</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4153</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2018-045 Altoview Terrace,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4810</v>
      </c>
    </row>
    <row r="961" spans="1:19" ht="12.75" customHeight="1">
      <c r="A961" s="683" t="s">
        <v>2204</v>
      </c>
      <c r="B961" s="2637">
        <v>0.02</v>
      </c>
      <c r="D961" s="2501" t="s">
        <v>4811</v>
      </c>
      <c r="E961" s="2501"/>
      <c r="F961" s="2501"/>
      <c r="G961" s="2638">
        <f>'Part VII-Pro Forma'!G5</f>
        <v>5000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t="str">
        <f>'Part VII-Pro Forma'!G8</f>
        <v>Yes</v>
      </c>
      <c r="H964" s="2643" t="s">
        <v>1456</v>
      </c>
      <c r="K964" s="2644">
        <f>'Part VII-Pro Forma'!K8</f>
        <v>24240</v>
      </c>
    </row>
    <row r="965" spans="1:19">
      <c r="A965" s="683" t="s">
        <v>1430</v>
      </c>
      <c r="B965" s="2637">
        <v>0.02</v>
      </c>
      <c r="D965" s="2355" t="s">
        <v>1731</v>
      </c>
      <c r="G965" s="2642" t="str">
        <f>'Part VII-Pro Forma'!G9</f>
        <v>No</v>
      </c>
      <c r="H965" s="2643" t="s">
        <v>2372</v>
      </c>
      <c r="K965" s="2645">
        <f>'Part VII-Pro Forma'!K9</f>
        <v>0</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397320</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4239</v>
      </c>
    </row>
    <row r="971" spans="1:19">
      <c r="A971" s="683" t="s">
        <v>1026</v>
      </c>
      <c r="B971" s="2646">
        <f>MIN(B970*B965,'Part VI-Revenues &amp; Expenses'!$H$122)</f>
        <v>7946.4000000000005</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3912</v>
      </c>
      <c r="R972" s="683" t="s">
        <v>4238</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-254571</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75907</v>
      </c>
      <c r="S975" s="683">
        <v>75906.752000000037</v>
      </c>
    </row>
    <row r="976" spans="1:19">
      <c r="A976" s="683" t="s">
        <v>1125</v>
      </c>
      <c r="B976" s="2646">
        <f>IF(AND('Part VII-Pro Forma'!$G$8="Yes",'Part VII-Pro Forma'!$G$9="Yes"),"Choose One!",IF('Part VII-Pro Forma'!$G$8="Yes",ROUND((-$K$8*(1+'Part VII-Pro Forma'!$B$6)^('Part VII-Pro Forma'!B969-1)),),IF('Part VII-Pro Forma'!$G$9="Yes",ROUND((-(SUM(B970:B973)*'Part VII-Pro Forma'!$K$9)),),"Choose mgt fee")))</f>
        <v>0</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150322</v>
      </c>
      <c r="S976" s="683">
        <v>150321.92904000005</v>
      </c>
    </row>
    <row r="977" spans="1:19">
      <c r="A977" s="683" t="s">
        <v>1214</v>
      </c>
      <c r="B977" s="2646">
        <f>-('Part VI-Revenues &amp; Expenses'!$P$179)</f>
        <v>-17180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182040</v>
      </c>
      <c r="S977" s="683">
        <v>223125.21432080003</v>
      </c>
    </row>
    <row r="978" spans="1:19">
      <c r="A978" s="683" t="s">
        <v>1215</v>
      </c>
      <c r="B978" s="2646">
        <f t="shared" ref="B978:K978" si="285">SUM(B970:B977)</f>
        <v>133515.40000000002</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182040</v>
      </c>
      <c r="S978" s="683">
        <v>294190.83394821599</v>
      </c>
    </row>
    <row r="979" spans="1:19">
      <c r="A979" s="683" t="s">
        <v>1603</v>
      </c>
      <c r="B979" s="2646">
        <f>'Part VII-Pro Forma'!B23</f>
        <v>0</v>
      </c>
      <c r="C979" s="2646">
        <f>'Part VII-Pro Forma'!C23</f>
        <v>0</v>
      </c>
      <c r="D979" s="2646">
        <f>'Part VII-Pro Forma'!D23</f>
        <v>0</v>
      </c>
      <c r="E979" s="2646">
        <f>'Part VII-Pro Forma'!E23</f>
        <v>0</v>
      </c>
      <c r="F979" s="2646">
        <f>'Part VII-Pro Forma'!F23</f>
        <v>0</v>
      </c>
      <c r="G979" s="2646">
        <f>'Part VII-Pro Forma'!G23</f>
        <v>0</v>
      </c>
      <c r="H979" s="2646">
        <f>'Part VII-Pro Forma'!H23</f>
        <v>0</v>
      </c>
      <c r="I979" s="2646">
        <f>'Part VII-Pro Forma'!I23</f>
        <v>0</v>
      </c>
      <c r="J979" s="2646">
        <f>'Part VII-Pro Forma'!J23</f>
        <v>0</v>
      </c>
      <c r="K979" s="2646">
        <f>'Part VII-Pro Forma'!K23</f>
        <v>0</v>
      </c>
      <c r="Q979" s="683">
        <v>5</v>
      </c>
      <c r="R979" s="683">
        <v>182040</v>
      </c>
      <c r="S979" s="683">
        <v>363389.3930684104</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182040</v>
      </c>
      <c r="S980" s="683">
        <v>430583.70648424554</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182040</v>
      </c>
      <c r="S981" s="683">
        <v>495632.62357503141</v>
      </c>
    </row>
    <row r="982" spans="1:19">
      <c r="A982" s="683" t="s">
        <v>3880</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182040</v>
      </c>
      <c r="S982" s="683">
        <v>558388.84733646584</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182040</v>
      </c>
      <c r="S983" s="683">
        <v>618697.7473518271</v>
      </c>
    </row>
    <row r="984" spans="1:19">
      <c r="A984" s="683" t="s">
        <v>1174</v>
      </c>
      <c r="B984" s="2646">
        <f>'Part VII-Pro Forma'!B28</f>
        <v>-5000</v>
      </c>
      <c r="C984" s="2646">
        <f>'Part VII-Pro Forma'!C28</f>
        <v>-5150</v>
      </c>
      <c r="D984" s="2646">
        <f>'Part VII-Pro Forma'!D28</f>
        <v>-5304.5</v>
      </c>
      <c r="E984" s="2646">
        <f>'Part VII-Pro Forma'!E28</f>
        <v>-5463.6350000000002</v>
      </c>
      <c r="F984" s="2646">
        <f>'Part VII-Pro Forma'!F28</f>
        <v>-5627.5440500000004</v>
      </c>
      <c r="G984" s="2646">
        <f>'Part VII-Pro Forma'!G28</f>
        <v>-5796.3703715000001</v>
      </c>
      <c r="H984" s="2646">
        <f>'Part VII-Pro Forma'!H28</f>
        <v>-5970.2614826449999</v>
      </c>
      <c r="I984" s="2646">
        <f>'Part VII-Pro Forma'!I28</f>
        <v>-6149.3693271243501</v>
      </c>
      <c r="J984" s="2646">
        <f>'Part VII-Pro Forma'!J28</f>
        <v>-6333.8504069380806</v>
      </c>
      <c r="K984" s="2646">
        <f>'Part VII-Pro Forma'!K28</f>
        <v>-6523.865919146223</v>
      </c>
      <c r="Q984" s="683">
        <v>10</v>
      </c>
      <c r="R984" s="683">
        <v>182040</v>
      </c>
      <c r="S984" s="683">
        <v>676400.16649955453</v>
      </c>
    </row>
    <row r="985" spans="1:19">
      <c r="A985" s="683" t="s">
        <v>4127</v>
      </c>
      <c r="B985" s="2646">
        <f>'Part VII-Pro Forma'!B29</f>
        <v>-75907</v>
      </c>
      <c r="C985" s="2646">
        <f>'Part VII-Pro Forma'!C29</f>
        <v>-74415</v>
      </c>
      <c r="D985" s="2646">
        <f>'Part VII-Pro Forma'!D29</f>
        <v>-31718</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182040</v>
      </c>
      <c r="S985" s="683">
        <v>731329.22119625728</v>
      </c>
    </row>
    <row r="986" spans="1:19">
      <c r="A986" s="683" t="s">
        <v>1175</v>
      </c>
      <c r="B986" s="2646">
        <f>SUM(B978:B985)</f>
        <v>52608.400000000023</v>
      </c>
      <c r="C986" s="2646">
        <f t="shared" ref="C986:K986" si="286">SUM(C978:C985)</f>
        <v>-79565</v>
      </c>
      <c r="D986" s="2646">
        <f t="shared" si="286"/>
        <v>-37022.5</v>
      </c>
      <c r="E986" s="2646">
        <f t="shared" si="286"/>
        <v>-5463.6350000000002</v>
      </c>
      <c r="F986" s="2646">
        <f t="shared" si="286"/>
        <v>-5627.5440500000004</v>
      </c>
      <c r="G986" s="2646">
        <f t="shared" si="286"/>
        <v>-5796.3703715000001</v>
      </c>
      <c r="H986" s="2646">
        <f t="shared" si="286"/>
        <v>-5970.2614826449999</v>
      </c>
      <c r="I986" s="2646">
        <f t="shared" si="286"/>
        <v>-6149.3693271243501</v>
      </c>
      <c r="J986" s="2646">
        <f t="shared" si="286"/>
        <v>-6333.8504069380806</v>
      </c>
      <c r="K986" s="2646">
        <f t="shared" si="286"/>
        <v>-6523.865919146223</v>
      </c>
      <c r="Q986" s="683">
        <v>12</v>
      </c>
      <c r="R986" s="683">
        <v>182040</v>
      </c>
      <c r="S986" s="683">
        <v>783312.0949678953</v>
      </c>
    </row>
    <row r="987" spans="1:19">
      <c r="A987" s="683" t="str">
        <f>IF('Part III-Sources of Funds'!$E$37 = "Neither", "", "DCR Mortgage A")</f>
        <v>DCR Mortgage A</v>
      </c>
      <c r="B987" s="2647" t="str">
        <f t="shared" ref="B987:K987" si="287">IF(B979=0,"",-B978/B979)</f>
        <v/>
      </c>
      <c r="C987" s="2647" t="str">
        <f t="shared" si="287"/>
        <v/>
      </c>
      <c r="D987" s="2647" t="str">
        <f t="shared" si="287"/>
        <v/>
      </c>
      <c r="E987" s="2647" t="str">
        <f t="shared" si="287"/>
        <v/>
      </c>
      <c r="F987" s="2647" t="str">
        <f t="shared" si="287"/>
        <v/>
      </c>
      <c r="G987" s="2647" t="str">
        <f t="shared" si="287"/>
        <v/>
      </c>
      <c r="H987" s="2647" t="str">
        <f t="shared" si="287"/>
        <v/>
      </c>
      <c r="I987" s="2647" t="str">
        <f t="shared" si="287"/>
        <v/>
      </c>
      <c r="J987" s="2647" t="str">
        <f t="shared" si="287"/>
        <v/>
      </c>
      <c r="K987" s="2647" t="str">
        <f t="shared" si="287"/>
        <v/>
      </c>
      <c r="Q987" s="683">
        <v>13</v>
      </c>
      <c r="R987" s="683">
        <v>182040</v>
      </c>
      <c r="S987" s="683">
        <v>832168.82513539772</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182040</v>
      </c>
      <c r="S988" s="683">
        <v>877711.08239429444</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182040</v>
      </c>
      <c r="S989" s="683">
        <v>919743.94306105492</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182040</v>
      </c>
      <c r="S990" s="683">
        <v>958291.54221044481</v>
      </c>
    </row>
    <row r="991" spans="1:19">
      <c r="A991" s="683" t="s">
        <v>3738</v>
      </c>
      <c r="B991" s="2647" t="str">
        <f t="shared" ref="B991:K991" si="291">IF(AND(B979=0,B980=0,B981=0,B982=0),"",-B978/(B979+B980+B981+B982))</f>
        <v/>
      </c>
      <c r="C991" s="2647" t="str">
        <f t="shared" si="291"/>
        <v/>
      </c>
      <c r="D991" s="2647" t="str">
        <f t="shared" si="291"/>
        <v/>
      </c>
      <c r="E991" s="2647" t="str">
        <f t="shared" si="291"/>
        <v/>
      </c>
      <c r="F991" s="2647" t="str">
        <f t="shared" si="291"/>
        <v/>
      </c>
      <c r="G991" s="2647" t="str">
        <f t="shared" si="291"/>
        <v/>
      </c>
      <c r="H991" s="2647" t="str">
        <f t="shared" si="291"/>
        <v/>
      </c>
      <c r="I991" s="2647" t="str">
        <f t="shared" si="291"/>
        <v/>
      </c>
      <c r="J991" s="2647" t="str">
        <f t="shared" si="291"/>
        <v/>
      </c>
      <c r="K991" s="2647" t="str">
        <f t="shared" si="291"/>
        <v/>
      </c>
      <c r="Q991" s="683">
        <v>17</v>
      </c>
      <c r="R991" s="683">
        <v>182040</v>
      </c>
      <c r="S991" s="683">
        <v>993149.86028102133</v>
      </c>
    </row>
    <row r="992" spans="1:19">
      <c r="A992" s="683" t="s">
        <v>778</v>
      </c>
      <c r="B992" s="2648">
        <f t="shared" ref="B992:K992" si="292">IF(OR(B976="Choose mgt fee",B976="Choose One!"),"",(B970+B971+B972+B973+B974) / -(B975+B976+B977))</f>
        <v>1.4913152113515682</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182040</v>
      </c>
      <c r="S992" s="683">
        <v>1024106.7578901798</v>
      </c>
    </row>
    <row r="993" spans="1:19">
      <c r="A993" s="683" t="s">
        <v>2634</v>
      </c>
      <c r="B993" s="2646" t="str">
        <f>'Part VII-Pro Forma'!B37</f>
        <v/>
      </c>
      <c r="C993" s="2646" t="str">
        <f>'Part VII-Pro Forma'!C37</f>
        <v/>
      </c>
      <c r="D993" s="2646" t="str">
        <f>'Part VII-Pro Forma'!D37</f>
        <v/>
      </c>
      <c r="E993" s="2646" t="str">
        <f>'Part VII-Pro Forma'!E37</f>
        <v/>
      </c>
      <c r="F993" s="2646" t="str">
        <f>'Part VII-Pro Forma'!F37</f>
        <v/>
      </c>
      <c r="G993" s="2646" t="str">
        <f>'Part VII-Pro Forma'!G37</f>
        <v/>
      </c>
      <c r="H993" s="2646" t="str">
        <f>'Part VII-Pro Forma'!H37</f>
        <v/>
      </c>
      <c r="I993" s="2646" t="str">
        <f>'Part VII-Pro Forma'!I37</f>
        <v/>
      </c>
      <c r="J993" s="2646" t="str">
        <f>'Part VII-Pro Forma'!J37</f>
        <v/>
      </c>
      <c r="K993" s="2646" t="str">
        <f>'Part VII-Pro Forma'!K37</f>
        <v/>
      </c>
      <c r="Q993" s="683">
        <v>19</v>
      </c>
      <c r="R993" s="683">
        <v>182040</v>
      </c>
      <c r="S993" s="683">
        <v>1050941.7224548319</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182040</v>
      </c>
      <c r="S994" s="683">
        <v>1073425.6064150124</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4128</v>
      </c>
      <c r="B997" s="2646">
        <f>'Part VII-Pro Forma'!B41</f>
        <v>106133</v>
      </c>
      <c r="C997" s="2646">
        <f>'Part VII-Pro Forma'!C41</f>
        <v>31718</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0</v>
      </c>
      <c r="C1009" s="2646">
        <f>'Part VII-Pro Forma'!C53</f>
        <v>0</v>
      </c>
      <c r="D1009" s="2646">
        <f>'Part VII-Pro Forma'!D53</f>
        <v>0</v>
      </c>
      <c r="E1009" s="2646">
        <f>'Part VII-Pro Forma'!E53</f>
        <v>0</v>
      </c>
      <c r="F1009" s="2646">
        <f>'Part VII-Pro Forma'!F53</f>
        <v>0</v>
      </c>
      <c r="G1009" s="2646">
        <f>'Part VII-Pro Forma'!G53</f>
        <v>0</v>
      </c>
      <c r="H1009" s="2646">
        <f>'Part VII-Pro Forma'!H53</f>
        <v>0</v>
      </c>
      <c r="I1009" s="2646">
        <f>'Part VII-Pro Forma'!I53</f>
        <v>0</v>
      </c>
      <c r="J1009" s="2646">
        <f>'Part VII-Pro Forma'!J53</f>
        <v>0</v>
      </c>
      <c r="K1009" s="2646">
        <f>'Part VII-Pro Forma'!K53</f>
        <v>0</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-6719.5818967206096</v>
      </c>
      <c r="C1014" s="2646">
        <f>'Part VII-Pro Forma'!C58</f>
        <v>-6921.1693536222283</v>
      </c>
      <c r="D1014" s="2646">
        <f>'Part VII-Pro Forma'!D58</f>
        <v>-7128.8044342308949</v>
      </c>
      <c r="E1014" s="2646">
        <f>'Part VII-Pro Forma'!E58</f>
        <v>-7342.6685672578224</v>
      </c>
      <c r="F1014" s="2646">
        <f>'Part VII-Pro Forma'!F58</f>
        <v>-7562.9486242755574</v>
      </c>
      <c r="G1014" s="2646">
        <f>'Part VII-Pro Forma'!G58</f>
        <v>-7562.9486242755574</v>
      </c>
      <c r="H1014" s="2646">
        <f>'Part VII-Pro Forma'!H58</f>
        <v>-7562.9486242755574</v>
      </c>
      <c r="I1014" s="2646">
        <f>'Part VII-Pro Forma'!I58</f>
        <v>-7562.9486242755574</v>
      </c>
      <c r="J1014" s="2646">
        <f>'Part VII-Pro Forma'!J58</f>
        <v>-7562.9486242755574</v>
      </c>
      <c r="K1014" s="2646">
        <f>'Part VII-Pro Forma'!K58</f>
        <v>-7562.9486242755574</v>
      </c>
    </row>
    <row r="1015" spans="1:11">
      <c r="A1015" s="683" t="s">
        <v>4127</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-6719.5818967206096</v>
      </c>
      <c r="C1016" s="2646">
        <f t="shared" ref="C1016:K1016" si="300">SUM(C1008:C1015)</f>
        <v>-6921.1693536222283</v>
      </c>
      <c r="D1016" s="2646">
        <f t="shared" si="300"/>
        <v>-7128.8044342308949</v>
      </c>
      <c r="E1016" s="2646">
        <f t="shared" si="300"/>
        <v>-7342.6685672578224</v>
      </c>
      <c r="F1016" s="2646">
        <f t="shared" si="300"/>
        <v>-7562.9486242755574</v>
      </c>
      <c r="G1016" s="2646">
        <f t="shared" si="300"/>
        <v>-7562.9486242755574</v>
      </c>
      <c r="H1016" s="2646">
        <f t="shared" si="300"/>
        <v>-7562.9486242755574</v>
      </c>
      <c r="I1016" s="2646">
        <f t="shared" si="300"/>
        <v>-7562.9486242755574</v>
      </c>
      <c r="J1016" s="2646">
        <f t="shared" si="300"/>
        <v>-7562.9486242755574</v>
      </c>
      <c r="K1016" s="2646">
        <f t="shared" si="300"/>
        <v>-7562.9486242755574</v>
      </c>
    </row>
    <row r="1017" spans="1:11">
      <c r="A1017" s="683" t="str">
        <f>$A987</f>
        <v>DCR Mortgage A</v>
      </c>
      <c r="B1017" s="2647" t="str">
        <f t="shared" ref="B1017:K1017" si="301">IF(B1009=0,"",-B1008/B1009)</f>
        <v/>
      </c>
      <c r="C1017" s="2647" t="str">
        <f t="shared" si="301"/>
        <v/>
      </c>
      <c r="D1017" s="2647" t="str">
        <f t="shared" si="301"/>
        <v/>
      </c>
      <c r="E1017" s="2647" t="str">
        <f t="shared" si="301"/>
        <v/>
      </c>
      <c r="F1017" s="2647" t="str">
        <f t="shared" si="301"/>
        <v/>
      </c>
      <c r="G1017" s="2647" t="str">
        <f t="shared" si="301"/>
        <v/>
      </c>
      <c r="H1017" s="2647" t="str">
        <f t="shared" si="301"/>
        <v/>
      </c>
      <c r="I1017" s="2647" t="str">
        <f t="shared" si="301"/>
        <v/>
      </c>
      <c r="J1017" s="2647" t="str">
        <f t="shared" si="301"/>
        <v/>
      </c>
      <c r="K1017" s="2647" t="str">
        <f t="shared" si="301"/>
        <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3738</v>
      </c>
      <c r="B1021" s="2647" t="str">
        <f t="shared" ref="B1021:K1021" si="305">IF(AND(B1009=0,B1010=0,B1011=0,B1012=0),"",-B1008/(B1009+B1010+B1011+B1012))</f>
        <v/>
      </c>
      <c r="C1021" s="2647" t="str">
        <f t="shared" si="305"/>
        <v/>
      </c>
      <c r="D1021" s="2647" t="str">
        <f t="shared" si="305"/>
        <v/>
      </c>
      <c r="E1021" s="2647" t="str">
        <f t="shared" si="305"/>
        <v/>
      </c>
      <c r="F1021" s="2647" t="str">
        <f t="shared" si="305"/>
        <v/>
      </c>
      <c r="G1021" s="2647" t="str">
        <f t="shared" si="305"/>
        <v/>
      </c>
      <c r="H1021" s="2647" t="str">
        <f t="shared" si="305"/>
        <v/>
      </c>
      <c r="I1021" s="2647" t="str">
        <f t="shared" si="305"/>
        <v/>
      </c>
      <c r="J1021" s="2647" t="str">
        <f t="shared" si="305"/>
        <v/>
      </c>
      <c r="K1021" s="2647" t="str">
        <f t="shared" si="305"/>
        <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t="str">
        <f>'Part VII-Pro Forma'!B67</f>
        <v/>
      </c>
      <c r="C1023" s="2646" t="str">
        <f>'Part VII-Pro Forma'!C67</f>
        <v/>
      </c>
      <c r="D1023" s="2646" t="str">
        <f>'Part VII-Pro Forma'!D67</f>
        <v/>
      </c>
      <c r="E1023" s="2646" t="str">
        <f>'Part VII-Pro Forma'!E67</f>
        <v/>
      </c>
      <c r="F1023" s="2646" t="str">
        <f>'Part VII-Pro Forma'!F67</f>
        <v/>
      </c>
      <c r="G1023" s="2646" t="str">
        <f>'Part VII-Pro Forma'!G67</f>
        <v/>
      </c>
      <c r="H1023" s="2646" t="str">
        <f>'Part VII-Pro Forma'!H67</f>
        <v/>
      </c>
      <c r="I1023" s="2646" t="str">
        <f>'Part VII-Pro Forma'!I67</f>
        <v/>
      </c>
      <c r="J1023" s="2646" t="str">
        <f>'Part VII-Pro Forma'!J67</f>
        <v/>
      </c>
      <c r="K1023" s="2646" t="str">
        <f>'Part VII-Pro Forma'!K67</f>
        <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4128</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-7562.9486242755574</v>
      </c>
      <c r="C1044" s="2646">
        <f>'Part VII-Pro Forma'!C88</f>
        <v>-7562.9486242755574</v>
      </c>
      <c r="D1044" s="2646">
        <f>'Part VII-Pro Forma'!D88</f>
        <v>-7562.9486242755574</v>
      </c>
      <c r="E1044" s="2646">
        <f>'Part VII-Pro Forma'!E88</f>
        <v>-7562.9486242755574</v>
      </c>
      <c r="F1044" s="2646">
        <f>'Part VII-Pro Forma'!F88</f>
        <v>-7562.9486242755574</v>
      </c>
      <c r="G1044" s="2646">
        <f>'Part VII-Pro Forma'!G88</f>
        <v>-7562.9486242755574</v>
      </c>
      <c r="H1044" s="2646">
        <f>'Part VII-Pro Forma'!H88</f>
        <v>-7562.9486242755574</v>
      </c>
      <c r="I1044" s="2646">
        <f>'Part VII-Pro Forma'!I88</f>
        <v>-7562.9486242755574</v>
      </c>
      <c r="J1044" s="2646">
        <f>'Part VII-Pro Forma'!J88</f>
        <v>-7562.9486242755574</v>
      </c>
      <c r="K1044" s="2646">
        <f>'Part VII-Pro Forma'!K88</f>
        <v>-7562.9486242755574</v>
      </c>
    </row>
    <row r="1045" spans="1:11">
      <c r="A1045" s="683" t="s">
        <v>1175</v>
      </c>
      <c r="B1045" s="2646">
        <f t="shared" ref="B1045:K1045" si="314">SUM(B1038:B1044)</f>
        <v>-7562.9486242755574</v>
      </c>
      <c r="C1045" s="2646">
        <f t="shared" si="314"/>
        <v>-7562.9486242755574</v>
      </c>
      <c r="D1045" s="2646">
        <f t="shared" si="314"/>
        <v>-7562.9486242755574</v>
      </c>
      <c r="E1045" s="2646">
        <f t="shared" si="314"/>
        <v>-7562.9486242755574</v>
      </c>
      <c r="F1045" s="2646">
        <f t="shared" si="314"/>
        <v>-7562.9486242755574</v>
      </c>
      <c r="G1045" s="2646">
        <f t="shared" si="314"/>
        <v>-7562.9486242755574</v>
      </c>
      <c r="H1045" s="2646">
        <f t="shared" si="314"/>
        <v>-7562.9486242755574</v>
      </c>
      <c r="I1045" s="2646">
        <f t="shared" si="314"/>
        <v>-7562.9486242755574</v>
      </c>
      <c r="J1045" s="2646">
        <f t="shared" si="314"/>
        <v>-7562.9486242755574</v>
      </c>
      <c r="K1045" s="2646">
        <f t="shared" si="314"/>
        <v>-7562.9486242755574</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3738</v>
      </c>
      <c r="B1050" s="2647" t="str">
        <f>IF(AND(B1039=0,B1040=0,B1041=0,B1042=0),"",-B1038/(B1039+B1040+B1041+B1042))</f>
        <v/>
      </c>
      <c r="C1050" s="2647" t="str">
        <f t="shared" ref="C1050:K1050" si="319">IF(AND(C1039=0,C1040=0,C1041=0,C1042=0),"",-C1038/(C1039+C1040+C1041+C1042))</f>
        <v/>
      </c>
      <c r="D1050" s="2647" t="str">
        <f t="shared" si="319"/>
        <v/>
      </c>
      <c r="E1050" s="2647" t="str">
        <f t="shared" si="319"/>
        <v/>
      </c>
      <c r="F1050" s="2647" t="str">
        <f t="shared" si="319"/>
        <v/>
      </c>
      <c r="G1050" s="2647" t="str">
        <f t="shared" si="319"/>
        <v/>
      </c>
      <c r="H1050" s="2647" t="str">
        <f t="shared" si="319"/>
        <v/>
      </c>
      <c r="I1050" s="2647" t="str">
        <f t="shared" si="319"/>
        <v/>
      </c>
      <c r="J1050" s="2647" t="str">
        <f t="shared" si="319"/>
        <v/>
      </c>
      <c r="K1050" s="2647" t="str">
        <f t="shared" si="319"/>
        <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t="str">
        <f>'Part VII-Pro Forma'!B96</f>
        <v/>
      </c>
      <c r="C1052" s="2646" t="str">
        <f>'Part VII-Pro Forma'!C96</f>
        <v/>
      </c>
      <c r="D1052" s="2646" t="str">
        <f>'Part VII-Pro Forma'!D96</f>
        <v/>
      </c>
      <c r="E1052" s="2646" t="str">
        <f>'Part VII-Pro Forma'!E96</f>
        <v/>
      </c>
      <c r="F1052" s="2646" t="str">
        <f>'Part VII-Pro Forma'!F96</f>
        <v/>
      </c>
      <c r="G1052" s="2646" t="str">
        <f>'Part VII-Pro Forma'!G96</f>
        <v/>
      </c>
      <c r="H1052" s="2646" t="str">
        <f>'Part VII-Pro Forma'!H96</f>
        <v/>
      </c>
      <c r="I1052" s="2646" t="str">
        <f>'Part VII-Pro Forma'!I96</f>
        <v/>
      </c>
      <c r="J1052" s="2646" t="str">
        <f>'Part VII-Pro Forma'!J96</f>
        <v/>
      </c>
      <c r="K1052" s="2646" t="str">
        <f>'Part VII-Pro Forma'!K96</f>
        <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-7562.9486242755574</v>
      </c>
      <c r="C1072" s="2646">
        <f>'Part VII-Pro Forma'!C116</f>
        <v>-7562.9486242755574</v>
      </c>
      <c r="D1072" s="2646">
        <f>'Part VII-Pro Forma'!D116</f>
        <v>-7562.9486242755574</v>
      </c>
      <c r="E1072" s="2646">
        <f>'Part VII-Pro Forma'!E116</f>
        <v>-7562.9486242755574</v>
      </c>
      <c r="F1072" s="2646">
        <f>'Part VII-Pro Forma'!F116</f>
        <v>-7562.9486242755574</v>
      </c>
      <c r="G1072" s="2646"/>
      <c r="H1072" s="2646"/>
      <c r="I1072" s="2646"/>
      <c r="J1072" s="2646"/>
      <c r="K1072" s="2646"/>
    </row>
    <row r="1073" spans="1:11">
      <c r="A1073" s="683" t="s">
        <v>1175</v>
      </c>
      <c r="B1073" s="2646">
        <f>SUM(B1066:B1072)</f>
        <v>-7562.9486242755574</v>
      </c>
      <c r="C1073" s="2646">
        <f>SUM(C1066:C1072)</f>
        <v>-7562.9486242755574</v>
      </c>
      <c r="D1073" s="2646">
        <f>SUM(D1066:D1072)</f>
        <v>-7562.9486242755574</v>
      </c>
      <c r="E1073" s="2646">
        <f>SUM(E1066:E1072)</f>
        <v>-7562.9486242755574</v>
      </c>
      <c r="F1073" s="2646">
        <f>SUM(F1066:F1072)</f>
        <v>-7562.9486242755574</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3738</v>
      </c>
      <c r="B1078" s="2647" t="str">
        <f>IF(AND(B1067=0,B1068=0,B1069=0,B1070=0),"",-B1066/(B1067+B1068+B1069+B1070))</f>
        <v/>
      </c>
      <c r="C1078" s="2647" t="str">
        <f>IF(AND(C1067=0,C1068=0,C1069=0,C1070=0),"",-C1066/(C1067+C1068+C1069+C1070))</f>
        <v/>
      </c>
      <c r="D1078" s="2647" t="str">
        <f>IF(AND(D1067=0,D1068=0,D1069=0,D1070=0),"",-D1066/(D1067+D1068+D1069+D1070))</f>
        <v/>
      </c>
      <c r="E1078" s="2647" t="str">
        <f>IF(AND(E1067=0,E1068=0,E1069=0,E1070=0),"",-E1066/(E1067+E1068+E1069+E1070))</f>
        <v/>
      </c>
      <c r="F1078" s="2647" t="str">
        <f>IF(AND(F1067=0,F1068=0,F1069=0,F1070=0),"",-F1066/(F1067+F1068+F1069+F1070))</f>
        <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t="str">
        <f>'Part VII-Pro Forma'!B124</f>
        <v/>
      </c>
      <c r="C1080" s="2646" t="str">
        <f>'Part VII-Pro Forma'!C124</f>
        <v/>
      </c>
      <c r="D1080" s="2646" t="str">
        <f>'Part VII-Pro Forma'!D124</f>
        <v/>
      </c>
      <c r="E1080" s="2646" t="str">
        <f>'Part VII-Pro Forma'!E124</f>
        <v/>
      </c>
      <c r="F1080" s="2646" t="str">
        <f>'Part VII-Pro Forma'!F124</f>
        <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There will be no mortgage on this property. The deferred developer fee will be paid from cash flow after asset management fee until paid in full. The Operating Expense Coverage Ratio is above 1.10 for over 15 years for this property.</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2018-045 Altoview Terrace,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4812</v>
      </c>
      <c r="K1100" s="2653"/>
      <c r="L1100" s="2653"/>
      <c r="M1100" s="2653"/>
      <c r="N1100" s="2653"/>
      <c r="O1100" s="2653"/>
      <c r="P1100" s="2654">
        <f>'Part VIII-Threshold Criteria'!P6</f>
        <v>0</v>
      </c>
      <c r="Q1100" s="2654">
        <f>'Part VIII-Threshold Criteria'!Q6</f>
        <v>0</v>
      </c>
    </row>
    <row r="1101" spans="1:17">
      <c r="A1101" s="2655" t="s">
        <v>3471</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3778</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 xml:space="preserve">The Applicant has submitted an proposal which conforms to the 2018 QAP, Manuals and Instructions.   All costs for Development and Construction have been carefully underwritten by experienced estimators.  Federal ($0.84) and State ($0.56) Equity Pricing are competitive and worked out with experinced Investors and are appropriate for their yields.  Operating Costs have been proposed by the experienced Management Company, Northwest GA Housing Authority (NWGHA), which has operated properties in the area at similar cost.  Rents and utility allowances have been set at or below 2017 maximum allowable rents which were in effect on January 1, 2018 (per DCA instructions). NWGHA current utility allowances have been used.  Total Developer Fee and Deferred Developer Fee are within 2018 QAP limits.   The project is structured as a no-debt deal since the Rome MSA median incoes are so low.  The property does meet the QAP requirement of a no-debt deal by maintaining a 1.10 Operating Expense Coverage Ratio for all 15 years.  NWGHA received a notice on May 3, 2018 from DCA requiring them to partner with a DCA qualified partner. William J. Rea, Jr. was approached to assist NWGHA with applying for 9% LIHTC credits for Altoview. REA and NWGHA are already partners on two 4% applications submitted this year (High Rise and Park Homes). This property will have RAD PBV on 100% of the units. 15% (10) of these units will be covered by Target Population Preference with a mental health facility in the area.  </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2729</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4813</v>
      </c>
      <c r="B1131" s="2667"/>
      <c r="C1131" s="2667"/>
      <c r="D1131" s="2667"/>
      <c r="E1131" s="2667"/>
      <c r="F1131" s="2667"/>
      <c r="G1131" s="2474" t="s">
        <v>2733</v>
      </c>
      <c r="H1131" s="2474"/>
      <c r="I1131" s="2659"/>
      <c r="J1131" s="2355"/>
      <c r="K1131" s="2659" t="s">
        <v>3658</v>
      </c>
      <c r="L1131" s="2659"/>
      <c r="M1131" s="2659"/>
      <c r="N1131" s="2659"/>
    </row>
    <row r="1132" spans="1:17" ht="13.5">
      <c r="A1132" s="2667"/>
      <c r="B1132" s="2667"/>
      <c r="C1132" s="2667"/>
      <c r="D1132" s="2667"/>
      <c r="E1132" s="2667"/>
      <c r="F1132" s="2667"/>
      <c r="G1132" s="2474" t="s">
        <v>348</v>
      </c>
      <c r="H1132" s="2474"/>
      <c r="I1132" s="2659"/>
      <c r="J1132" s="2355"/>
      <c r="K1132" s="478" t="s">
        <v>3659</v>
      </c>
      <c r="L1132" s="478"/>
      <c r="M1132" s="478"/>
      <c r="N1132" s="478"/>
      <c r="P1132" s="2487" t="s">
        <v>2752</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2732</v>
      </c>
      <c r="F1134" s="2670" t="s">
        <v>3474</v>
      </c>
      <c r="G1134" s="2670" t="s">
        <v>3473</v>
      </c>
      <c r="H1134" s="2670"/>
      <c r="I1134" s="2670"/>
      <c r="K1134" s="2670" t="s">
        <v>3474</v>
      </c>
      <c r="L1134" s="2670" t="s">
        <v>3473</v>
      </c>
      <c r="M1134" s="2670"/>
      <c r="N1134" s="2670"/>
    </row>
    <row r="1135" spans="1:17" ht="12.75" customHeight="1">
      <c r="A1135" s="2671" t="s">
        <v>3378</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3920</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Atlanta</v>
      </c>
      <c r="Q1136" s="2676">
        <f>'Part VIII-Threshold Criteria'!Q42</f>
        <v>0</v>
      </c>
    </row>
    <row r="1137" spans="1:17">
      <c r="A1137" s="2671"/>
      <c r="B1137" s="2671"/>
      <c r="C1137" s="2671"/>
      <c r="D1137" s="2672" t="s">
        <v>2457</v>
      </c>
      <c r="E1137" s="2660">
        <v>2</v>
      </c>
      <c r="F1137" s="2673">
        <f>'Part VI-Revenues &amp; Expenses'!$L$104</f>
        <v>4</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4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3655</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13480710.35</v>
      </c>
      <c r="Q1139" s="2677">
        <f>'Part VIII-Threshold Criteria'!Q45</f>
        <v>0</v>
      </c>
    </row>
    <row r="1140" spans="1:17" ht="12.75" customHeight="1">
      <c r="C1140" s="2355"/>
      <c r="D1140" s="2678" t="s">
        <v>3388</v>
      </c>
      <c r="E1140" s="2679"/>
      <c r="F1140" s="2680">
        <f>SUM(F1135:F1139)</f>
        <v>4</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3373</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4132</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16</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16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2</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2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3653</v>
      </c>
      <c r="Q1146" s="478"/>
    </row>
    <row r="1147" spans="1:17">
      <c r="C1147" s="2355"/>
      <c r="D1147" s="2678" t="s">
        <v>3388</v>
      </c>
      <c r="E1147" s="2679"/>
      <c r="F1147" s="2680">
        <f>SUM(F1142:F1146)</f>
        <v>18</v>
      </c>
      <c r="G1147" s="2681"/>
      <c r="H1147" s="2682"/>
      <c r="I1147" s="2683" t="e">
        <f>SUM(I1142:I1146)</f>
        <v>#N/A</v>
      </c>
      <c r="J1147" s="2684"/>
      <c r="K1147" s="2680">
        <f>SUM(K1142:K1146)</f>
        <v>0</v>
      </c>
      <c r="L1147" s="2684"/>
      <c r="M1147" s="2682"/>
      <c r="N1147" s="2683" t="e">
        <f>SUM(N1142:N1146)</f>
        <v>#N/A</v>
      </c>
      <c r="O1147" s="2689"/>
      <c r="P1147" s="2571" t="s">
        <v>3265</v>
      </c>
      <c r="Q1147" s="2571" t="s">
        <v>258</v>
      </c>
    </row>
    <row r="1148" spans="1:17">
      <c r="C1148" s="2355"/>
      <c r="D1148" s="2685"/>
      <c r="E1148" s="2685"/>
      <c r="F1148" s="2686"/>
      <c r="G1148" s="2687"/>
      <c r="I1148" s="2686"/>
      <c r="K1148" s="2686"/>
      <c r="M1148" s="2665"/>
      <c r="N1148" s="2686"/>
      <c r="O1148" s="2689"/>
    </row>
    <row r="1149" spans="1:17">
      <c r="A1149" s="2474" t="s">
        <v>3374</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16</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16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3654</v>
      </c>
      <c r="Q1150" s="478"/>
    </row>
    <row r="1151" spans="1:17">
      <c r="C1151" s="2355"/>
      <c r="D1151" s="2672" t="s">
        <v>2457</v>
      </c>
      <c r="E1151" s="2660">
        <v>2</v>
      </c>
      <c r="F1151" s="2673">
        <f>'Part VI-Revenues &amp; Expenses'!$L$108</f>
        <v>28</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28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3265</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2787</v>
      </c>
      <c r="Q1153" s="2691"/>
    </row>
    <row r="1154" spans="1:17" ht="12.75" customHeight="1">
      <c r="C1154" s="2355"/>
      <c r="D1154" s="2678" t="s">
        <v>3388</v>
      </c>
      <c r="E1154" s="2679"/>
      <c r="F1154" s="2680">
        <f>SUM(F1149:F1153)</f>
        <v>44</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3375</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13494772</v>
      </c>
      <c r="Q1157" s="2692">
        <f>'Part VIII-Threshold Criteria'!Q63</f>
        <v>0</v>
      </c>
    </row>
    <row r="1158" spans="1:17" ht="12.75" customHeight="1">
      <c r="C1158" s="2355"/>
      <c r="D1158" s="2672" t="s">
        <v>2457</v>
      </c>
      <c r="E1158" s="2660">
        <v>2</v>
      </c>
      <c r="F1158" s="2673">
        <f>'Part VI-Revenues &amp; Expenses'!$L$110</f>
        <v>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4547</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3388</v>
      </c>
      <c r="E1161" s="2679"/>
      <c r="F1161" s="2680">
        <f>SUM(F1156:F1160)</f>
        <v>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3389</v>
      </c>
      <c r="B1163" s="2355"/>
      <c r="C1163" s="2355"/>
      <c r="D1163" s="2355"/>
      <c r="E1163" s="2556"/>
      <c r="F1163" s="2696">
        <f>F1140+F1147+F1154+F1161</f>
        <v>66</v>
      </c>
      <c r="G1163" s="2421"/>
      <c r="H1163" s="2697">
        <f>'Part VIII-Threshold Criteria'!H69</f>
        <v>13494772</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3778</v>
      </c>
      <c r="D1164" s="2599"/>
      <c r="E1164" s="2599"/>
      <c r="F1164" s="2599"/>
      <c r="G1164" s="2599"/>
      <c r="H1164" s="2598"/>
      <c r="I1164" s="2660"/>
      <c r="J1164" s="2660"/>
      <c r="K1164" s="2663" t="s">
        <v>1880</v>
      </c>
      <c r="L1164" s="2562"/>
      <c r="M1164" s="2562"/>
      <c r="N1164" s="2562"/>
      <c r="O1164" s="2562"/>
      <c r="P1164" s="2562"/>
      <c r="Q1164" s="2562"/>
    </row>
    <row r="1165" spans="1:17" ht="146.25">
      <c r="A1165" s="2662" t="str">
        <f>'Part VIII-Threshold Criteria'!A71</f>
        <v>Justification from experience as Developer and General Contractor and set within the 2017 HUD Cost Limits effective 1/1/2018.</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Family</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3778</v>
      </c>
      <c r="D1168" s="2599"/>
      <c r="E1168" s="2599"/>
      <c r="F1168" s="2599"/>
      <c r="G1168" s="2599"/>
      <c r="H1168" s="2598"/>
      <c r="I1168" s="2660"/>
      <c r="J1168" s="2660"/>
      <c r="K1168" s="2663" t="s">
        <v>1880</v>
      </c>
      <c r="L1168" s="2562"/>
      <c r="M1168" s="2562"/>
      <c r="N1168" s="2562"/>
      <c r="O1168" s="2562"/>
      <c r="P1168" s="2562"/>
      <c r="Q1168" s="2562"/>
    </row>
    <row r="1169" spans="1:17">
      <c r="A1169" s="2662" t="str">
        <f>'Part VIII-Threshold Criteria'!A75</f>
        <v xml:space="preserve">Family </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3768</v>
      </c>
      <c r="D1173" s="2687"/>
      <c r="E1173" s="2687"/>
      <c r="F1173" s="2687"/>
      <c r="G1173" s="2687"/>
      <c r="H1173" s="2687"/>
      <c r="I1173" s="2687"/>
      <c r="K1173" s="2687"/>
      <c r="L1173" s="2687"/>
      <c r="M1173" s="2700" t="s">
        <v>3721</v>
      </c>
      <c r="O1173" s="2662"/>
      <c r="P1173" s="2668" t="str">
        <f>'Part VIII-Threshold Criteria'!P79</f>
        <v>Agree</v>
      </c>
    </row>
    <row r="1174" spans="1:17">
      <c r="A1174" s="2701" t="s">
        <v>2001</v>
      </c>
      <c r="B1174" s="2598" t="s">
        <v>3767</v>
      </c>
      <c r="D1174" s="2598"/>
      <c r="E1174" s="2598"/>
      <c r="F1174" s="2598"/>
      <c r="G1174" s="2598"/>
      <c r="H1174" s="2598"/>
      <c r="I1174" s="2598"/>
      <c r="J1174" s="2598"/>
      <c r="K1174" s="2598"/>
      <c r="L1174" s="2598"/>
      <c r="M1174" s="2598"/>
      <c r="O1174" s="2598"/>
      <c r="P1174" s="2598"/>
      <c r="Q1174" s="2598"/>
    </row>
    <row r="1175" spans="1:17" ht="45">
      <c r="A1175" s="2702"/>
      <c r="B1175" s="2703" t="s">
        <v>1750</v>
      </c>
      <c r="C1175" s="2598" t="s">
        <v>3505</v>
      </c>
      <c r="E1175" s="2592"/>
      <c r="F1175" s="2592"/>
      <c r="G1175" s="2592"/>
      <c r="H1175" s="2355"/>
      <c r="I1175" s="478" t="s">
        <v>2723</v>
      </c>
      <c r="J1175" s="2704" t="str">
        <f>'Part VIII-Threshold Criteria'!J81</f>
        <v>Semi-Monthly Gatherings and Special Family Programs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33.75">
      <c r="A1176" s="2702"/>
      <c r="B1176" s="2703" t="s">
        <v>1751</v>
      </c>
      <c r="C1176" s="2598" t="s">
        <v>3603</v>
      </c>
      <c r="E1176" s="2592"/>
      <c r="F1176" s="2592"/>
      <c r="G1176" s="2592"/>
      <c r="H1176" s="2355"/>
      <c r="I1176" s="478" t="s">
        <v>2723</v>
      </c>
      <c r="J1176" s="2704" t="str">
        <f>'Part VIII-Threshold Criteria'!J82</f>
        <v>GED Educational Services,  After-school tutoring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c r="A1177" s="2702"/>
      <c r="B1177" s="2703" t="s">
        <v>1752</v>
      </c>
      <c r="C1177" s="2598" t="s">
        <v>3604</v>
      </c>
      <c r="E1177" s="2592"/>
      <c r="F1177" s="2592"/>
      <c r="G1177" s="2592"/>
      <c r="H1177" s="2355"/>
      <c r="I1177" s="478" t="s">
        <v>2723</v>
      </c>
      <c r="J1177" s="2704">
        <f>'Part VIII-Threshold Criteria'!J83</f>
        <v>0</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3931</v>
      </c>
      <c r="E1178" s="2592"/>
      <c r="I1178" s="478" t="s">
        <v>2723</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3589</v>
      </c>
      <c r="D1179" s="2598"/>
      <c r="E1179" s="2592"/>
      <c r="J1179" s="478"/>
      <c r="K1179" s="478"/>
      <c r="L1179" s="478"/>
      <c r="M1179" s="478"/>
      <c r="N1179" s="478"/>
      <c r="O1179" s="478"/>
      <c r="P1179" s="478"/>
      <c r="Q1179" s="478"/>
    </row>
    <row r="1180" spans="1:17">
      <c r="A1180" s="2702"/>
      <c r="B1180" s="1156" t="s">
        <v>3922</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3778</v>
      </c>
      <c r="D1181" s="2599"/>
      <c r="E1181" s="2599"/>
      <c r="F1181" s="2599"/>
      <c r="G1181" s="2599"/>
      <c r="H1181" s="2598"/>
      <c r="I1181" s="2660"/>
      <c r="J1181" s="2660"/>
      <c r="K1181" s="2663" t="s">
        <v>1880</v>
      </c>
      <c r="L1181" s="2562"/>
      <c r="M1181" s="2562"/>
      <c r="N1181" s="2562"/>
      <c r="O1181" s="2562"/>
      <c r="P1181" s="2562"/>
      <c r="Q1181" s="2562"/>
    </row>
    <row r="1182" spans="1:17" ht="78.75">
      <c r="A1182" s="2662" t="str">
        <f>'Part VIII-Threshold Criteria'!A88</f>
        <v>We will be supply the services attached through MOUs and NWGHA.</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Bowen National Research</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Five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2896</v>
      </c>
      <c r="D1188" s="2627"/>
      <c r="E1188" s="2627"/>
      <c r="F1188" s="2627"/>
      <c r="L1188" s="2703" t="s">
        <v>757</v>
      </c>
      <c r="M1188" s="2705">
        <f>'Part VIII-Threshold Criteria'!M94</f>
        <v>0.98899999999999999</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3924</v>
      </c>
      <c r="D1189" s="2627"/>
      <c r="E1189" s="2627"/>
      <c r="F1189" s="2627"/>
      <c r="L1189" s="2703" t="s">
        <v>3925</v>
      </c>
      <c r="M1189" s="2707">
        <f>'Part VIII-Threshold Criteria'!M95</f>
        <v>3.9E-2</v>
      </c>
      <c r="N1189" s="2705"/>
      <c r="O1189" s="2708" t="s">
        <v>4175</v>
      </c>
      <c r="P1189" s="2709" t="str">
        <f>'Part VIII-Threshold Criteria'!P95</f>
        <v>NA</v>
      </c>
      <c r="Q1189" s="2668">
        <f>'Part VIII-Threshold Criteria'!Q95</f>
        <v>0</v>
      </c>
    </row>
    <row r="1190" spans="1:17">
      <c r="A1190" s="2699" t="s">
        <v>1748</v>
      </c>
      <c r="B1190" s="2687" t="s">
        <v>3923</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Bond</v>
      </c>
      <c r="E1192" s="2659" t="str">
        <f>'Part VIII-Threshold Criteria'!E98</f>
        <v>Etowah Blend</v>
      </c>
      <c r="F1192" s="2659">
        <f>'Part VIII-Threshold Criteria'!F98</f>
        <v>0</v>
      </c>
      <c r="G1192" s="2659">
        <f>'Part VIII-Threshold Criteria'!G98</f>
        <v>0</v>
      </c>
      <c r="H1192" s="2703" t="s">
        <v>1752</v>
      </c>
      <c r="I1192" s="2668" t="str">
        <f>'Part VIII-Threshold Criteria'!I98</f>
        <v>Bond</v>
      </c>
      <c r="J1192" s="2659" t="str">
        <f>'Part VIII-Threshold Criteria'!J98</f>
        <v>Burrell Square</v>
      </c>
      <c r="K1192" s="2659">
        <f>'Part VIII-Threshold Criteria'!K98</f>
        <v>0</v>
      </c>
      <c r="L1192" s="2659">
        <f>'Part VIII-Threshold Criteria'!L98</f>
        <v>0</v>
      </c>
      <c r="M1192" s="2703" t="s">
        <v>1561</v>
      </c>
      <c r="N1192" s="2668">
        <f>'Part VIII-Threshold Criteria'!N98</f>
        <v>0</v>
      </c>
      <c r="O1192" s="2659">
        <f>'Part VIII-Threshold Criteria'!O98</f>
        <v>0</v>
      </c>
      <c r="P1192" s="2659">
        <f>'Part VIII-Threshold Criteria'!P98</f>
        <v>0</v>
      </c>
      <c r="Q1192" s="2659">
        <f>'Part VIII-Threshold Criteria'!Q98</f>
        <v>0</v>
      </c>
    </row>
    <row r="1193" spans="1:17">
      <c r="C1193" s="2703" t="s">
        <v>1751</v>
      </c>
      <c r="D1193" s="2668" t="str">
        <f>'Part VIII-Threshold Criteria'!D99</f>
        <v>Bond</v>
      </c>
      <c r="E1193" s="2659" t="str">
        <f>'Part VIII-Threshold Criteria'!E99</f>
        <v>McCall Place</v>
      </c>
      <c r="F1193" s="2659">
        <f>'Part VIII-Threshold Criteria'!F99</f>
        <v>0</v>
      </c>
      <c r="G1193" s="2659">
        <f>'Part VIII-Threshold Criteria'!G99</f>
        <v>0</v>
      </c>
      <c r="H1193" s="2703" t="s">
        <v>2381</v>
      </c>
      <c r="I1193" s="2668">
        <f>'Part VIII-Threshold Criteria'!I99</f>
        <v>0</v>
      </c>
      <c r="J1193" s="2659">
        <f>'Part VIII-Threshold Criteria'!J99</f>
        <v>0</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3636</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3390</v>
      </c>
      <c r="B1197" s="2662" t="s">
        <v>2747</v>
      </c>
      <c r="C1197" s="2662"/>
      <c r="D1197" s="2662"/>
      <c r="E1197" s="2662"/>
      <c r="F1197" s="2662"/>
      <c r="G1197" s="2662"/>
      <c r="H1197" s="2662"/>
      <c r="I1197" s="2662"/>
      <c r="J1197" s="2662"/>
      <c r="K1197" s="2662"/>
      <c r="L1197" s="2662"/>
      <c r="M1197" s="2662"/>
      <c r="N1197" s="2662"/>
      <c r="O1197" s="2662"/>
      <c r="P1197" s="2713" t="s">
        <v>3390</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3391</v>
      </c>
      <c r="B1199" s="2687" t="s">
        <v>3637</v>
      </c>
      <c r="C1199" s="2679"/>
      <c r="D1199" s="2679"/>
      <c r="E1199" s="2679"/>
      <c r="F1199" s="2679"/>
      <c r="G1199" s="2679"/>
      <c r="H1199" s="2679"/>
      <c r="I1199" s="2679"/>
      <c r="J1199" s="2679"/>
      <c r="K1199" s="2679"/>
      <c r="L1199" s="2715"/>
      <c r="M1199" s="2679"/>
      <c r="N1199" s="2711"/>
      <c r="O1199" s="2679"/>
      <c r="P1199" s="2703" t="s">
        <v>3391</v>
      </c>
      <c r="Q1199" s="2714">
        <f>'Part VIII-Threshold Criteria'!Q105</f>
        <v>0</v>
      </c>
    </row>
    <row r="1200" spans="1:17">
      <c r="B1200" s="2599" t="s">
        <v>3778</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There are no market rate units in this project.  The property will eleviate some of the 696 waitlist residents in the immediate area. 100% of the units will have RAD PBV with a 20 year agreement through HUD. 15% of the units will be set aside for Target Population Preference Units. These units will also have RAD PBV assigned to them. The overall LIHTC Cap rate is 3.9%, but since the property has 100% PBV Subsidy, the Cap Rate is 1.7%.</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f>'Part VIII-Threshold Criteria'!P113</f>
        <v>0</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3492</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3493</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2897</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f>'Part VIII-Threshold Criteria'!P121</f>
        <v>0</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f>'Part VIII-Threshold Criteria'!P122</f>
        <v>0</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f>'Part VIII-Threshold Criteria'!P123</f>
        <v>0</v>
      </c>
      <c r="Q1217" s="2668">
        <f>'Part VIII-Threshold Criteria'!Q123</f>
        <v>0</v>
      </c>
    </row>
    <row r="1218" spans="1:17">
      <c r="B1218" s="2599" t="s">
        <v>3778</v>
      </c>
      <c r="D1218" s="2599"/>
      <c r="E1218" s="2599"/>
      <c r="F1218" s="2599"/>
      <c r="G1218" s="2599"/>
      <c r="H1218" s="2598"/>
      <c r="I1218" s="2660"/>
      <c r="J1218" s="2660"/>
      <c r="K1218" s="2660"/>
      <c r="L1218" s="2562"/>
      <c r="M1218" s="2562"/>
      <c r="N1218" s="2562"/>
      <c r="O1218" s="2562"/>
      <c r="P1218" s="2562"/>
      <c r="Q1218" s="2562"/>
    </row>
    <row r="1219" spans="1:17" ht="101.25">
      <c r="A1219" s="2662" t="str">
        <f>'Part VIII-Threshold Criteria'!A125</f>
        <v>Appraisal not needed for a ground lease. Ground lease will be for 70 years.</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3660</v>
      </c>
      <c r="D1224" s="2627"/>
      <c r="E1224" s="2627"/>
      <c r="F1224" s="2627"/>
      <c r="G1224" s="2627"/>
      <c r="H1224" s="2627"/>
      <c r="I1224" s="2355"/>
      <c r="J1224" s="2355"/>
      <c r="K1224" s="2703" t="s">
        <v>1999</v>
      </c>
      <c r="L1224" s="2570" t="str">
        <f>'Part VIII-Threshold Criteria'!L130</f>
        <v>Geotechnical &amp; Environmental Consultants, Inc. (GEC)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Yes</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Geotechnical &amp; Environmental Consultants, Inc. (GEC)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3494</v>
      </c>
      <c r="E1228" s="2355"/>
      <c r="F1228" s="2355"/>
      <c r="G1228" s="2355"/>
      <c r="H1228" s="478"/>
      <c r="I1228" s="2355"/>
      <c r="J1228" s="2355"/>
      <c r="K1228" s="2627"/>
      <c r="L1228" s="2592"/>
      <c r="M1228" s="2592"/>
      <c r="O1228" s="2703" t="s">
        <v>1751</v>
      </c>
      <c r="P1228" s="2668">
        <f>'Part VIII-Threshold Criteria'!P134</f>
        <v>58.4</v>
      </c>
      <c r="Q1228" s="2668">
        <f>'Part VIII-Threshold Criteria'!Q134</f>
        <v>0</v>
      </c>
    </row>
    <row r="1229" spans="1:17">
      <c r="A1229" s="2581"/>
      <c r="B1229" s="2703" t="s">
        <v>1752</v>
      </c>
      <c r="C1229" s="478" t="s">
        <v>4162</v>
      </c>
      <c r="E1229" s="2355"/>
      <c r="F1229" s="2355"/>
      <c r="G1229" s="2355"/>
      <c r="H1229" s="478"/>
      <c r="I1229" s="2355"/>
      <c r="J1229" s="2355"/>
      <c r="K1229" s="2627"/>
      <c r="L1229" s="2592"/>
      <c r="M1229" s="2592"/>
      <c r="N1229" s="2592"/>
      <c r="O1229" s="2592"/>
    </row>
    <row r="1230" spans="1:17" ht="33.75">
      <c r="A1230" s="2562"/>
      <c r="B1230" s="2703"/>
      <c r="C1230" s="2627" t="str">
        <f>'Part VIII-Threshold Criteria'!C136</f>
        <v>Road, Railway, Aircraft</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0</v>
      </c>
      <c r="Q1238" s="2718">
        <f>'Part VIII-Threshold Criteria'!Q144</f>
        <v>0</v>
      </c>
    </row>
    <row r="1239" spans="1:17">
      <c r="A1239" s="2701"/>
      <c r="B1239" s="2703"/>
      <c r="E1239" s="2703" t="s">
        <v>2452</v>
      </c>
      <c r="F1239" s="478" t="s">
        <v>2654</v>
      </c>
      <c r="G1239" s="2355"/>
      <c r="H1239" s="478"/>
      <c r="I1239" s="2355"/>
      <c r="J1239" s="2355"/>
      <c r="O1239" s="2703" t="s">
        <v>2452</v>
      </c>
      <c r="P1239" s="2668">
        <f>'Part VIII-Threshold Criteria'!P145</f>
        <v>0</v>
      </c>
      <c r="Q1239" s="2668">
        <f>'Part VIII-Threshold Criteria'!Q145</f>
        <v>0</v>
      </c>
    </row>
    <row r="1240" spans="1:17">
      <c r="A1240" s="2701"/>
      <c r="B1240" s="2703"/>
      <c r="E1240" s="2703" t="s">
        <v>2453</v>
      </c>
      <c r="F1240" s="478" t="s">
        <v>2652</v>
      </c>
      <c r="G1240" s="2355"/>
      <c r="H1240" s="478"/>
      <c r="I1240" s="2355"/>
      <c r="J1240" s="2355"/>
      <c r="O1240" s="2703" t="s">
        <v>2453</v>
      </c>
      <c r="P1240" s="2668">
        <f>'Part VIII-Threshold Criteria'!P146</f>
        <v>0</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No</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Yes</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2820</v>
      </c>
      <c r="E1244" s="2627"/>
      <c r="F1244" s="2668" t="str">
        <f>'Part VIII-Threshold Criteria'!F150</f>
        <v>Yes</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3874</v>
      </c>
      <c r="L1245" s="2668" t="str">
        <f>'Part VIII-Threshold Criteria'!L151</f>
        <v>Yes</v>
      </c>
      <c r="M1245" s="2668">
        <f>'Part VIII-Threshold Criteria'!M151</f>
        <v>0</v>
      </c>
      <c r="N1245" s="2703" t="s">
        <v>2822</v>
      </c>
      <c r="O1245" s="478" t="s">
        <v>1565</v>
      </c>
      <c r="P1245" s="2668" t="str">
        <f>'Part VIII-Threshold Criteria'!P151</f>
        <v>No</v>
      </c>
      <c r="Q1245" s="2668">
        <f>'Part VIII-Threshold Criteria'!Q151</f>
        <v>0</v>
      </c>
    </row>
    <row r="1246" spans="1:17">
      <c r="A1246" s="478"/>
      <c r="B1246" s="2703" t="s">
        <v>2381</v>
      </c>
      <c r="C1246" s="478" t="s">
        <v>2823</v>
      </c>
      <c r="E1246" s="2627"/>
      <c r="F1246" s="2668" t="str">
        <f>'Part VIII-Threshold Criteria'!F152</f>
        <v>No</v>
      </c>
      <c r="G1246" s="2668">
        <f>'Part VIII-Threshold Criteria'!G152</f>
        <v>0</v>
      </c>
      <c r="H1246" s="2703" t="s">
        <v>516</v>
      </c>
      <c r="I1246" s="478" t="s">
        <v>2819</v>
      </c>
      <c r="L1246" s="2668" t="str">
        <f>'Part VIII-Threshold Criteria'!L152</f>
        <v>Yes</v>
      </c>
      <c r="M1246" s="2668">
        <f>'Part VIII-Threshold Criteria'!M152</f>
        <v>0</v>
      </c>
      <c r="O1246" s="2703"/>
    </row>
    <row r="1247" spans="1:17">
      <c r="A1247" s="478"/>
      <c r="B1247" s="2703" t="s">
        <v>2911</v>
      </c>
      <c r="C1247" s="478" t="s">
        <v>2821</v>
      </c>
      <c r="E1247" s="2627"/>
      <c r="F1247" s="2627"/>
      <c r="G1247" s="2627"/>
      <c r="H1247" s="2627"/>
      <c r="I1247" s="2627"/>
      <c r="J1247" s="2627"/>
      <c r="K1247" s="2627"/>
      <c r="L1247" s="2627"/>
      <c r="M1247" s="478"/>
      <c r="O1247" s="2703"/>
      <c r="P1247" s="2703"/>
    </row>
    <row r="1248" spans="1:17" ht="247.5">
      <c r="A1248" s="478"/>
      <c r="C1248" s="2627" t="str">
        <f>'Part VIII-Threshold Criteria'!C154</f>
        <v>Vapor intrusion was documented in the initial tests however GEC believes these results to be anomolies and suggest in the Phase 2 (included) to investigate further if selected for funding.</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3592</v>
      </c>
      <c r="D1249" s="2627"/>
      <c r="E1249" s="2627"/>
      <c r="F1249" s="2627"/>
      <c r="G1249" s="2627"/>
      <c r="H1249" s="2627"/>
      <c r="I1249" s="2355"/>
      <c r="J1249" s="2355"/>
      <c r="K1249" s="2627"/>
      <c r="L1249" s="2627"/>
      <c r="M1249" s="2592"/>
    </row>
    <row r="1250" spans="1:17">
      <c r="A1250" s="2355"/>
      <c r="B1250" s="2703" t="s">
        <v>1750</v>
      </c>
      <c r="C1250" s="478" t="s">
        <v>2824</v>
      </c>
      <c r="E1250" s="2627"/>
      <c r="F1250" s="2627"/>
      <c r="G1250" s="2627"/>
      <c r="H1250" s="2627"/>
      <c r="O1250" s="2703" t="s">
        <v>1750</v>
      </c>
      <c r="P1250" s="2668" t="str">
        <f>'Part VIII-Threshold Criteria'!P156</f>
        <v>No</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t="str">
        <f>'Part VIII-Threshold Criteria'!P157</f>
        <v>No</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t="str">
        <f>'Part VIII-Threshold Criteria'!P158</f>
        <v>No</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t="str">
        <f>'Part VIII-Threshold Criteria'!P159</f>
        <v>N/A</v>
      </c>
      <c r="Q1253" s="2668">
        <f>'Part VIII-Threshold Criteria'!Q159</f>
        <v>0</v>
      </c>
    </row>
    <row r="1254" spans="1:17">
      <c r="A1254" s="2719" t="s">
        <v>3484</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3390</v>
      </c>
      <c r="B1255" s="2662" t="s">
        <v>4814</v>
      </c>
      <c r="C1255" s="2662"/>
      <c r="D1255" s="2662"/>
      <c r="E1255" s="2662"/>
      <c r="F1255" s="2662"/>
      <c r="G1255" s="2662"/>
      <c r="H1255" s="2662"/>
      <c r="I1255" s="2662"/>
      <c r="J1255" s="2662"/>
      <c r="K1255" s="2662"/>
      <c r="L1255" s="2662"/>
      <c r="M1255" s="2713" t="s">
        <v>3390</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3391</v>
      </c>
      <c r="B1257" s="2598" t="s">
        <v>1427</v>
      </c>
      <c r="C1257" s="2355"/>
      <c r="D1257" s="2716"/>
      <c r="E1257" s="2716"/>
      <c r="F1257" s="2716"/>
      <c r="G1257" s="2554"/>
      <c r="H1257" s="2554"/>
      <c r="I1257" s="2598"/>
      <c r="J1257" s="2355"/>
      <c r="K1257" s="2554"/>
      <c r="L1257" s="2554"/>
      <c r="M1257" s="2554"/>
      <c r="N1257" s="2355"/>
      <c r="O1257" s="2703" t="s">
        <v>3391</v>
      </c>
      <c r="P1257" s="2668">
        <f>'Part VIII-Threshold Criteria'!P163</f>
        <v>0</v>
      </c>
      <c r="Q1257" s="2668">
        <f>'Part VIII-Threshold Criteria'!Q163</f>
        <v>0</v>
      </c>
    </row>
    <row r="1258" spans="1:17">
      <c r="B1258" s="2599" t="s">
        <v>3778</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Phase 2 required due to the railroad tracks within 3000 ft, lead testing and asbestos for the homesite to be demolished.   Lead was detected in the soil during the Phase I Environmental.  GEC has included a Site Remediation Estimate of $12,000 - $17,000 in the Phase I Environmental.  As a result, $17,000 has been included in Demolition on the Uses Tab to budget for this remediation.  As the remediation is a cost incurred to get the land ready for it's intended use, it is properly allocated to land cost (as is demolition).</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4548</v>
      </c>
      <c r="D1265" s="478"/>
      <c r="E1265" s="478"/>
      <c r="F1265" s="478"/>
      <c r="G1265" s="478"/>
      <c r="I1265" s="478" t="s">
        <v>2725</v>
      </c>
      <c r="K1265" s="2721">
        <f>'Part VIII-Threshold Criteria'!K171</f>
        <v>43617</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Ground lease/Option</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Altoview Terrace,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2899</v>
      </c>
      <c r="D1268" s="2687"/>
      <c r="E1268" s="2687"/>
      <c r="F1268" s="2687"/>
      <c r="G1268" s="2687"/>
      <c r="H1268" s="2687"/>
      <c r="J1268" s="2703"/>
      <c r="K1268" s="2703"/>
      <c r="L1268" s="2703"/>
      <c r="M1268" s="2703"/>
      <c r="N1268" s="2703"/>
      <c r="O1268" s="2703" t="s">
        <v>2131</v>
      </c>
      <c r="P1268" s="2668" t="str">
        <f>'Part VIII-Threshold Criteria'!P174</f>
        <v>Yes</v>
      </c>
      <c r="Q1268" s="2668">
        <f>'Part VIII-Threshold Criteria'!Q174</f>
        <v>0</v>
      </c>
    </row>
    <row r="1269" spans="1:17">
      <c r="B1269" s="2599" t="s">
        <v>3778</v>
      </c>
      <c r="D1269" s="2599"/>
      <c r="E1269" s="2599"/>
      <c r="F1269" s="2599"/>
      <c r="G1269" s="2599"/>
      <c r="H1269" s="2598"/>
      <c r="I1269" s="2660"/>
      <c r="J1269" s="2660"/>
      <c r="K1269" s="2660"/>
      <c r="L1269" s="2562"/>
      <c r="M1269" s="2562"/>
      <c r="N1269" s="2562"/>
      <c r="O1269" s="2562"/>
      <c r="P1269" s="2562"/>
      <c r="Q1269" s="2562"/>
    </row>
    <row r="1270" spans="1:17" ht="135">
      <c r="A1270" s="2662" t="str">
        <f>'Part VIII-Threshold Criteria'!A176</f>
        <v>An executed Purhcase Option Agreement for a 70 year Ground Lease is included for the property.</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3769</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3661</v>
      </c>
      <c r="C1276" s="2662"/>
      <c r="D1276" s="2662"/>
      <c r="E1276" s="2662"/>
      <c r="F1276" s="2662"/>
      <c r="G1276" s="2662"/>
      <c r="H1276" s="2662"/>
      <c r="I1276" s="2662"/>
      <c r="J1276" s="2662"/>
      <c r="K1276" s="2662"/>
      <c r="L1276" s="2662"/>
      <c r="M1276" s="2662"/>
      <c r="N1276" s="2662"/>
      <c r="O1276" s="2713" t="s">
        <v>2001</v>
      </c>
      <c r="P1276" s="2714" t="str">
        <f>'Part VIII-Threshold Criteria'!P182</f>
        <v>No</v>
      </c>
      <c r="Q1276" s="2714">
        <f>'Part VIII-Threshold Criteria'!Q182</f>
        <v>0</v>
      </c>
    </row>
    <row r="1277" spans="1:17" ht="12.75" customHeight="1">
      <c r="A1277" s="2699" t="s">
        <v>757</v>
      </c>
      <c r="B1277" s="2662" t="s">
        <v>3770</v>
      </c>
      <c r="C1277" s="2662"/>
      <c r="D1277" s="2662"/>
      <c r="E1277" s="2662"/>
      <c r="F1277" s="2662"/>
      <c r="G1277" s="2662"/>
      <c r="H1277" s="2662"/>
      <c r="I1277" s="2662"/>
      <c r="J1277" s="2662"/>
      <c r="K1277" s="2662"/>
      <c r="L1277" s="2662"/>
      <c r="M1277" s="2662"/>
      <c r="N1277" s="2662"/>
      <c r="O1277" s="2713" t="s">
        <v>757</v>
      </c>
      <c r="P1277" s="2714" t="str">
        <f>'Part VIII-Threshold Criteria'!P183</f>
        <v>No</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No</v>
      </c>
      <c r="Q1278" s="2714">
        <f>'Part VIII-Threshold Criteria'!Q184</f>
        <v>0</v>
      </c>
    </row>
    <row r="1279" spans="1:17">
      <c r="B1279" s="2599" t="s">
        <v>3778</v>
      </c>
      <c r="D1279" s="2599"/>
      <c r="E1279" s="2599"/>
      <c r="F1279" s="2599"/>
      <c r="G1279" s="2599"/>
      <c r="H1279" s="2598"/>
      <c r="I1279" s="2660"/>
      <c r="J1279" s="2660"/>
      <c r="K1279" s="2660"/>
      <c r="L1279" s="2562"/>
      <c r="M1279" s="2562"/>
      <c r="N1279" s="2562"/>
      <c r="O1279" s="2562"/>
      <c r="P1279" s="2562"/>
      <c r="Q1279" s="2562"/>
    </row>
    <row r="1280" spans="1:17" ht="123.75">
      <c r="A1280" s="2662" t="str">
        <f>'Part VIII-Threshold Criteria'!A186</f>
        <v>Site is accessible by paved roads. There are city streets connected to all entrances and sidewalks.</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4815</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3771</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3926</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3778</v>
      </c>
      <c r="D1296" s="2599"/>
      <c r="E1296" s="2599"/>
      <c r="F1296" s="2599"/>
      <c r="G1296" s="2599"/>
      <c r="H1296" s="2598"/>
      <c r="I1296" s="2660"/>
      <c r="J1296" s="2660"/>
      <c r="K1296" s="2660"/>
      <c r="L1296" s="2562"/>
      <c r="M1296" s="2562"/>
      <c r="N1296" s="2562"/>
      <c r="O1296" s="2562"/>
      <c r="P1296" s="2562"/>
      <c r="Q1296" s="2562"/>
    </row>
    <row r="1297" spans="1:17" ht="67.5">
      <c r="A1297" s="2662" t="str">
        <f>'Part VIII-Threshold Criteria'!A203</f>
        <v>Site A is zoned M-R Multifamily Residential. Site D is zoned  DR.</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N/A</v>
      </c>
      <c r="K1302" s="2659">
        <f>'Part VIII-Threshold Criteria'!K208</f>
        <v>0</v>
      </c>
      <c r="L1302" s="2659">
        <f>'Part VIII-Threshold Criteria'!L208</f>
        <v>0</v>
      </c>
      <c r="M1302" s="2659">
        <f>'Part VIII-Threshold Criteria'!M208</f>
        <v>0</v>
      </c>
      <c r="N1302" s="2659">
        <f>'Part VIII-Threshold Criteria'!N208</f>
        <v>0</v>
      </c>
      <c r="O1302" s="2703" t="s">
        <v>1750</v>
      </c>
      <c r="P1302" s="2668">
        <f>'Part VIII-Threshold Criteria'!P208</f>
        <v>0</v>
      </c>
      <c r="Q1302" s="2668">
        <f>'Part VIII-Threshold Criteria'!Q208</f>
        <v>0</v>
      </c>
    </row>
    <row r="1303" spans="1:17">
      <c r="A1303" s="2581"/>
      <c r="B1303" s="2599" t="s">
        <v>3778</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90">
      <c r="A1304" s="2662" t="str">
        <f>'Part VIII-Threshold Criteria'!A210</f>
        <v>No gas on the property. Georgia Power letter included with this application.</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Rome Water and Sewer Division</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Rome Water and Sewer Division</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3933</v>
      </c>
      <c r="D1314" s="478"/>
      <c r="E1314" s="478"/>
      <c r="F1314" s="478"/>
      <c r="G1314" s="478"/>
      <c r="H1314" s="478"/>
      <c r="I1314" s="478"/>
      <c r="J1314" s="478"/>
      <c r="K1314" s="2355"/>
      <c r="L1314" s="478"/>
      <c r="M1314" s="478"/>
      <c r="O1314" s="2703" t="s">
        <v>757</v>
      </c>
      <c r="P1314" s="2668" t="str">
        <f>'Part VIII-Threshold Criteria'!P220</f>
        <v>No</v>
      </c>
      <c r="Q1314" s="2668">
        <f>'Part VIII-Threshold Criteria'!Q220</f>
        <v>0</v>
      </c>
    </row>
    <row r="1315" spans="1:17">
      <c r="A1315" s="2701" t="s">
        <v>2131</v>
      </c>
      <c r="B1315" s="478" t="s">
        <v>3934</v>
      </c>
      <c r="D1315" s="478"/>
      <c r="E1315" s="478"/>
      <c r="F1315" s="478"/>
      <c r="G1315" s="478"/>
      <c r="H1315" s="478"/>
      <c r="I1315" s="478"/>
      <c r="J1315" s="478"/>
      <c r="K1315" s="2355"/>
      <c r="L1315" s="478"/>
      <c r="M1315" s="478"/>
      <c r="O1315" s="2703" t="s">
        <v>2131</v>
      </c>
      <c r="P1315" s="2668" t="str">
        <f>'Part VIII-Threshold Criteria'!P221</f>
        <v>No</v>
      </c>
      <c r="Q1315" s="2668">
        <f>'Part VIII-Threshold Criteria'!Q221</f>
        <v>0</v>
      </c>
    </row>
    <row r="1316" spans="1:17">
      <c r="B1316" s="2599" t="s">
        <v>3778</v>
      </c>
      <c r="D1316" s="2599"/>
      <c r="E1316" s="2599"/>
      <c r="F1316" s="2599"/>
      <c r="G1316" s="2599"/>
      <c r="H1316" s="2598"/>
      <c r="I1316" s="2660"/>
      <c r="J1316" s="2660"/>
      <c r="K1316" s="2660"/>
      <c r="L1316" s="2562"/>
      <c r="M1316" s="2562"/>
      <c r="N1316" s="2562"/>
      <c r="O1316" s="2562"/>
      <c r="P1316" s="2562"/>
      <c r="Q1316" s="2562"/>
    </row>
    <row r="1317" spans="1:17" ht="191.25">
      <c r="A1317" s="2662" t="str">
        <f>'Part VIII-Threshold Criteria'!A223</f>
        <v>Rome Water and Sewer provides public water and sewer to the properties. The lines are already installed since service was previously supplied to the sites.</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4816</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Building</v>
      </c>
      <c r="L1324" s="2659">
        <f>'Part VIII-Threshold Criteria'!L230</f>
        <v>0</v>
      </c>
      <c r="Q1324" s="2668">
        <f>'Part VIII-Threshold Criteria'!Q230</f>
        <v>0</v>
      </c>
    </row>
    <row r="1325" spans="1:17" ht="13.5">
      <c r="A1325" s="2701"/>
      <c r="B1325" s="2703" t="s">
        <v>1751</v>
      </c>
      <c r="C1325" s="2598" t="s">
        <v>2741</v>
      </c>
      <c r="E1325" s="2598"/>
      <c r="F1325" s="2598"/>
      <c r="G1325" s="2598"/>
      <c r="H1325" s="2598"/>
      <c r="I1325" s="2355"/>
      <c r="J1325" s="2703" t="s">
        <v>1499</v>
      </c>
      <c r="K1325" s="2659" t="str">
        <f>'Part VIII-Threshold Criteria'!K231</f>
        <v>Covered Porch</v>
      </c>
      <c r="L1325" s="2659">
        <f>'Part VIII-Threshold Criteria'!L231</f>
        <v>0</v>
      </c>
      <c r="M1325" s="2726">
        <f>'Part VIII-Threshold Criteria'!M231</f>
        <v>0</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4817</v>
      </c>
      <c r="D1328" s="478"/>
      <c r="E1328" s="478"/>
      <c r="F1328" s="478"/>
      <c r="G1328" s="478"/>
      <c r="H1328" s="478"/>
      <c r="I1328" s="478"/>
      <c r="J1328" s="478"/>
      <c r="K1328" s="2355"/>
      <c r="L1328" s="2355"/>
      <c r="M1328" s="2355"/>
      <c r="N1328" s="2355"/>
      <c r="O1328" s="2355"/>
      <c r="P1328" s="2725" t="s">
        <v>2</v>
      </c>
      <c r="Q1328" s="2725"/>
    </row>
    <row r="1329" spans="1:17">
      <c r="A1329" s="2701"/>
      <c r="C1329" s="478" t="s">
        <v>2742</v>
      </c>
      <c r="D1329" s="478"/>
      <c r="E1329" s="478"/>
      <c r="F1329" s="478"/>
      <c r="H1329" s="2727" t="s">
        <v>781</v>
      </c>
      <c r="I1329" s="2357" t="s">
        <v>782</v>
      </c>
      <c r="K1329" s="478" t="s">
        <v>2742</v>
      </c>
      <c r="M1329" s="2355"/>
      <c r="N1329" s="2355"/>
      <c r="O1329" s="2727"/>
      <c r="P1329" s="2415" t="s">
        <v>781</v>
      </c>
      <c r="Q1329" s="2357" t="s">
        <v>782</v>
      </c>
    </row>
    <row r="1330" spans="1:17">
      <c r="A1330" s="2668"/>
      <c r="B1330" s="2703" t="s">
        <v>1750</v>
      </c>
      <c r="C1330" s="2662" t="str">
        <f>'Part VIII-Threshold Criteria'!C236</f>
        <v>Playground</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 xml:space="preserve">  </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56.25">
      <c r="A1331" s="2668"/>
      <c r="B1331" s="2703" t="s">
        <v>1751</v>
      </c>
      <c r="C1331" s="2662" t="str">
        <f>'Part VIII-Threshold Criteria'!C237</f>
        <v>Covered Pavilion with Picnic Tables/BBQ Facilities</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3486</v>
      </c>
      <c r="E1333" s="478"/>
      <c r="F1333" s="478"/>
      <c r="L1333" s="2355"/>
      <c r="M1333" s="2355"/>
      <c r="O1333" s="2703" t="s">
        <v>1750</v>
      </c>
      <c r="P1333" s="2668" t="str">
        <f>'Part VIII-Threshold Criteria'!P239</f>
        <v>Yes</v>
      </c>
      <c r="Q1333" s="2668">
        <f>'Part VIII-Threshold Criteria'!Q239</f>
        <v>0</v>
      </c>
    </row>
    <row r="1334" spans="1:17">
      <c r="B1334" s="2703" t="s">
        <v>1751</v>
      </c>
      <c r="C1334" s="2598" t="s">
        <v>2825</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2826</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2827</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2828</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2816</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2817</v>
      </c>
      <c r="P1339" s="2668" t="str">
        <f>'Part VIII-Threshold Criteria'!P245</f>
        <v>No</v>
      </c>
      <c r="Q1339" s="2668">
        <f>'Part VIII-Threshold Criteria'!Q245</f>
        <v>0</v>
      </c>
    </row>
    <row r="1340" spans="1:17">
      <c r="A1340" s="2701" t="s">
        <v>2131</v>
      </c>
      <c r="B1340" s="478" t="s">
        <v>3686</v>
      </c>
      <c r="C1340" s="478"/>
      <c r="E1340" s="478"/>
      <c r="F1340" s="478"/>
      <c r="G1340" s="478"/>
      <c r="H1340" s="478"/>
      <c r="I1340" s="478"/>
      <c r="J1340" s="478"/>
      <c r="K1340" s="2355"/>
      <c r="L1340" s="478"/>
      <c r="M1340" s="478"/>
      <c r="O1340" s="2703" t="s">
        <v>2131</v>
      </c>
      <c r="P1340" s="2668" t="str">
        <f>'Part VIII-Threshold Criteria'!P246</f>
        <v>N/A</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f>'Part VIII-Threshold Criteria'!P247</f>
        <v>0</v>
      </c>
      <c r="Q1341" s="2668">
        <f>'Part VIII-Threshold Criteria'!Q247</f>
        <v>0</v>
      </c>
    </row>
    <row r="1342" spans="1:17">
      <c r="B1342" s="2703" t="s">
        <v>1751</v>
      </c>
      <c r="C1342" s="478" t="s">
        <v>3935</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3778</v>
      </c>
      <c r="D1343" s="2599"/>
      <c r="E1343" s="2599"/>
      <c r="F1343" s="2599"/>
      <c r="G1343" s="2599"/>
      <c r="H1343" s="2598"/>
      <c r="I1343" s="2660"/>
      <c r="J1343" s="2660"/>
      <c r="K1343" s="2660"/>
      <c r="L1343" s="2562"/>
      <c r="M1343" s="2562"/>
      <c r="N1343" s="2562"/>
      <c r="O1343" s="2562"/>
      <c r="P1343" s="2562"/>
      <c r="Q1343" s="2562"/>
    </row>
    <row r="1344" spans="1:17" ht="90">
      <c r="A1344" s="2662" t="str">
        <f>'Part VIII-Threshold Criteria'!A250</f>
        <v>The amenities for Altoview are selected for Family tenancy.</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2799</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2829</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3785</v>
      </c>
      <c r="D1354" s="478"/>
      <c r="E1354" s="478"/>
      <c r="F1354" s="478"/>
      <c r="M1354" s="478"/>
      <c r="N1354" s="2728"/>
      <c r="O1354" s="2703" t="s">
        <v>757</v>
      </c>
      <c r="P1354" s="2668">
        <f>'Part VIII-Threshold Criteria'!P260</f>
        <v>0</v>
      </c>
      <c r="Q1354" s="2668">
        <f>'Part VIII-Threshold Criteria'!Q260</f>
        <v>0</v>
      </c>
    </row>
    <row r="1355" spans="1:17">
      <c r="A1355" s="2701"/>
      <c r="B1355" s="478" t="s">
        <v>3784</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3936</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3786</v>
      </c>
      <c r="C1357" s="2662"/>
      <c r="D1357" s="2662"/>
      <c r="E1357" s="2662"/>
      <c r="F1357" s="2662"/>
      <c r="G1357" s="2662"/>
      <c r="H1357" s="1156" t="s">
        <v>4163</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4164</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4165</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4166</v>
      </c>
      <c r="K1360" s="2355"/>
      <c r="M1360" s="478"/>
      <c r="N1360" s="2728"/>
      <c r="O1360" s="2703" t="s">
        <v>2381</v>
      </c>
      <c r="P1360" s="2668">
        <f>'Part VIII-Threshold Criteria'!P266</f>
        <v>0</v>
      </c>
      <c r="Q1360" s="2668">
        <f>'Part VIII-Threshold Criteria'!Q266</f>
        <v>0</v>
      </c>
    </row>
    <row r="1361" spans="1:17" ht="12.75" customHeight="1">
      <c r="A1361" s="2699" t="s">
        <v>1748</v>
      </c>
      <c r="B1361" s="2662" t="s">
        <v>4818</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3778</v>
      </c>
      <c r="D1362" s="2599"/>
      <c r="E1362" s="2599"/>
      <c r="F1362" s="2599"/>
      <c r="G1362" s="2599"/>
      <c r="H1362" s="2598"/>
      <c r="I1362" s="2660"/>
      <c r="J1362" s="2660"/>
      <c r="K1362" s="2660"/>
      <c r="L1362" s="2562"/>
      <c r="M1362" s="2562"/>
      <c r="N1362" s="2562"/>
      <c r="O1362" s="2562"/>
      <c r="P1362" s="2562"/>
      <c r="Q1362" s="2562"/>
    </row>
    <row r="1363" spans="1:17" ht="67.5">
      <c r="A1363" s="2662" t="str">
        <f>'Part VIII-Threshold Criteria'!A269</f>
        <v xml:space="preserve">This project is not a rehab, but is new construction. </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3938</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3781</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3782</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4167</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3783</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4168</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3778</v>
      </c>
      <c r="D1375" s="2599"/>
      <c r="E1375" s="2599"/>
      <c r="F1375" s="2599"/>
      <c r="G1375" s="2599"/>
      <c r="H1375" s="2598"/>
      <c r="I1375" s="2660"/>
      <c r="J1375" s="2660"/>
      <c r="K1375" s="2660"/>
      <c r="L1375" s="2562"/>
      <c r="M1375" s="2562"/>
      <c r="N1375" s="2562"/>
      <c r="O1375" s="2562"/>
      <c r="P1375" s="2562"/>
      <c r="Q1375" s="2562"/>
    </row>
    <row r="1376" spans="1:17" ht="90">
      <c r="A1376" s="2662" t="str">
        <f>'Part VIII-Threshold Criteria'!A282</f>
        <v>All QAP requirements have been included in the submitted application.</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4149</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2830</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2831</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3778</v>
      </c>
      <c r="D1383" s="2599"/>
      <c r="E1383" s="2599"/>
      <c r="F1383" s="2599"/>
      <c r="G1383" s="2599"/>
      <c r="H1383" s="2598"/>
      <c r="I1383" s="2660"/>
      <c r="J1383" s="2660"/>
      <c r="K1383" s="2660"/>
      <c r="L1383" s="2562"/>
      <c r="M1383" s="2562"/>
      <c r="N1383" s="2562"/>
      <c r="O1383" s="2562"/>
      <c r="P1383" s="2562"/>
      <c r="Q1383" s="2562"/>
    </row>
    <row r="1384" spans="1:17" ht="112.5">
      <c r="A1384" s="2662" t="str">
        <f>'Part VIII-Threshold Criteria'!A290</f>
        <v>The applicant will prioritize the sustainability of the affordable housing development.</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4150</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4819</v>
      </c>
    </row>
    <row r="1389" spans="1:17" ht="12.75" customHeight="1">
      <c r="A1389" s="2699"/>
      <c r="B1389" s="2713" t="s">
        <v>1750</v>
      </c>
      <c r="C1389" s="2662" t="s">
        <v>3940</v>
      </c>
      <c r="D1389" s="2662"/>
      <c r="E1389" s="2662"/>
      <c r="F1389" s="2662"/>
      <c r="G1389" s="2662"/>
      <c r="H1389" s="2662"/>
      <c r="I1389" s="2662"/>
      <c r="J1389" s="2662"/>
      <c r="K1389" s="2662"/>
      <c r="L1389" s="2662"/>
      <c r="M1389" s="2662"/>
      <c r="N1389" s="2662"/>
      <c r="O1389" s="2713" t="s">
        <v>2743</v>
      </c>
      <c r="P1389" s="2714" t="str">
        <f>'Part VIII-Threshold Criteria'!P295</f>
        <v>Yes</v>
      </c>
      <c r="Q1389" s="2714">
        <f>'Part VIII-Threshold Criteria'!Q295</f>
        <v>0</v>
      </c>
    </row>
    <row r="1390" spans="1:17" ht="12.75" customHeight="1">
      <c r="A1390" s="2699"/>
      <c r="B1390" s="2713" t="s">
        <v>1751</v>
      </c>
      <c r="C1390" s="2662" t="s">
        <v>3941</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3939</v>
      </c>
      <c r="D1391" s="2662"/>
      <c r="E1391" s="2662"/>
      <c r="F1391" s="2662"/>
      <c r="G1391" s="2662"/>
      <c r="H1391" s="2662"/>
      <c r="I1391" s="2662"/>
      <c r="J1391" s="2662"/>
      <c r="K1391" s="2662"/>
      <c r="L1391" s="2662"/>
      <c r="M1391" s="2662"/>
      <c r="N1391" s="2662"/>
      <c r="O1391" s="2713" t="s">
        <v>1752</v>
      </c>
      <c r="P1391" s="2714">
        <f>'Part VIII-Threshold Criteria'!P297</f>
        <v>0</v>
      </c>
      <c r="Q1391" s="2714">
        <f>'Part VIII-Threshold Criteria'!Q297</f>
        <v>0</v>
      </c>
    </row>
    <row r="1392" spans="1:17">
      <c r="A1392" s="2586" t="s">
        <v>2001</v>
      </c>
      <c r="B1392" s="2545" t="s">
        <v>3905</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4820</v>
      </c>
      <c r="D1393" s="2662"/>
      <c r="E1393" s="2662"/>
      <c r="F1393" s="2662"/>
      <c r="G1393" s="2662"/>
      <c r="H1393" s="2662"/>
      <c r="I1393" s="2687"/>
      <c r="J1393" s="2670" t="s">
        <v>3821</v>
      </c>
      <c r="K1393" s="2725"/>
      <c r="L1393" s="2725"/>
      <c r="M1393" s="2732" t="s">
        <v>3788</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3789</v>
      </c>
      <c r="N1394" s="2660" t="s">
        <v>3820</v>
      </c>
      <c r="O1394" s="2351"/>
      <c r="P1394" s="2373"/>
      <c r="Q1394" s="2351"/>
    </row>
    <row r="1395" spans="1:17">
      <c r="A1395" s="2354"/>
      <c r="B1395" s="2351"/>
      <c r="C1395" s="2662"/>
      <c r="D1395" s="2662"/>
      <c r="E1395" s="2662"/>
      <c r="F1395" s="2662"/>
      <c r="G1395" s="2662"/>
      <c r="H1395" s="2662"/>
      <c r="I1395" s="478" t="s">
        <v>4170</v>
      </c>
      <c r="J1395" s="2351"/>
      <c r="K1395" s="2733">
        <f>'Part VIII-Threshold Criteria'!K301</f>
        <v>4</v>
      </c>
      <c r="L1395" s="2352" t="str">
        <f>IF(K1395&lt;M1395,"Check!!!","")</f>
        <v/>
      </c>
      <c r="M1395" s="2734">
        <f>'Part VIII-Threshold Criteria'!M301</f>
        <v>4</v>
      </c>
      <c r="N1395" s="2735">
        <f>'DCA Underwriting Assumptions'!$Q$136</f>
        <v>0.05</v>
      </c>
      <c r="O1395" s="2703" t="s">
        <v>3662</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4821</v>
      </c>
      <c r="D1397" s="2662"/>
      <c r="E1397" s="2662"/>
      <c r="F1397" s="2662"/>
      <c r="G1397" s="2662"/>
      <c r="H1397" s="2662"/>
      <c r="I1397" s="2736" t="s">
        <v>4171</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4822</v>
      </c>
      <c r="D1399" s="2662"/>
      <c r="E1399" s="2662"/>
      <c r="F1399" s="2662"/>
      <c r="G1399" s="2662"/>
      <c r="H1399" s="2662"/>
      <c r="I1399" s="478" t="s">
        <v>4172</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3906</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3664</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3665</v>
      </c>
      <c r="C1404" s="2355"/>
      <c r="D1404" s="2687"/>
      <c r="E1404" s="2687"/>
      <c r="F1404" s="2687"/>
      <c r="G1404" s="2687"/>
      <c r="H1404" s="2687"/>
      <c r="I1404" s="2687" t="s">
        <v>3787</v>
      </c>
      <c r="J1404" s="2687"/>
      <c r="K1404" s="2687"/>
      <c r="L1404" s="2687" t="str">
        <f>'Part VIII-Threshold Criteria'!L310</f>
        <v>Zeffert and Associates</v>
      </c>
      <c r="M1404" s="2687">
        <f>'Part VIII-Threshold Criteria'!M310</f>
        <v>0</v>
      </c>
      <c r="N1404" s="2687">
        <f>'Part VIII-Threshold Criteria'!N310</f>
        <v>0</v>
      </c>
      <c r="O1404" s="2687"/>
      <c r="P1404" s="2687"/>
      <c r="Q1404" s="2687"/>
    </row>
    <row r="1405" spans="1:17" ht="12.75" customHeight="1">
      <c r="A1405" s="2679"/>
      <c r="B1405" s="2713" t="s">
        <v>1750</v>
      </c>
      <c r="C1405" s="2662" t="s">
        <v>3663</v>
      </c>
      <c r="D1405" s="2662"/>
      <c r="E1405" s="2662"/>
      <c r="F1405" s="2662"/>
      <c r="G1405" s="2662"/>
      <c r="H1405" s="2662"/>
      <c r="I1405" s="2662"/>
      <c r="J1405" s="2662"/>
      <c r="K1405" s="2662"/>
      <c r="L1405" s="2662"/>
      <c r="M1405" s="2662"/>
      <c r="N1405" s="2662"/>
      <c r="O1405" s="2713" t="s">
        <v>3668</v>
      </c>
      <c r="P1405" s="2714" t="str">
        <f>'Part VIII-Threshold Criteria'!P311</f>
        <v>Yes</v>
      </c>
      <c r="Q1405" s="2714">
        <f>'Part VIII-Threshold Criteria'!Q311</f>
        <v>0</v>
      </c>
    </row>
    <row r="1406" spans="1:17" ht="12.75" customHeight="1">
      <c r="A1406" s="2679"/>
      <c r="B1406" s="2713" t="s">
        <v>1751</v>
      </c>
      <c r="C1406" s="2662" t="s">
        <v>3708</v>
      </c>
      <c r="D1406" s="2662"/>
      <c r="E1406" s="2662"/>
      <c r="F1406" s="2662"/>
      <c r="G1406" s="2662"/>
      <c r="H1406" s="2662"/>
      <c r="I1406" s="2662"/>
      <c r="J1406" s="2662"/>
      <c r="K1406" s="2662"/>
      <c r="L1406" s="2662"/>
      <c r="M1406" s="2662"/>
      <c r="N1406" s="2662"/>
      <c r="O1406" s="2713" t="s">
        <v>3669</v>
      </c>
      <c r="P1406" s="2714" t="str">
        <f>'Part VIII-Threshold Criteria'!P312</f>
        <v>Yes</v>
      </c>
      <c r="Q1406" s="2714">
        <f>'Part VIII-Threshold Criteria'!Q312</f>
        <v>0</v>
      </c>
    </row>
    <row r="1407" spans="1:17" ht="12.75" customHeight="1">
      <c r="A1407" s="2679"/>
      <c r="B1407" s="2713" t="s">
        <v>1752</v>
      </c>
      <c r="C1407" s="2662" t="s">
        <v>3666</v>
      </c>
      <c r="D1407" s="2662"/>
      <c r="E1407" s="2662"/>
      <c r="F1407" s="2662"/>
      <c r="G1407" s="2662"/>
      <c r="H1407" s="2662"/>
      <c r="I1407" s="2662"/>
      <c r="J1407" s="2662"/>
      <c r="K1407" s="2662"/>
      <c r="L1407" s="2662"/>
      <c r="M1407" s="2662"/>
      <c r="N1407" s="2662"/>
      <c r="O1407" s="2713" t="s">
        <v>3670</v>
      </c>
      <c r="P1407" s="2714" t="str">
        <f>'Part VIII-Threshold Criteria'!P313</f>
        <v>Yes</v>
      </c>
      <c r="Q1407" s="2714">
        <f>'Part VIII-Threshold Criteria'!Q313</f>
        <v>0</v>
      </c>
    </row>
    <row r="1408" spans="1:17" ht="12.75" customHeight="1">
      <c r="A1408" s="2679"/>
      <c r="B1408" s="2713" t="s">
        <v>2381</v>
      </c>
      <c r="C1408" s="2662" t="s">
        <v>3667</v>
      </c>
      <c r="D1408" s="2662"/>
      <c r="E1408" s="2662"/>
      <c r="F1408" s="2662"/>
      <c r="G1408" s="2662"/>
      <c r="H1408" s="2662"/>
      <c r="I1408" s="2662"/>
      <c r="J1408" s="2662"/>
      <c r="K1408" s="2662"/>
      <c r="L1408" s="2662"/>
      <c r="M1408" s="2662"/>
      <c r="N1408" s="2662"/>
      <c r="O1408" s="2713" t="s">
        <v>3671</v>
      </c>
      <c r="P1408" s="2714" t="str">
        <f>'Part VIII-Threshold Criteria'!P314</f>
        <v>Yes</v>
      </c>
      <c r="Q1408" s="2714">
        <f>'Part VIII-Threshold Criteria'!Q314</f>
        <v>0</v>
      </c>
    </row>
    <row r="1409" spans="1:17">
      <c r="B1409" s="2599" t="s">
        <v>3778</v>
      </c>
      <c r="D1409" s="2599"/>
      <c r="E1409" s="2599"/>
      <c r="F1409" s="2599"/>
      <c r="G1409" s="2599"/>
      <c r="H1409" s="2598"/>
      <c r="I1409" s="2660"/>
      <c r="J1409" s="2660"/>
      <c r="K1409" s="2660"/>
      <c r="L1409" s="2562"/>
      <c r="M1409" s="2562"/>
      <c r="N1409" s="2562"/>
      <c r="O1409" s="2562"/>
      <c r="P1409" s="2562"/>
      <c r="Q1409" s="2562"/>
    </row>
    <row r="1410" spans="1:17" ht="191.25">
      <c r="A1410" s="2662" t="str">
        <f>'Part VIII-Threshold Criteria'!A316</f>
        <v>Accessibility and Fair Housing for disabled tenants continues to be an important role and foucs of our development team. The development will be in full compliance.</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4148</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4823</v>
      </c>
      <c r="D1416" s="2598"/>
      <c r="E1416" s="2598"/>
      <c r="F1416" s="2598"/>
      <c r="G1416" s="2598"/>
      <c r="H1416" s="2598"/>
      <c r="I1416" s="2598"/>
      <c r="J1416" s="2598"/>
      <c r="K1416" s="2598"/>
      <c r="L1416" s="2598"/>
      <c r="M1416" s="2598"/>
      <c r="N1416" s="2713"/>
    </row>
    <row r="1417" spans="1:17" ht="12.75" customHeight="1">
      <c r="B1417" s="2662" t="s">
        <v>2898</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 xml:space="preserve">Fiber cement siding or other 30 year warranty product installed on all exterior wall surfaces not already required to be brick </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4824</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t="str">
        <f>'Part VIII-Threshold Criteria'!P329</f>
        <v>No</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t="str">
        <f>'Part VIII-Threshold Criteria'!P330</f>
        <v>No</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3778</v>
      </c>
      <c r="D1426" s="2599"/>
      <c r="E1426" s="2599"/>
      <c r="F1426" s="2599"/>
      <c r="G1426" s="2599"/>
      <c r="H1426" s="2598"/>
      <c r="I1426" s="2660"/>
      <c r="J1426" s="2660"/>
      <c r="K1426" s="2660"/>
      <c r="L1426" s="2562"/>
      <c r="M1426" s="2562"/>
      <c r="N1426" s="2562"/>
      <c r="O1426" s="2562"/>
      <c r="P1426" s="2562"/>
      <c r="Q1426" s="2562"/>
    </row>
    <row r="1427" spans="1:17" ht="292.5">
      <c r="A1427" s="2662" t="str">
        <f>'Part VIII-Threshold Criteria'!A333</f>
        <v>The architectural design of the project represents a type used successfully on numerous prior developments and which has been received well in markets across GA. Exterior will be brick and stone with an attractive, visually appealing design.</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4151</v>
      </c>
      <c r="B1430" s="2545" t="s">
        <v>4190</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3945</v>
      </c>
      <c r="O1431" s="2713" t="s">
        <v>1999</v>
      </c>
      <c r="P1431" s="2668" t="str">
        <f>'Part VIII-Threshold Criteria'!P337</f>
        <v>Yes</v>
      </c>
      <c r="Q1431" s="2668">
        <f>'Part VIII-Threshold Criteria'!Q337</f>
        <v>0</v>
      </c>
    </row>
    <row r="1432" spans="1:17">
      <c r="A1432" s="2699" t="s">
        <v>2001</v>
      </c>
      <c r="B1432" s="1156" t="s">
        <v>4135</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Yes</v>
      </c>
      <c r="Q1433" s="2668">
        <f>'Part VIII-Threshold Criteria'!Q339</f>
        <v>0</v>
      </c>
    </row>
    <row r="1434" spans="1:17">
      <c r="A1434" s="2701" t="s">
        <v>2131</v>
      </c>
      <c r="B1434" s="1156" t="s">
        <v>3870</v>
      </c>
      <c r="O1434" s="2703" t="s">
        <v>2131</v>
      </c>
      <c r="P1434" s="2668" t="str">
        <f>'Part VIII-Threshold Criteria'!P340</f>
        <v>Yes</v>
      </c>
      <c r="Q1434" s="2668">
        <f>'Part VIII-Threshold Criteria'!Q340</f>
        <v>0</v>
      </c>
    </row>
    <row r="1435" spans="1:17">
      <c r="A1435" s="2699" t="s">
        <v>1748</v>
      </c>
      <c r="B1435" s="1156" t="s">
        <v>2901</v>
      </c>
      <c r="N1435" s="2713" t="s">
        <v>1748</v>
      </c>
      <c r="O1435" s="2368" t="str">
        <f>'Part VIII-Threshold Criteria'!O341</f>
        <v>Not Qualified Partnering</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3778</v>
      </c>
      <c r="D1437" s="2599"/>
      <c r="E1437" s="2599"/>
      <c r="F1437" s="2599"/>
      <c r="G1437" s="2599"/>
      <c r="H1437" s="2598"/>
      <c r="I1437" s="2660"/>
      <c r="J1437" s="2660"/>
      <c r="K1437" s="2660"/>
      <c r="L1437" s="2562"/>
      <c r="M1437" s="2562"/>
      <c r="N1437" s="2562"/>
      <c r="O1437" s="2562"/>
      <c r="P1437" s="2562"/>
      <c r="Q1437" s="2562"/>
    </row>
    <row r="1438" spans="1:17" ht="292.5">
      <c r="A1438" s="2662" t="str">
        <f>'Part VIII-Threshold Criteria'!A344</f>
        <v>On May 3rd, Northwest GA Housing Authority was been determined "Partner with a Qualified Certifying Entity) naming REA Ventures Group, LLC, chosen as their partner,  as the qualified entity. REA Ventures Group has been deemed experienced in 2008-2017.</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4152</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3680</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3879</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4136</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3778</v>
      </c>
      <c r="D1445" s="2599"/>
      <c r="E1445" s="2599"/>
      <c r="F1445" s="2599"/>
      <c r="G1445" s="2599"/>
      <c r="H1445" s="2598"/>
      <c r="I1445" s="2660"/>
      <c r="J1445" s="2660"/>
      <c r="K1445" s="2660"/>
      <c r="L1445" s="2562"/>
      <c r="M1445" s="2562"/>
      <c r="N1445" s="2562"/>
      <c r="O1445" s="2562"/>
      <c r="P1445" s="2562"/>
      <c r="Q1445" s="2562"/>
    </row>
    <row r="1446" spans="1:17" ht="123.75">
      <c r="A1446" s="2662" t="str">
        <f>'Part VIII-Threshold Criteria'!A352</f>
        <v>REA Ventures Group, LLC will be the Certifying General Partner and Co-Developer of this project.</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4155</v>
      </c>
      <c r="B1450" s="2544" t="s">
        <v>4122</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4123</v>
      </c>
      <c r="D1451" s="2560"/>
      <c r="E1451" s="2560"/>
      <c r="F1451" s="2560"/>
      <c r="G1451" s="2560"/>
      <c r="H1451" s="2703" t="s">
        <v>1999</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4124</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4114</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4115</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4116</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4117</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4118</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4825</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3390</v>
      </c>
      <c r="B1459" s="2662" t="s">
        <v>4119</v>
      </c>
      <c r="C1459" s="2662"/>
      <c r="D1459" s="2662"/>
      <c r="E1459" s="2662"/>
      <c r="F1459" s="2662"/>
      <c r="G1459" s="2662"/>
      <c r="H1459" s="2662"/>
      <c r="I1459" s="2662"/>
      <c r="J1459" s="2662"/>
      <c r="K1459" s="2662"/>
      <c r="L1459" s="2662"/>
      <c r="M1459" s="2662"/>
      <c r="N1459" s="2662"/>
      <c r="O1459" s="2713" t="s">
        <v>3390</v>
      </c>
      <c r="P1459" s="2714">
        <f>'Part VIII-Threshold Criteria'!P365</f>
        <v>0</v>
      </c>
      <c r="Q1459" s="2714">
        <f>'Part VIII-Threshold Criteria'!Q365</f>
        <v>0</v>
      </c>
    </row>
    <row r="1460" spans="1:17" ht="12.75" customHeight="1">
      <c r="A1460" s="2699" t="s">
        <v>622</v>
      </c>
      <c r="B1460" s="2662" t="s">
        <v>4120</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3778</v>
      </c>
      <c r="D1461" s="2599"/>
      <c r="E1461" s="2599"/>
      <c r="F1461" s="2599"/>
      <c r="G1461" s="2599"/>
      <c r="H1461" s="2598"/>
      <c r="I1461" s="2660"/>
      <c r="J1461" s="2660"/>
      <c r="K1461" s="2660"/>
      <c r="L1461" s="2562"/>
      <c r="M1461" s="2562"/>
      <c r="N1461" s="2562"/>
      <c r="O1461" s="2562"/>
      <c r="P1461" s="2562"/>
      <c r="Q1461" s="2562"/>
    </row>
    <row r="1462" spans="1:17" ht="135">
      <c r="A1462" s="2662" t="str">
        <f>'Part VIII-Threshold Criteria'!A368</f>
        <v>Applicant is not applying in the Non-Profit setaside. Applicant is applying for points under Exceptional PHA category.</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4156</v>
      </c>
      <c r="B1466" s="2544" t="s">
        <v>3946</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3948</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4173</v>
      </c>
      <c r="D1468" s="478"/>
      <c r="E1468" s="478"/>
      <c r="F1468" s="478"/>
      <c r="G1468" s="2659">
        <f>'Part VIII-Threshold Criteria'!G374</f>
        <v>0</v>
      </c>
      <c r="H1468" s="2659">
        <f>'Part VIII-Threshold Criteria'!H374</f>
        <v>0</v>
      </c>
      <c r="I1468" s="2659">
        <f>'Part VIII-Threshold Criteria'!I374</f>
        <v>0</v>
      </c>
      <c r="J1468" s="2660" t="s">
        <v>3955</v>
      </c>
      <c r="K1468" s="2659">
        <f>'Part VIII-Threshold Criteria'!K374</f>
        <v>0</v>
      </c>
      <c r="L1468" s="2659">
        <f>'Part VIII-Threshold Criteria'!L374</f>
        <v>0</v>
      </c>
      <c r="M1468" s="2659">
        <f>'Part VIII-Threshold Criteria'!M374</f>
        <v>0</v>
      </c>
      <c r="N1468" s="478" t="s">
        <v>3947</v>
      </c>
      <c r="O1468" s="478"/>
      <c r="P1468" s="2659">
        <f>'Part VIII-Threshold Criteria'!P374</f>
        <v>0</v>
      </c>
      <c r="Q1468" s="2659">
        <f>'Part VIII-Threshold Criteria'!Q374</f>
        <v>0</v>
      </c>
    </row>
    <row r="1469" spans="1:17">
      <c r="A1469" s="2355"/>
      <c r="B1469" s="478" t="s">
        <v>1751</v>
      </c>
      <c r="C1469" s="478" t="s">
        <v>3949</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3950</v>
      </c>
      <c r="D1470" s="2554"/>
      <c r="E1470" s="2627"/>
      <c r="F1470" s="2704" t="str">
        <f>'Part VIII-Threshold Criteria'!F376</f>
        <v>Urban</v>
      </c>
      <c r="G1470" s="2704">
        <f>'Part VIII-Threshold Criteria'!G376</f>
        <v>0</v>
      </c>
      <c r="H1470" s="2592" t="s">
        <v>3951</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3952</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3962</v>
      </c>
      <c r="O1471" s="2703"/>
      <c r="P1471" s="2668">
        <f>'Part VIII-Threshold Criteria'!P377</f>
        <v>0</v>
      </c>
      <c r="Q1471" s="2668">
        <f>'Part VIII-Threshold Criteria'!Q377</f>
        <v>0</v>
      </c>
    </row>
    <row r="1472" spans="1:17">
      <c r="A1472" s="2701"/>
      <c r="B1472" s="478" t="s">
        <v>1561</v>
      </c>
      <c r="C1472" s="478" t="s">
        <v>3953</v>
      </c>
      <c r="D1472" s="2355"/>
      <c r="E1472" s="478"/>
      <c r="F1472" s="2739">
        <f>'Part VIII-Threshold Criteria'!F378</f>
        <v>950000</v>
      </c>
      <c r="G1472" s="2739">
        <f>'Part VIII-Threshold Criteria'!G378</f>
        <v>0</v>
      </c>
      <c r="H1472" s="478" t="s">
        <v>3954</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3956</v>
      </c>
      <c r="D1473" s="2355"/>
      <c r="E1473" s="478"/>
      <c r="F1473" s="478"/>
      <c r="G1473" s="478"/>
      <c r="H1473" s="478" t="s">
        <v>3616</v>
      </c>
      <c r="I1473" s="478"/>
      <c r="J1473" s="2739">
        <f>'Part VIII-Threshold Criteria'!J379</f>
        <v>0</v>
      </c>
      <c r="K1473" s="2739">
        <f>'Part VIII-Threshold Criteria'!K379</f>
        <v>0</v>
      </c>
      <c r="L1473" s="478" t="s">
        <v>3957</v>
      </c>
      <c r="M1473" s="2739">
        <f>'Part VIII-Threshold Criteria'!M379</f>
        <v>0</v>
      </c>
      <c r="N1473" s="2739">
        <f>'Part VIII-Threshold Criteria'!N379</f>
        <v>0</v>
      </c>
      <c r="O1473" s="2355"/>
      <c r="P1473" s="2355"/>
      <c r="Q1473" s="2355"/>
    </row>
    <row r="1474" spans="1:17">
      <c r="A1474" s="2355"/>
      <c r="B1474" s="478" t="s">
        <v>99</v>
      </c>
      <c r="C1474" s="478" t="s">
        <v>3958</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3959</v>
      </c>
      <c r="C1476" s="2355"/>
      <c r="D1476" s="2627"/>
      <c r="E1476" s="2627"/>
      <c r="F1476" s="2627"/>
      <c r="G1476" s="2627"/>
      <c r="H1476" s="2627"/>
      <c r="I1476" s="2355"/>
      <c r="J1476" s="478" t="s">
        <v>3964</v>
      </c>
      <c r="K1476" s="478"/>
      <c r="L1476" s="478"/>
      <c r="M1476" s="478"/>
      <c r="N1476" s="2627" t="s">
        <v>3961</v>
      </c>
      <c r="O1476" s="2627"/>
      <c r="P1476" s="2627"/>
      <c r="Q1476" s="2627"/>
    </row>
    <row r="1477" spans="1:17">
      <c r="A1477" s="2355"/>
      <c r="B1477" s="478" t="s">
        <v>1750</v>
      </c>
      <c r="C1477" s="2598" t="s">
        <v>3960</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3963</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3965</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3778</v>
      </c>
      <c r="D1480" s="2599"/>
      <c r="E1480" s="2599"/>
      <c r="F1480" s="2599"/>
      <c r="G1480" s="2599"/>
      <c r="H1480" s="2598"/>
      <c r="I1480" s="2660"/>
      <c r="J1480" s="2660"/>
      <c r="K1480" s="2660"/>
      <c r="L1480" s="2562"/>
      <c r="M1480" s="2562"/>
      <c r="N1480" s="2562"/>
      <c r="O1480" s="2562"/>
      <c r="P1480" s="2562"/>
      <c r="Q1480" s="2562"/>
    </row>
    <row r="1481" spans="1:17" ht="56.25">
      <c r="A1481" s="2662" t="str">
        <f>'Part VIII-Threshold Criteria'!A387</f>
        <v>Applicant is not applying in the Rural Home Set Aside.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4157</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3485</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3495</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3723</v>
      </c>
      <c r="G1490" s="2592"/>
      <c r="H1490" s="2592"/>
      <c r="I1490" s="2592"/>
      <c r="J1490" s="2598" t="s">
        <v>3724</v>
      </c>
      <c r="L1490" s="2592"/>
      <c r="M1490" s="2742">
        <f>'Part III-Sources of Funds'!E1105</f>
        <v>0</v>
      </c>
      <c r="N1490" s="2742"/>
      <c r="O1490" s="2703" t="s">
        <v>2131</v>
      </c>
      <c r="P1490" s="2668">
        <f>'Part VIII-Threshold Criteria'!P396</f>
        <v>0</v>
      </c>
      <c r="Q1490" s="2668">
        <f>'Part VIII-Threshold Criteria'!Q396</f>
        <v>0</v>
      </c>
    </row>
    <row r="1491" spans="1:17">
      <c r="B1491" s="2599" t="s">
        <v>3778</v>
      </c>
      <c r="D1491" s="2599"/>
      <c r="E1491" s="2599"/>
      <c r="F1491" s="2599"/>
      <c r="G1491" s="2599"/>
      <c r="H1491" s="2598"/>
      <c r="I1491" s="2660"/>
      <c r="J1491" s="2660"/>
      <c r="K1491" s="2660"/>
      <c r="L1491" s="2562"/>
      <c r="M1491" s="2562"/>
      <c r="N1491" s="2562"/>
      <c r="O1491" s="2562"/>
      <c r="P1491" s="2562"/>
      <c r="Q1491" s="2562"/>
    </row>
    <row r="1492" spans="1:17" ht="45">
      <c r="A1492" s="2662" t="str">
        <f>'Part VIII-Threshold Criteria'!A398</f>
        <v>Applicant is not applying in the CHDO set aside.</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4158</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t="str">
        <f>'Part VIII-Threshold Criteria'!P403</f>
        <v>No</v>
      </c>
      <c r="Q1497" s="2668">
        <f>'Part VIII-Threshold Criteria'!Q403</f>
        <v>0</v>
      </c>
    </row>
    <row r="1498" spans="1:17">
      <c r="A1498" s="2701" t="s">
        <v>2001</v>
      </c>
      <c r="B1498" s="478" t="s">
        <v>3606</v>
      </c>
      <c r="D1498" s="2662"/>
      <c r="E1498" s="2662"/>
      <c r="O1498" s="2703" t="s">
        <v>2001</v>
      </c>
      <c r="P1498" s="2668" t="str">
        <f>'Part VIII-Threshold Criteria'!P404</f>
        <v>No</v>
      </c>
      <c r="Q1498" s="2668">
        <f>'Part VIII-Threshold Criteria'!Q404</f>
        <v>0</v>
      </c>
    </row>
    <row r="1499" spans="1:17">
      <c r="A1499" s="2701" t="s">
        <v>757</v>
      </c>
      <c r="B1499" s="478" t="s">
        <v>4121</v>
      </c>
      <c r="D1499" s="2662"/>
      <c r="E1499" s="2662"/>
      <c r="O1499" s="2703" t="s">
        <v>757</v>
      </c>
      <c r="P1499" s="2668" t="str">
        <f>'Part VIII-Threshold Criteria'!P405</f>
        <v>No</v>
      </c>
      <c r="Q1499" s="2668">
        <f>'Part VIII-Threshold Criteria'!Q405</f>
        <v>0</v>
      </c>
    </row>
    <row r="1500" spans="1:17">
      <c r="A1500" s="2701" t="s">
        <v>2131</v>
      </c>
      <c r="B1500" s="478" t="s">
        <v>3607</v>
      </c>
      <c r="E1500" s="2687"/>
      <c r="O1500" s="2703" t="s">
        <v>2131</v>
      </c>
      <c r="P1500" s="2668" t="str">
        <f>'Part VIII-Threshold Criteria'!P406</f>
        <v>Yes</v>
      </c>
      <c r="Q1500" s="2668">
        <f>'Part VIII-Threshold Criteria'!Q406</f>
        <v>0</v>
      </c>
    </row>
    <row r="1501" spans="1:17" ht="78.75">
      <c r="A1501" s="2701" t="s">
        <v>1748</v>
      </c>
      <c r="B1501" s="478" t="s">
        <v>2095</v>
      </c>
      <c r="E1501" s="2687"/>
      <c r="G1501" s="2703" t="s">
        <v>1748</v>
      </c>
      <c r="H1501" s="2627" t="str">
        <f>'Part VIII-Threshold Criteria'!H407</f>
        <v>Real Estate Tax Opinion-Applicant will not be paying real estate taxes on this property.</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t="str">
        <f>'Part VIII-Threshold Criteria'!P407</f>
        <v>Yes</v>
      </c>
      <c r="Q1501" s="2668">
        <f>'Part VIII-Threshold Criteria'!Q407</f>
        <v>0</v>
      </c>
    </row>
    <row r="1502" spans="1:17">
      <c r="B1502" s="2599" t="s">
        <v>3778</v>
      </c>
      <c r="D1502" s="2599"/>
      <c r="E1502" s="2599"/>
      <c r="F1502" s="2599"/>
      <c r="G1502" s="2599"/>
      <c r="H1502" s="2598"/>
      <c r="I1502" s="2660"/>
      <c r="J1502" s="2660"/>
      <c r="K1502" s="2660"/>
      <c r="L1502" s="2562"/>
      <c r="M1502" s="2562"/>
      <c r="N1502" s="2562"/>
      <c r="O1502" s="2562"/>
      <c r="P1502" s="2562"/>
      <c r="Q1502" s="2562"/>
    </row>
    <row r="1503" spans="1:17" ht="90">
      <c r="A1503" s="2662" t="str">
        <f>'Part VIII-Threshold Criteria'!A409</f>
        <v>A legal opinion for eligibility as a scattered site is submitted with this application.</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4159</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3497</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3496</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3593</v>
      </c>
      <c r="C1512" s="478" t="s">
        <v>3594</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2832</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3778</v>
      </c>
      <c r="D1521" s="2599"/>
      <c r="E1521" s="2599"/>
      <c r="F1521" s="2599"/>
      <c r="G1521" s="2599"/>
      <c r="H1521" s="2598"/>
      <c r="I1521" s="2660"/>
      <c r="J1521" s="2660"/>
      <c r="K1521" s="2660"/>
      <c r="P1521" s="2562"/>
      <c r="Q1521" s="2562"/>
    </row>
    <row r="1522" spans="1:17" ht="326.25">
      <c r="A1522" s="2662" t="str">
        <f>'Part VIII-Threshold Criteria'!A428</f>
        <v>Altoview Terrace will not displace any residents since it is vacant land with the exception of 1 building that has been vacant since 2013 and will be demolished during the rehab. RAD residents from another property will be relocated to this site once construction is completed.</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4160</v>
      </c>
      <c r="B1526" s="2544" t="s">
        <v>2833</v>
      </c>
      <c r="C1526" s="2544"/>
      <c r="D1526" s="2659"/>
      <c r="E1526" s="2665"/>
      <c r="F1526" s="2665"/>
      <c r="G1526" s="2665"/>
      <c r="H1526" s="2665"/>
      <c r="O1526" s="2661" t="s">
        <v>1881</v>
      </c>
      <c r="P1526" s="2570">
        <f>'Part VIII-Threshold Criteria'!P432</f>
        <v>0</v>
      </c>
      <c r="Q1526" s="2570">
        <f>'Part VIII-Threshold Criteria'!Q432</f>
        <v>0</v>
      </c>
    </row>
    <row r="1527" spans="1:17">
      <c r="B1527" s="2659" t="s">
        <v>3966</v>
      </c>
      <c r="C1527" s="2544"/>
      <c r="D1527" s="2659"/>
      <c r="E1527" s="2665"/>
      <c r="F1527" s="2665"/>
      <c r="G1527" s="2665"/>
      <c r="H1527" s="2665"/>
    </row>
    <row r="1528" spans="1:17" ht="12.75" customHeight="1">
      <c r="A1528" s="2699" t="s">
        <v>1999</v>
      </c>
      <c r="B1528" s="2662" t="s">
        <v>3969</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3967</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3968</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3970</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3971</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3972</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3973</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3974</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3975</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3498</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3778</v>
      </c>
      <c r="D1538" s="2599"/>
      <c r="E1538" s="2599"/>
      <c r="F1538" s="2599"/>
      <c r="G1538" s="2599"/>
      <c r="H1538" s="2598"/>
      <c r="I1538" s="2660"/>
      <c r="J1538" s="2660"/>
      <c r="K1538" s="2660"/>
      <c r="L1538" s="2562"/>
      <c r="M1538" s="2562"/>
      <c r="N1538" s="2562"/>
      <c r="O1538" s="2562"/>
      <c r="P1538" s="2562"/>
      <c r="Q1538" s="2562"/>
    </row>
    <row r="1539" spans="1:17" ht="101.25">
      <c r="A1539" s="2662" t="str">
        <f>'Part VIII-Threshold Criteria'!A445</f>
        <v>NWGHA along with REA Ventures Group has and will continue to facilitate AFFH.</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4161</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3778</v>
      </c>
      <c r="D1544" s="2599"/>
      <c r="E1544" s="2599"/>
      <c r="F1544" s="2599"/>
      <c r="G1544" s="2599"/>
      <c r="H1544" s="2598"/>
      <c r="I1544" s="2660"/>
      <c r="J1544" s="2660"/>
      <c r="K1544" s="2660"/>
      <c r="L1544" s="2562"/>
      <c r="M1544" s="2562"/>
      <c r="N1544" s="2562"/>
      <c r="O1544" s="2562"/>
      <c r="P1544" s="2562"/>
      <c r="Q1544" s="2562"/>
    </row>
    <row r="1545" spans="1:17" ht="409.5">
      <c r="A1545" s="2662" t="str">
        <f>'Part VIII-Threshold Criteria'!A451</f>
        <v>This new construction project will be a great addition of affordable housing opportunities for the residents of Rome, GA with all 66 units receiving PBV.  Additionally 15% (10 units) will be set aside as Supportive Housing Targeted Population Preference units. Eventhough there is RAD on all units, NWGHA is commiting project based vouchers for minimum of 10 years, to cover the resdients portion of the rent.  The Rome MSA has very low median incomes and as such this property had to be structured as a no-debt deal.</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2018-045 Altoview Terrace,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4826</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61</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2801</v>
      </c>
      <c r="C1562" s="2544"/>
      <c r="D1562" s="2544"/>
      <c r="E1562" s="2544"/>
      <c r="F1562" s="2660"/>
      <c r="G1562" s="2355"/>
      <c r="H1562" s="2626" t="s">
        <v>4827</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3672</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2782</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4828</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4192</v>
      </c>
      <c r="D1567" s="478"/>
      <c r="E1567" s="478"/>
      <c r="F1567" s="478"/>
      <c r="G1567" s="2626"/>
      <c r="H1567" s="2357" t="s">
        <v>4828</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3871</v>
      </c>
      <c r="B1568" s="2587"/>
      <c r="C1568" s="2587"/>
      <c r="D1568" s="2587"/>
      <c r="E1568" s="2587"/>
      <c r="F1568" s="2660" t="s">
        <v>4195</v>
      </c>
      <c r="G1568" s="2355"/>
      <c r="H1568" s="2355"/>
      <c r="I1568" s="2355"/>
      <c r="J1568" s="2660" t="s">
        <v>4195</v>
      </c>
      <c r="K1568" s="2660"/>
      <c r="L1568" s="2355"/>
      <c r="M1568" s="2355"/>
      <c r="N1568" s="2355"/>
      <c r="O1568" s="478" t="s">
        <v>4195</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3608</v>
      </c>
      <c r="H1569" s="2704"/>
      <c r="I1569" s="2704"/>
      <c r="J1569" s="2563">
        <f>SUM(J1570:J1581)</f>
        <v>0</v>
      </c>
      <c r="K1569" s="2659" t="s">
        <v>3392</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2923</v>
      </c>
      <c r="K1572" s="2433">
        <f>'Part IX A-Scoring Criteria'!K18</f>
        <v>3</v>
      </c>
      <c r="L1572" s="2433">
        <f>'Part IX A-Scoring Criteria'!L18</f>
        <v>0</v>
      </c>
      <c r="M1572" s="2433">
        <f>'Part IX A-Scoring Criteria'!M18</f>
        <v>0</v>
      </c>
      <c r="N1572" s="2433">
        <f>'Part IX A-Scoring Criteria'!N18</f>
        <v>0</v>
      </c>
      <c r="O1572" s="2737" t="s">
        <v>2923</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2923</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3609</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3610</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3611</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3612</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4829</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4196</v>
      </c>
      <c r="B1583" s="478" t="s">
        <v>4197</v>
      </c>
      <c r="C1583" s="478"/>
      <c r="D1583" s="478"/>
      <c r="E1583" s="2474" t="s">
        <v>4226</v>
      </c>
      <c r="F1583" s="478" t="s">
        <v>4225</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409.5">
      <c r="A1584" s="2762" t="s">
        <v>750</v>
      </c>
      <c r="B1584" s="2763" t="s">
        <v>4198</v>
      </c>
      <c r="C1584" s="2433"/>
      <c r="D1584" s="2433"/>
      <c r="E1584" s="2764">
        <f>'Part IX A-Scoring Criteria'!E30</f>
        <v>10</v>
      </c>
      <c r="F1584" s="2667" t="str">
        <f>'Part IX A-Scoring Criteria'!F30</f>
        <v xml:space="preserve"> The desirables have been measured from the center point in between both sites. Kroger Grocery Store, Boys and Girsl Club, East Central Elementary, are desirables within .5 and 1.5 miles of the site. The following desirables are within .5 miles of the site: Banty Jones Park, Rome Childrens Academy License # CCLC-3455), Rome/Floyd Fire Dept and Greater Mt. Calvary Baptist Church.   We do not feel there are any 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4199</v>
      </c>
      <c r="C1585" s="2433"/>
      <c r="D1585" s="2433"/>
      <c r="E1585" s="2764">
        <f>'Part IX A-Scoring Criteria'!E31</f>
        <v>3</v>
      </c>
      <c r="F1585" s="2667" t="str">
        <f>'Part IX A-Scoring Criteria'!F31</f>
        <v xml:space="preserve">Altoview has committed to comply with the Enterprise Foundation Green Communities Certification program and achieve ten additional points over the baseline certification level. The applicant has worked with SK Collaborative- an Enterprise Qualified TA Provider- to develop a compliant worksheet to achieve this standard. Currently, Altoview is tracking 66 points in the program including compliance with all mandatory program requirements.  Basic certification level requires 35 points (plus 10) for compliance. 45 total </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4200</v>
      </c>
      <c r="C1586" s="2433"/>
      <c r="D1586" s="2433"/>
      <c r="E1586" s="2764">
        <f>'Part IX A-Scoring Criteria'!E32</f>
        <v>3</v>
      </c>
      <c r="F1586" s="2667" t="str">
        <f>'Part IX A-Scoring Criteria'!F32</f>
        <v xml:space="preserve">The site also qualifies for 2 points under Workforce Housing Need as 11,890 jobs were identified by "On the Map" within a 2-mile radius of the site.  This is a great city with opportunities for jobs, NWGHA is a actively involved in moving residents to work. </v>
      </c>
      <c r="G1586" s="2667"/>
      <c r="H1586" s="2667"/>
      <c r="I1586" s="2667"/>
      <c r="J1586" s="2667"/>
      <c r="K1586" s="2667"/>
      <c r="L1586" s="2667"/>
      <c r="M1586" s="2667"/>
      <c r="N1586" s="2667"/>
      <c r="O1586" s="2704" t="s">
        <v>2923</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4201</v>
      </c>
      <c r="C1587" s="2433"/>
      <c r="D1587" s="2433"/>
      <c r="E1587" s="2764">
        <f>'Part IX A-Scoring Criteria'!E33</f>
        <v>7</v>
      </c>
      <c r="F1587" s="2667" t="str">
        <f>'Part IX A-Scoring Criteria'!F33</f>
        <v xml:space="preserve">The city of Rome has also dedicated financial improvements in the area of the proposed project. The housing authority has been instrumental in the improvement of South Rome. </v>
      </c>
      <c r="G1587" s="2667"/>
      <c r="H1587" s="2667"/>
      <c r="I1587" s="2667"/>
      <c r="J1587" s="2667"/>
      <c r="K1587" s="2667"/>
      <c r="L1587" s="2667"/>
      <c r="M1587" s="2667"/>
      <c r="N1587" s="2667"/>
      <c r="O1587" s="2704" t="s">
        <v>2923</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4202</v>
      </c>
      <c r="C1588" s="2433"/>
      <c r="D1588" s="2433"/>
      <c r="E1588" s="2765" t="str">
        <f>'Part IX A-Scoring Criteria'!E34</f>
        <v>n/a</v>
      </c>
      <c r="F1588" s="2667" t="str">
        <f>'Part IX A-Scoring Criteria'!F34</f>
        <v>The Project Team selected commits to continue and improve upon community outreach in the area of Rome, GA. NWGHA has a presence in the community and wonderful working  relationships to continue their success in individual and family wellness. NWGHA has been and will continue to be financially attached to the community.  They will coordinate and continue a transforation strategy which includes the area of the proposed project. Ongoing community meetings are held to encourage feedback and participation in strenghting their community.</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3817</v>
      </c>
      <c r="C1589" s="2433"/>
      <c r="D1589" s="2433"/>
      <c r="E1589" s="2764">
        <f>'Part IX A-Scoring Criteria'!E35</f>
        <v>0</v>
      </c>
      <c r="F1589" s="2667" t="str">
        <f>'Part IX A-Scoring Criteria'!F35</f>
        <v xml:space="preserve">South Rome is not a HUD Choice Neighborhood or Purpose Built Community.  We could have attempted these points but felt the Communtiy Transfomation was more appropriate for our project than the Purpose Built Communities selection. </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4203</v>
      </c>
      <c r="C1590" s="2433"/>
      <c r="D1590" s="2433"/>
      <c r="E1590" s="2765">
        <f>'Part IX A-Scoring Criteria'!E36</f>
        <v>0</v>
      </c>
      <c r="F1590" s="2667" t="str">
        <f>'Part IX A-Scoring Criteria'!F36</f>
        <v>We are not taking the Priority Point for this project.</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4516</v>
      </c>
      <c r="B1591" s="2763" t="s">
        <v>4517</v>
      </c>
      <c r="C1591" s="2433"/>
      <c r="D1591" s="2433"/>
      <c r="E1591" s="2765">
        <f>'Part IX A-Scoring Criteria'!E37</f>
        <v>3</v>
      </c>
      <c r="F1591" s="2667" t="str">
        <f>'Part IX A-Scoring Criteria'!F37</f>
        <v xml:space="preserve">According to Georgia DCA's online GIS mapping system (.http://georgia-dca.maps.arcgis.com), there have never been any LIHTC awards within a mile of the development site.  Therefore, Altoview is eligible for three (3) points under Previous Projects (Flexible Pool) since the site is not within a 1-mile radius of a Georgia Housing Credit development that has received an award in the last Six (6) DCA funding cycles.  											</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4149</v>
      </c>
      <c r="B1592" s="2763" t="s">
        <v>4204</v>
      </c>
      <c r="C1592" s="2433"/>
      <c r="D1592" s="2433"/>
      <c r="E1592" s="2764">
        <f>'Part IX A-Scoring Criteria'!E38</f>
        <v>1</v>
      </c>
      <c r="F1592" s="2667" t="str">
        <f>'Part IX A-Scoring Criteria'!F38</f>
        <v>Rome Redevleopment Authority has supplied the Applicant with the GICH letter for this community. A support letter as well as a targeted area letter have been included in this application.  Member of the GICH team is also one of our quarterback club.</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4150</v>
      </c>
      <c r="B1593" s="2763" t="s">
        <v>4205</v>
      </c>
      <c r="C1593" s="2433"/>
      <c r="D1593" s="2433"/>
      <c r="E1593" s="2764">
        <f>'Part IX A-Scoring Criteria'!E39</f>
        <v>1</v>
      </c>
      <c r="F1593" s="2667" t="str">
        <f>'Part IX A-Scoring Criteria'!F39</f>
        <v>Altoview Terrace, LP will execute a 70 year ground lease at receipt of tax credit award.  See attached documents in site control.</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4148</v>
      </c>
      <c r="B1594" s="2763" t="s">
        <v>4206</v>
      </c>
      <c r="C1594" s="2433"/>
      <c r="D1594" s="2433"/>
      <c r="E1594" s="2764">
        <f>'Part IX A-Scoring Criteria'!E40</f>
        <v>3</v>
      </c>
      <c r="F1594" s="2667" t="str">
        <f>'Part IX A-Scoring Criteria'!F40</f>
        <v xml:space="preserve">We have set aside 15% (10) of the units for Integrated Supportive Housing Targeted Population Preference units. Eventhough there is RAD on all units, NWGHA is commiting project based vouchers for minimum of 10 years, to cover the resdients portion of the rent. The rent rate will be the same and these units are included in the breakdown of rents above. </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4151</v>
      </c>
      <c r="B1595" s="2763" t="s">
        <v>4207</v>
      </c>
      <c r="C1595" s="2433"/>
      <c r="D1595" s="2433"/>
      <c r="E1595" s="2765">
        <f>'Part IX A-Scoring Criteria'!E41</f>
        <v>0</v>
      </c>
      <c r="F1595" s="2667" t="str">
        <f>'Part IX A-Scoring Criteria'!F41</f>
        <v>There are no qualifying builings on site that would accommodate Historic Preservation efforts.</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3613</v>
      </c>
      <c r="C1597" s="2766"/>
      <c r="D1597" s="2766"/>
      <c r="E1597" s="478"/>
      <c r="F1597" s="2766"/>
      <c r="G1597" s="2659"/>
      <c r="H1597" s="478"/>
      <c r="I1597" s="2767" t="s">
        <v>3511</v>
      </c>
      <c r="J1597" s="2766"/>
      <c r="K1597" s="2766"/>
      <c r="L1597" s="2766"/>
      <c r="M1597" s="2563">
        <v>3</v>
      </c>
      <c r="N1597" s="2554"/>
      <c r="O1597" s="2747">
        <f>'Part IX A-Scoring Criteria'!O43</f>
        <v>3</v>
      </c>
      <c r="P1597" s="2747">
        <f>'Part IX A-Scoring Criteria'!P43</f>
        <v>0</v>
      </c>
      <c r="Q1597" s="2563" t="s">
        <v>443</v>
      </c>
      <c r="R1597" s="2711" t="str">
        <f>IF(OR($O1597=$M1597,$O1597=0,$O1597=""),"","* * Check Score! * *")</f>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3614</v>
      </c>
      <c r="I1599" s="2518"/>
      <c r="J1599" s="2770">
        <f>'Part VI-Revenues &amp; Expenses'!$O$60</f>
        <v>66</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3615</v>
      </c>
      <c r="C1600" s="2518"/>
      <c r="D1600" s="2518"/>
      <c r="E1600" s="2518"/>
      <c r="F1600" s="2518"/>
      <c r="G1600" s="2704"/>
      <c r="H1600" s="2773" t="s">
        <v>3616</v>
      </c>
      <c r="I1600" s="2773" t="s">
        <v>3617</v>
      </c>
      <c r="J1600" s="2704"/>
      <c r="K1600" s="478" t="s">
        <v>3394</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3741</v>
      </c>
      <c r="H1601" s="2627"/>
      <c r="I1601" s="2627"/>
      <c r="J1601" s="2627"/>
      <c r="K1601" s="2493" t="s">
        <v>3616</v>
      </c>
      <c r="L1601" s="2493" t="s">
        <v>3617</v>
      </c>
      <c r="M1601" s="2562">
        <v>2</v>
      </c>
      <c r="N1601" s="2774" t="s">
        <v>1999</v>
      </c>
      <c r="O1601" s="2775">
        <f>'Part IX A-Scoring Criteria'!O47</f>
        <v>0</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3393</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3364</v>
      </c>
      <c r="B1603" s="2777" t="s">
        <v>2004</v>
      </c>
      <c r="C1603" s="2778">
        <v>0.2</v>
      </c>
      <c r="D1603" s="2687" t="s">
        <v>3393</v>
      </c>
      <c r="E1603" s="2779"/>
      <c r="F1603" s="2779"/>
      <c r="G1603" s="2779"/>
      <c r="H1603" s="2780">
        <f>'Part IX A-Scoring Criteria'!H49</f>
        <v>0</v>
      </c>
      <c r="I1603" s="2780">
        <f>'Part IX A-Scoring Criteria'!I49</f>
        <v>0</v>
      </c>
      <c r="J1603" s="2779"/>
      <c r="K1603" s="2709">
        <f>'Part IX A-Scoring Criteria'!K49</f>
        <v>0</v>
      </c>
      <c r="L1603" s="2709">
        <f>'Part IX A-Scoring Criteria'!L49</f>
        <v>0</v>
      </c>
      <c r="M1603" s="2557">
        <v>2</v>
      </c>
      <c r="N1603" s="2774" t="s">
        <v>2004</v>
      </c>
      <c r="O1603" s="2775">
        <f>'Part IX A-Scoring Criteria'!O49</f>
        <v>0</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4830</v>
      </c>
      <c r="C1605" s="2779"/>
      <c r="D1605" s="2779"/>
      <c r="E1605" s="2725"/>
      <c r="F1605" s="2779"/>
      <c r="G1605" s="2779"/>
      <c r="H1605" s="2627" t="s">
        <v>3676</v>
      </c>
      <c r="I1605" s="2627"/>
      <c r="J1605" s="2779"/>
      <c r="K1605" s="2779"/>
      <c r="L1605" s="2779"/>
      <c r="M1605" s="2562">
        <v>3</v>
      </c>
      <c r="N1605" s="2713" t="s">
        <v>2001</v>
      </c>
      <c r="O1605" s="2775">
        <f>'Part IX A-Scoring Criteria'!O51</f>
        <v>3</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3675</v>
      </c>
      <c r="E1606" s="2725"/>
      <c r="F1606" s="2736"/>
      <c r="G1606" s="2779"/>
      <c r="H1606" s="2780">
        <f>'Part IX A-Scoring Criteria'!H52</f>
        <v>66</v>
      </c>
      <c r="I1606" s="2780">
        <f>'Part IX A-Scoring Criteria'!I52</f>
        <v>0</v>
      </c>
      <c r="J1606" s="2781"/>
      <c r="K1606" s="2709">
        <f>'Part IX A-Scoring Criteria'!K52</f>
        <v>1</v>
      </c>
      <c r="L1606" s="2709">
        <f>'Part IX A-Scoring Criteria'!L52</f>
        <v>0</v>
      </c>
      <c r="M1606" s="2557"/>
      <c r="N1606" s="2774" t="s">
        <v>2002</v>
      </c>
      <c r="O1606" s="2775" t="str">
        <f>'Part IX A-Scoring Criteria'!O52</f>
        <v>Yes</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3990</v>
      </c>
      <c r="D1607" s="2779"/>
      <c r="E1607" s="2782"/>
      <c r="F1607" s="2736"/>
      <c r="G1607" s="2779"/>
      <c r="H1607" s="2779"/>
      <c r="I1607" s="2743"/>
      <c r="J1607" s="2743"/>
      <c r="K1607" s="2743"/>
      <c r="L1607" s="2743"/>
      <c r="M1607" s="2743"/>
      <c r="N1607" s="2774" t="s">
        <v>2004</v>
      </c>
      <c r="O1607" s="2668" t="str">
        <f>'Part IX A-Scoring Criteria'!O53</f>
        <v>Yes</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4144</v>
      </c>
      <c r="C1611" s="2748"/>
      <c r="D1611" s="2784"/>
      <c r="E1611" s="2748"/>
      <c r="F1611" s="2748"/>
      <c r="G1611" s="2748"/>
      <c r="H1611" s="2748"/>
      <c r="I1611" s="2518" t="s">
        <v>3794</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3883</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2736</v>
      </c>
      <c r="H1614" s="2748"/>
      <c r="I1614" s="2587" t="s">
        <v>4831</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2724</v>
      </c>
      <c r="S1614" s="2748"/>
      <c r="T1614" s="2748"/>
      <c r="U1614" s="2748"/>
      <c r="V1614" s="2748"/>
      <c r="W1614" s="2748"/>
      <c r="X1614" s="2748"/>
      <c r="Y1614" s="2748"/>
      <c r="Z1614" s="2748"/>
    </row>
    <row r="1615" spans="1:26" ht="16.5">
      <c r="A1615" s="2581" t="s">
        <v>2001</v>
      </c>
      <c r="B1615" s="2570" t="s">
        <v>3872</v>
      </c>
      <c r="C1615" s="2748"/>
      <c r="D1615" s="2784"/>
      <c r="E1615" s="2748"/>
      <c r="F1615" s="2789"/>
      <c r="G1615" s="2357" t="s">
        <v>4022</v>
      </c>
      <c r="H1615" s="2748"/>
      <c r="I1615" s="2587"/>
      <c r="J1615" s="2587"/>
      <c r="K1615" s="2587"/>
      <c r="L1615" s="2587"/>
      <c r="M1615" s="2660" t="s">
        <v>1250</v>
      </c>
      <c r="N1615" s="2703" t="s">
        <v>2001</v>
      </c>
      <c r="O1615" s="2786">
        <f>'Part IX A-Scoring Criteria'!O61</f>
        <v>0</v>
      </c>
      <c r="P1615" s="2786">
        <f>'Part IX A-Scoring Criteria'!P61</f>
        <v>0</v>
      </c>
      <c r="Q1615" s="2748"/>
      <c r="R1615" s="2788" t="s">
        <v>2724</v>
      </c>
      <c r="S1615" s="2748"/>
      <c r="T1615" s="2748"/>
      <c r="U1615" s="2748"/>
      <c r="V1615" s="2748"/>
      <c r="W1615" s="2748"/>
      <c r="X1615" s="2748"/>
      <c r="Y1615" s="2748"/>
      <c r="Z1615" s="2748"/>
    </row>
    <row r="1616" spans="1:26" ht="15">
      <c r="A1616" s="2355"/>
      <c r="B1616" s="2767" t="s">
        <v>3779</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 xml:space="preserve"> The desirables have been measured from the center point in between both sites. Kroger Grocery Store, Boys and Girsl Club, East Central Elementary, are desirables within .5 and 1.5 miles of the site. The following desirables are within .5 miles of the site: Banty Jones Park, Rome Childrens Academy License # CCLC-3455), Rome/Floyd Fire Dept and Greater Mt. Calvary Baptist Church.   We do not feel there are any 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3</v>
      </c>
      <c r="P1621" s="2747">
        <f>'Part IX A-Scoring Criteria'!P67</f>
        <v>0</v>
      </c>
      <c r="Q1621" s="2563" t="s">
        <v>443</v>
      </c>
      <c r="R1621" s="2791" t="s">
        <v>4832</v>
      </c>
      <c r="S1621" s="2791"/>
      <c r="T1621" s="2791"/>
      <c r="U1621" s="2791"/>
      <c r="V1621" s="2748"/>
      <c r="W1621" s="2748"/>
      <c r="X1621" s="2748"/>
      <c r="Y1621" s="2748"/>
      <c r="Z1621" s="2748"/>
    </row>
    <row r="1622" spans="1:26" ht="15">
      <c r="A1622" s="2749"/>
      <c r="B1622" s="2556" t="s">
        <v>3993</v>
      </c>
      <c r="C1622" s="2748"/>
      <c r="D1622" s="2784"/>
      <c r="E1622" s="2748"/>
      <c r="F1622" s="2748"/>
      <c r="G1622" s="2748"/>
      <c r="H1622" s="2570" t="s">
        <v>2811</v>
      </c>
      <c r="I1622" s="2605"/>
      <c r="J1622" s="2570" t="str">
        <f>'Part I-Project Information'!$H$100</f>
        <v>Flexible</v>
      </c>
      <c r="K1622" s="2556"/>
      <c r="L1622" s="2748"/>
      <c r="M1622" s="2563"/>
      <c r="N1622" s="2703"/>
      <c r="O1622" s="2792" t="s">
        <v>3619</v>
      </c>
      <c r="P1622" s="2792" t="s">
        <v>3620</v>
      </c>
      <c r="Q1622" s="2563"/>
      <c r="R1622" s="2791"/>
      <c r="S1622" s="2791"/>
      <c r="T1622" s="2791"/>
      <c r="U1622" s="2791"/>
      <c r="V1622" s="2748"/>
      <c r="W1622" s="2748"/>
      <c r="X1622" s="2748"/>
      <c r="Y1622" s="2748"/>
      <c r="Z1622" s="2748"/>
    </row>
    <row r="1623" spans="1:26" ht="15">
      <c r="A1623" s="2749"/>
      <c r="B1623" s="2793" t="s">
        <v>2002</v>
      </c>
      <c r="C1623" s="1156" t="s">
        <v>3618</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3991</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3992</v>
      </c>
      <c r="D1625" s="2784"/>
      <c r="E1625" s="2748"/>
      <c r="F1625" s="2748"/>
      <c r="G1625" s="2748"/>
      <c r="H1625" s="2767"/>
      <c r="I1625" s="2626"/>
      <c r="J1625" s="2556"/>
      <c r="K1625" s="2556"/>
      <c r="L1625" s="2748"/>
      <c r="M1625" s="2748"/>
      <c r="N1625" s="2703"/>
      <c r="O1625" s="2668" t="str">
        <f>'Part IX A-Scoring Criteria'!O71</f>
        <v>Yes</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4000</v>
      </c>
      <c r="C1627" s="2748"/>
      <c r="D1627" s="2784"/>
      <c r="E1627" s="2748"/>
      <c r="F1627" s="2556" t="s">
        <v>3742</v>
      </c>
      <c r="G1627" s="2556"/>
      <c r="H1627" s="2556"/>
      <c r="I1627" s="2556"/>
      <c r="J1627" s="2556" t="s">
        <v>3743</v>
      </c>
      <c r="K1627" s="2556"/>
      <c r="L1627" s="2556"/>
      <c r="M1627" s="2556"/>
      <c r="N1627" s="2703"/>
      <c r="O1627" s="2519" t="s">
        <v>4833</v>
      </c>
      <c r="P1627" s="2794"/>
      <c r="Q1627" s="2563"/>
      <c r="R1627" s="2791"/>
      <c r="S1627" s="2791"/>
      <c r="T1627" s="2791"/>
      <c r="U1627" s="2791"/>
      <c r="V1627" s="2748"/>
      <c r="W1627" s="2748"/>
      <c r="X1627" s="2748"/>
      <c r="Y1627" s="2748"/>
      <c r="Z1627" s="2748"/>
    </row>
    <row r="1628" spans="1:26" ht="15">
      <c r="A1628" s="2749"/>
      <c r="B1628" s="2748"/>
      <c r="C1628" s="2556" t="s">
        <v>3999</v>
      </c>
      <c r="D1628" s="2440"/>
      <c r="E1628" s="2363"/>
      <c r="F1628" s="2367">
        <f>'Part IX A-Scoring Criteria'!F74</f>
        <v>34.235461999999998</v>
      </c>
      <c r="G1628" s="2367">
        <f>'Part IX A-Scoring Criteria'!G74</f>
        <v>0</v>
      </c>
      <c r="H1628" s="2367">
        <f>'Part IX A-Scoring Criteria'!H74</f>
        <v>0</v>
      </c>
      <c r="I1628" s="2367">
        <f>'Part IX A-Scoring Criteria'!I74</f>
        <v>0</v>
      </c>
      <c r="J1628" s="2367">
        <f>'Part IX A-Scoring Criteria'!J74</f>
        <v>-85.166060000000002</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4001</v>
      </c>
      <c r="E1629" s="2363"/>
      <c r="F1629" s="2367">
        <f>'Part IX A-Scoring Criteria'!F75</f>
        <v>34.235157000000001</v>
      </c>
      <c r="G1629" s="2367">
        <f>'Part IX A-Scoring Criteria'!G75</f>
        <v>0</v>
      </c>
      <c r="H1629" s="2367">
        <f>'Part IX A-Scoring Criteria'!H75</f>
        <v>0</v>
      </c>
      <c r="I1629" s="2367">
        <f>'Part IX A-Scoring Criteria'!I75</f>
        <v>0</v>
      </c>
      <c r="J1629" s="2367">
        <f>'Part IX A-Scoring Criteria'!J75</f>
        <v>-85.167231999999998</v>
      </c>
      <c r="K1629" s="2367">
        <f>'Part IX A-Scoring Criteria'!K75</f>
        <v>0</v>
      </c>
      <c r="L1629" s="2367">
        <f>'Part IX A-Scoring Criteria'!L75</f>
        <v>0</v>
      </c>
      <c r="M1629" s="2367">
        <f>'Part IX A-Scoring Criteria'!M75</f>
        <v>0</v>
      </c>
      <c r="N1629" s="2703"/>
      <c r="O1629" s="2795">
        <f>'Part IX A-Scoring Criteria'!O75</f>
        <v>0.01</v>
      </c>
      <c r="P1629" s="2795">
        <f>'Part IX A-Scoring Criteria'!P75</f>
        <v>0</v>
      </c>
      <c r="Q1629" s="2563"/>
      <c r="R1629" s="2791"/>
      <c r="S1629" s="2791"/>
      <c r="T1629" s="2791"/>
      <c r="U1629" s="2791"/>
      <c r="V1629" s="2748"/>
      <c r="W1629" s="2748"/>
      <c r="X1629" s="2748"/>
      <c r="Y1629" s="2748"/>
      <c r="Z1629" s="2748"/>
    </row>
    <row r="1630" spans="1:26" ht="15" customHeight="1">
      <c r="A1630" s="2653" t="s">
        <v>4191</v>
      </c>
      <c r="B1630" s="2653"/>
      <c r="C1630" s="2556" t="s">
        <v>4142</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4140</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0.01</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2802</v>
      </c>
      <c r="B1633" s="2750"/>
      <c r="C1633" s="2748"/>
      <c r="D1633" s="2784"/>
      <c r="E1633" s="2748"/>
      <c r="F1633" s="2797" t="s">
        <v>4834</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3772</v>
      </c>
      <c r="C1634" s="2748"/>
      <c r="D1634" s="2784"/>
      <c r="E1634" s="2748"/>
      <c r="F1634" s="2767" t="s">
        <v>4835</v>
      </c>
      <c r="G1634" s="2748"/>
      <c r="H1634" s="2748"/>
      <c r="I1634" s="2798" t="s">
        <v>4836</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4837</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2724</v>
      </c>
      <c r="S1635" s="2799"/>
      <c r="T1635" s="2799"/>
      <c r="U1635" s="2799"/>
      <c r="V1635" s="2799"/>
      <c r="W1635" s="2799"/>
      <c r="X1635" s="2799"/>
      <c r="Y1635" s="2799"/>
      <c r="Z1635" s="2799"/>
    </row>
    <row r="1636" spans="1:26" ht="15" customHeight="1">
      <c r="A1636" s="2668" t="s">
        <v>1365</v>
      </c>
      <c r="B1636" s="2800" t="s">
        <v>2004</v>
      </c>
      <c r="C1636" s="2687" t="s">
        <v>4838</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2724</v>
      </c>
      <c r="S1636" s="2799"/>
      <c r="T1636" s="2799"/>
      <c r="U1636" s="2799"/>
      <c r="V1636" s="2799"/>
      <c r="W1636" s="2799"/>
      <c r="X1636" s="2799"/>
      <c r="Y1636" s="2799"/>
      <c r="Z1636" s="2799"/>
    </row>
    <row r="1637" spans="1:26" ht="15" customHeight="1">
      <c r="A1637" s="2799"/>
      <c r="B1637" s="2800" t="s">
        <v>2551</v>
      </c>
      <c r="C1637" s="2687" t="s">
        <v>3773</v>
      </c>
      <c r="D1637" s="2687"/>
      <c r="E1637" s="2687"/>
      <c r="F1637" s="2687"/>
      <c r="G1637" s="2703" t="s">
        <v>4139</v>
      </c>
      <c r="H1637" s="2695" t="str">
        <f>'Part I-Project Information'!$H$78</f>
        <v>Family</v>
      </c>
      <c r="I1637" s="2433" t="str">
        <f>'Part IX A-Scoring Criteria'!I83</f>
        <v>Route Two A and Route Two B</v>
      </c>
      <c r="J1637" s="2433">
        <f>'Part IX A-Scoring Criteria'!J83</f>
        <v>0</v>
      </c>
      <c r="K1637" s="2433">
        <f>'Part IX A-Scoring Criteria'!K83</f>
        <v>0</v>
      </c>
      <c r="L1637" s="2802">
        <f>'Part IX A-Scoring Criteria'!L83</f>
        <v>0</v>
      </c>
      <c r="M1637" s="2801">
        <v>1</v>
      </c>
      <c r="N1637" s="2793" t="s">
        <v>2551</v>
      </c>
      <c r="O1637" s="2786">
        <f>'Part IX A-Scoring Criteria'!O83</f>
        <v>0</v>
      </c>
      <c r="P1637" s="2786">
        <f>'Part IX A-Scoring Criteria'!P83</f>
        <v>0</v>
      </c>
      <c r="Q1637" s="2787" t="str">
        <f t="shared" si="321"/>
        <v/>
      </c>
      <c r="R1637" s="2788" t="s">
        <v>2724</v>
      </c>
      <c r="S1637" s="2799"/>
      <c r="T1637" s="2799"/>
      <c r="U1637" s="2799"/>
      <c r="V1637" s="2799"/>
      <c r="W1637" s="2799"/>
      <c r="X1637" s="2799"/>
      <c r="Y1637" s="2799"/>
      <c r="Z1637" s="2799"/>
    </row>
    <row r="1638" spans="1:26" ht="15">
      <c r="A1638" s="2702" t="s">
        <v>2001</v>
      </c>
      <c r="B1638" s="2803" t="s">
        <v>3774</v>
      </c>
      <c r="C1638" s="1327"/>
      <c r="D1638" s="1327"/>
      <c r="E1638" s="1327"/>
      <c r="F1638" s="2804" t="s">
        <v>4839</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3</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4840</v>
      </c>
      <c r="D1639" s="2627"/>
      <c r="E1639" s="2627"/>
      <c r="F1639" s="2627"/>
      <c r="G1639" s="2627"/>
      <c r="H1639" s="2627"/>
      <c r="I1639" s="2433" t="str">
        <f>'Part IX A-Scoring Criteria'!I85</f>
        <v>https://www.romefloyd.com/departments/transit-department</v>
      </c>
      <c r="J1639" s="2433">
        <f>'Part IX A-Scoring Criteria'!J85</f>
        <v>0</v>
      </c>
      <c r="K1639" s="2433">
        <f>'Part IX A-Scoring Criteria'!K85</f>
        <v>0</v>
      </c>
      <c r="L1639" s="2433">
        <f>'Part IX A-Scoring Criteria'!L85</f>
        <v>0</v>
      </c>
      <c r="M1639" s="2801">
        <v>3</v>
      </c>
      <c r="N1639" s="2793" t="s">
        <v>2002</v>
      </c>
      <c r="O1639" s="2786">
        <f>'Part IX A-Scoring Criteria'!O85</f>
        <v>3</v>
      </c>
      <c r="P1639" s="2786">
        <f>'Part IX A-Scoring Criteria'!P85</f>
        <v>0</v>
      </c>
      <c r="Q1639" s="2787" t="str">
        <f>IF(OR($O1639=$M1639,$O1639=0,$O1639=""),"","*CHECK!*")</f>
        <v/>
      </c>
      <c r="R1639" s="2788" t="s">
        <v>2724</v>
      </c>
      <c r="S1639" s="2799"/>
      <c r="T1639" s="2799"/>
      <c r="U1639" s="2799"/>
      <c r="V1639" s="2799"/>
      <c r="W1639" s="2799"/>
      <c r="X1639" s="2799"/>
      <c r="Y1639" s="2799"/>
      <c r="Z1639" s="2799"/>
    </row>
    <row r="1640" spans="1:26" ht="15" customHeight="1">
      <c r="A1640" s="2714" t="s">
        <v>1365</v>
      </c>
      <c r="B1640" s="2800" t="s">
        <v>2004</v>
      </c>
      <c r="C1640" s="2627" t="s">
        <v>4841</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2724</v>
      </c>
      <c r="S1640" s="2748"/>
      <c r="T1640" s="2748"/>
      <c r="U1640" s="2748"/>
      <c r="V1640" s="2748"/>
      <c r="W1640" s="2748"/>
      <c r="X1640" s="2748"/>
      <c r="Y1640" s="2748"/>
      <c r="Z1640" s="2748"/>
    </row>
    <row r="1641" spans="1:26" ht="15" customHeight="1">
      <c r="A1641" s="2714" t="s">
        <v>1365</v>
      </c>
      <c r="B1641" s="2800" t="s">
        <v>2551</v>
      </c>
      <c r="C1641" s="2662" t="s">
        <v>4842</v>
      </c>
      <c r="D1641" s="2662"/>
      <c r="E1641" s="2662"/>
      <c r="F1641" s="2662"/>
      <c r="G1641" s="2662"/>
      <c r="H1641" s="2662"/>
      <c r="I1641" s="2433" t="str">
        <f>'Part IX A-Scoring Criteria'!I87</f>
        <v>https://www.romefloyd.com/system/resources/W1siZiIsIjIwMTUvMDMvMjAvMjMvMDUvMDAvMTk3L1JURF9NYXAuSlBHIl1d/RTD%20Map.JPG?sha=97e2b8bf8afb8371</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2724</v>
      </c>
      <c r="S1641" s="2748"/>
      <c r="T1641" s="2748"/>
      <c r="U1641" s="2748"/>
      <c r="V1641" s="2748"/>
      <c r="W1641" s="2748"/>
      <c r="X1641" s="2748"/>
      <c r="Y1641" s="2748"/>
      <c r="Z1641" s="2748"/>
    </row>
    <row r="1642" spans="1:26" ht="15">
      <c r="A1642" s="2796" t="s">
        <v>2804</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4843</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2724</v>
      </c>
      <c r="S1643" s="2766"/>
      <c r="T1643" s="2766"/>
      <c r="U1643" s="2766"/>
      <c r="V1643" s="2766"/>
      <c r="W1643" s="2766"/>
      <c r="X1643" s="2766"/>
      <c r="Y1643" s="2766"/>
      <c r="Z1643" s="2766"/>
    </row>
    <row r="1644" spans="1:26" ht="15">
      <c r="A1644" s="478" t="s">
        <v>4844</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3</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4845</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Enterprise Foundation Green Communities - 10 Pts &gt; Min</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2811</v>
      </c>
      <c r="C1651" s="2748"/>
      <c r="D1651" s="2748"/>
      <c r="E1651" s="2748"/>
      <c r="F1651" s="2748"/>
      <c r="G1651" s="2784"/>
      <c r="H1651" s="2784"/>
      <c r="I1651" s="2812" t="str">
        <f>'Part I-Project Information'!$H$100</f>
        <v>Flexible</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4003</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4008</v>
      </c>
      <c r="D1653" s="2811"/>
      <c r="E1653" s="2811"/>
      <c r="F1653" s="2811"/>
      <c r="G1653" s="2811"/>
      <c r="H1653" s="2811"/>
      <c r="I1653" s="2747">
        <f>'Part IX A-Scoring Criteria'!I99</f>
        <v>45</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4009</v>
      </c>
      <c r="D1654" s="2811"/>
      <c r="E1654" s="2811"/>
      <c r="F1654" s="2811"/>
      <c r="G1654" s="2811"/>
      <c r="H1654" s="2811"/>
      <c r="I1654" s="2747">
        <f>'Part IX A-Scoring Criteria'!I100</f>
        <v>66</v>
      </c>
      <c r="J1654" s="2747">
        <f>'Part IX A-Scoring Criteria'!J100</f>
        <v>0</v>
      </c>
      <c r="K1654" s="2602"/>
      <c r="L1654" s="2811"/>
      <c r="M1654" s="2811"/>
      <c r="N1654" s="2811"/>
      <c r="O1654" s="2811" t="s">
        <v>4017</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4846</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2724</v>
      </c>
    </row>
    <row r="1657" spans="1:26" ht="13.5" customHeight="1">
      <c r="A1657" s="2581" t="s">
        <v>2001</v>
      </c>
      <c r="B1657" s="2570" t="s">
        <v>312</v>
      </c>
      <c r="D1657" s="2355"/>
      <c r="E1657" s="2355"/>
      <c r="K1657" s="2525"/>
      <c r="L1657" s="2525"/>
      <c r="M1657" s="2801">
        <v>1</v>
      </c>
      <c r="N1657" s="2703" t="s">
        <v>2001</v>
      </c>
      <c r="O1657" s="2786">
        <f>'Part IX A-Scoring Criteria'!O103</f>
        <v>0</v>
      </c>
      <c r="P1657" s="2786">
        <f>'Part IX A-Scoring Criteria'!P103</f>
        <v>0</v>
      </c>
      <c r="Q1657" s="2787" t="str">
        <f t="shared" ref="Q1657:Q1659" si="323">IF(OR($O1657=$M1657,$O1657=0,$O1657=""),"","*CHECK!*")</f>
        <v/>
      </c>
      <c r="R1657" s="2788" t="s">
        <v>2724</v>
      </c>
    </row>
    <row r="1658" spans="1:26" ht="13.5" customHeight="1">
      <c r="A1658" s="2581" t="s">
        <v>757</v>
      </c>
      <c r="B1658" s="2570" t="s">
        <v>4847</v>
      </c>
      <c r="D1658" s="2355"/>
      <c r="E1658" s="2355"/>
      <c r="F1658" s="2355"/>
      <c r="K1658" s="2525"/>
      <c r="L1658" s="2525"/>
      <c r="M1658" s="2801">
        <v>3</v>
      </c>
      <c r="N1658" s="2703" t="s">
        <v>757</v>
      </c>
      <c r="O1658" s="2786">
        <f>'Part IX A-Scoring Criteria'!O104</f>
        <v>3</v>
      </c>
      <c r="P1658" s="2786">
        <f>'Part IX A-Scoring Criteria'!P104</f>
        <v>0</v>
      </c>
      <c r="Q1658" s="2787" t="str">
        <f t="shared" si="323"/>
        <v/>
      </c>
      <c r="R1658" s="2788" t="s">
        <v>2724</v>
      </c>
    </row>
    <row r="1659" spans="1:26" ht="13.5" customHeight="1">
      <c r="A1659" s="2581" t="s">
        <v>2131</v>
      </c>
      <c r="B1659" s="2570" t="s">
        <v>3803</v>
      </c>
      <c r="D1659" s="2355"/>
      <c r="E1659" s="2355"/>
      <c r="F1659" s="478" t="s">
        <v>4019</v>
      </c>
      <c r="J1659" s="2563" t="str">
        <f>'Part IX A-Scoring Criteria'!J105</f>
        <v>&lt;Select &gt;</v>
      </c>
      <c r="K1659" s="2525"/>
      <c r="L1659" s="2525"/>
      <c r="M1659" s="2801">
        <v>1</v>
      </c>
      <c r="N1659" s="2703" t="s">
        <v>2131</v>
      </c>
      <c r="O1659" s="2786">
        <f>'Part IX A-Scoring Criteria'!O105</f>
        <v>0</v>
      </c>
      <c r="P1659" s="2786">
        <f>'Part IX A-Scoring Criteria'!P105</f>
        <v>0</v>
      </c>
      <c r="Q1659" s="2787" t="str">
        <f t="shared" si="323"/>
        <v/>
      </c>
      <c r="R1659" s="2788" t="s">
        <v>2724</v>
      </c>
    </row>
    <row r="1660" spans="1:26" ht="15">
      <c r="A1660" s="2355"/>
      <c r="B1660" s="2767" t="s">
        <v>3779</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 xml:space="preserve">Altoview has committed to comply with the Enterprise Foundation Green Communities Certification program and achieve ten additional points over the baseline certification level. The applicant has worked with SK Collaborative- an Enterprise Qualified TA Provider- to develop a compliant worksheet to achieve this standard. Currently, Altoview is tracking 66 points in the program including compliance with all mandatory program requirements.  Basic certification level requires 35 points (plus 10) for compliance. 45 total </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4020</v>
      </c>
      <c r="C1665" s="2748"/>
      <c r="D1665" s="478"/>
      <c r="E1665" s="478"/>
      <c r="F1665" s="2563"/>
      <c r="G1665" s="2563"/>
      <c r="H1665" s="2563"/>
      <c r="I1665" s="2797" t="s">
        <v>4834</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4021</v>
      </c>
      <c r="C1667" s="2766"/>
      <c r="D1667" s="2784"/>
      <c r="E1667" s="1156" t="s">
        <v>4146</v>
      </c>
      <c r="F1667" s="2748"/>
      <c r="G1667" s="2695"/>
      <c r="H1667" s="2748"/>
      <c r="I1667" s="2703" t="s">
        <v>4139</v>
      </c>
      <c r="J1667" s="2695" t="str">
        <f>'Part I-Project Information'!$H$78</f>
        <v>Family</v>
      </c>
      <c r="K1667" s="2784"/>
      <c r="L1667" s="2711" t="str">
        <f>IF(OR($O1667=$M1667,$O1667=0,$O1667=""),"","* * Check Score! * *")</f>
        <v/>
      </c>
      <c r="M1667" s="2554">
        <v>3</v>
      </c>
      <c r="N1667" s="2703" t="s">
        <v>1999</v>
      </c>
      <c r="O1667" s="2747">
        <f>'Part IX A-Scoring Criteria'!O113</f>
        <v>3</v>
      </c>
      <c r="P1667" s="2747">
        <f>'Part IX A-Scoring Criteria'!P113</f>
        <v>0</v>
      </c>
      <c r="Q1667" s="2787" t="str">
        <f>IF(OR($O1667=$M1667,$O1667=0,$O1667=""),"","*CHECK!*")</f>
        <v/>
      </c>
      <c r="R1667" s="2788" t="s">
        <v>2724</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4023</v>
      </c>
      <c r="C1669" s="2766"/>
      <c r="D1669" s="2813"/>
      <c r="E1669" s="2407" t="s">
        <v>4255</v>
      </c>
      <c r="F1669" s="2748"/>
      <c r="G1669" s="2695"/>
      <c r="H1669" s="2748"/>
      <c r="I1669" s="2814"/>
      <c r="J1669" s="2784"/>
      <c r="K1669" s="2748"/>
      <c r="L1669" s="2711" t="str">
        <f>IF(OR($O1669&lt;=$M1669,$O1669=0,$O1669=""),"","* * Check Score! * *")</f>
        <v/>
      </c>
      <c r="M1669" s="2550">
        <v>3</v>
      </c>
      <c r="N1669" s="2703" t="s">
        <v>2001</v>
      </c>
      <c r="O1669" s="2747">
        <f>'Part IX A-Scoring Criteria'!O115</f>
        <v>0</v>
      </c>
      <c r="P1669" s="2747">
        <f>'Part IX A-Scoring Criteria'!P115</f>
        <v>0</v>
      </c>
      <c r="Q1669" s="2815"/>
      <c r="R1669" s="2815"/>
      <c r="S1669" s="2815"/>
      <c r="T1669" s="2815"/>
      <c r="U1669" s="2748"/>
      <c r="V1669" s="2748"/>
      <c r="W1669" s="2748"/>
      <c r="X1669" s="2748"/>
      <c r="Y1669" s="2748"/>
      <c r="Z1669" s="2748"/>
    </row>
    <row r="1670" spans="1:26" ht="18.75">
      <c r="A1670" s="2701"/>
      <c r="B1670" s="2816" t="s">
        <v>4176</v>
      </c>
      <c r="C1670" s="2598"/>
      <c r="D1670" s="2731"/>
      <c r="E1670" s="2731"/>
      <c r="F1670" s="2731"/>
      <c r="G1670" s="478"/>
      <c r="H1670" s="2817" t="str">
        <f>'Part IX A-Scoring Criteria'!H116</f>
        <v>&lt;&lt;Select&gt;&gt;</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22.5">
      <c r="A1671" s="2701"/>
      <c r="B1671" s="478"/>
      <c r="C1671" s="2818" t="s">
        <v>4177</v>
      </c>
      <c r="D1671" s="2627">
        <f>'Part IX A-Scoring Criteria'!D117</f>
        <v>0</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4024</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0</v>
      </c>
      <c r="P1673" s="2747">
        <f>'Part IX A-Scoring Criteria'!P119</f>
        <v>0</v>
      </c>
      <c r="Q1673" s="2787" t="str">
        <f>IF(OR($O1673=$M1673,$O1673=0,$O1673=""),"","*CHECK!*")</f>
        <v/>
      </c>
      <c r="R1673" s="2788" t="s">
        <v>2724</v>
      </c>
      <c r="S1673" s="2815"/>
      <c r="T1673" s="2815"/>
      <c r="U1673" s="2766"/>
      <c r="V1673" s="2766"/>
      <c r="W1673" s="2766"/>
      <c r="X1673" s="2766"/>
      <c r="Y1673" s="2766"/>
      <c r="Z1673" s="2766"/>
    </row>
    <row r="1674" spans="1:26" ht="18.75">
      <c r="A1674" s="2581"/>
      <c r="B1674" s="2819"/>
      <c r="C1674" s="478" t="s">
        <v>4025</v>
      </c>
      <c r="D1674" s="2766"/>
      <c r="E1674" s="478"/>
      <c r="F1674" s="478"/>
      <c r="G1674" s="478"/>
      <c r="H1674" s="2766"/>
      <c r="I1674" s="2766"/>
      <c r="J1674" s="2766"/>
      <c r="K1674" s="2766"/>
      <c r="L1674" s="2766"/>
      <c r="M1674" s="2557"/>
      <c r="N1674" s="2557"/>
      <c r="O1674" s="2668">
        <f>'Part IX A-Scoring Criteria'!O120</f>
        <v>0</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4848</v>
      </c>
      <c r="D1675" s="2357" t="s">
        <v>4147</v>
      </c>
      <c r="E1675" s="2766"/>
      <c r="F1675" s="478"/>
      <c r="G1675" s="478"/>
      <c r="H1675" s="2518">
        <f>'Part IX A-Scoring Criteria'!H121</f>
        <v>0</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4028</v>
      </c>
      <c r="D1676" s="2766"/>
      <c r="E1676" s="478"/>
      <c r="F1676" s="478"/>
      <c r="G1676" s="478"/>
      <c r="H1676" s="2766"/>
      <c r="I1676" s="2766"/>
      <c r="J1676" s="2766"/>
      <c r="K1676" s="2766"/>
      <c r="L1676" s="2766"/>
      <c r="M1676" s="2554"/>
      <c r="N1676" s="2713" t="s">
        <v>3808</v>
      </c>
      <c r="O1676" s="2668">
        <f>'Part IX A-Scoring Criteria'!O122</f>
        <v>0</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4029</v>
      </c>
      <c r="D1677" s="478"/>
      <c r="E1677" s="478"/>
      <c r="F1677" s="478"/>
      <c r="G1677" s="478"/>
      <c r="H1677" s="478"/>
      <c r="I1677" s="478"/>
      <c r="J1677" s="478"/>
      <c r="K1677" s="478"/>
      <c r="L1677" s="478"/>
      <c r="M1677" s="2660"/>
      <c r="N1677" s="2703" t="s">
        <v>3809</v>
      </c>
      <c r="O1677" s="2668">
        <f>'Part IX A-Scoring Criteria'!O123</f>
        <v>0</v>
      </c>
      <c r="P1677" s="2668">
        <f>'Part IX A-Scoring Criteria'!P123</f>
        <v>0</v>
      </c>
      <c r="Q1677" s="2815"/>
      <c r="R1677" s="2815"/>
      <c r="S1677" s="2815"/>
      <c r="T1677" s="2815"/>
      <c r="U1677" s="478"/>
      <c r="V1677" s="478"/>
      <c r="W1677" s="478"/>
      <c r="X1677" s="478"/>
      <c r="Y1677" s="478"/>
      <c r="Z1677" s="478"/>
    </row>
    <row r="1678" spans="1:26">
      <c r="A1678" s="2701"/>
      <c r="B1678" s="1156"/>
      <c r="C1678" s="1156" t="s">
        <v>4174</v>
      </c>
      <c r="D1678" s="1156"/>
      <c r="E1678" s="478"/>
      <c r="F1678" s="478"/>
      <c r="G1678" s="478"/>
      <c r="H1678" s="1156"/>
      <c r="I1678" s="1156"/>
      <c r="J1678" s="1156"/>
      <c r="K1678" s="1156"/>
      <c r="L1678" s="2725" t="s">
        <v>3845</v>
      </c>
      <c r="M1678" s="2725"/>
      <c r="N1678" s="2725"/>
      <c r="O1678" s="2725" t="s">
        <v>3844</v>
      </c>
      <c r="P1678" s="2725"/>
      <c r="Q1678" s="478"/>
      <c r="R1678" s="1156"/>
      <c r="S1678" s="1156"/>
      <c r="T1678" s="1156"/>
      <c r="U1678" s="1156"/>
      <c r="V1678" s="1156"/>
      <c r="W1678" s="1156"/>
      <c r="X1678" s="1156"/>
      <c r="Y1678" s="1156"/>
      <c r="Z1678" s="1156"/>
    </row>
    <row r="1679" spans="1:26">
      <c r="A1679" s="2701"/>
      <c r="B1679" s="2703"/>
      <c r="C1679" s="2662">
        <f>'Part IX A-Scoring Criteria'!C125</f>
        <v>0</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&lt;&lt; Select &gt;&gt;</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c r="A1680" s="2701"/>
      <c r="B1680" s="2713"/>
      <c r="C1680" s="2662">
        <f>'Part IX A-Scoring Criteria'!C126</f>
        <v>0</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&lt;&lt; Select &gt;&gt;</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c r="A1681" s="2701"/>
      <c r="B1681" s="2703"/>
      <c r="C1681" s="2662">
        <f>'Part IX A-Scoring Criteria'!C127</f>
        <v>0</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&lt;&lt; Select &gt;&gt;</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&lt;&lt; Select &gt;&gt;</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4849</v>
      </c>
      <c r="D1683" s="478" t="s">
        <v>4030</v>
      </c>
      <c r="E1683" s="478"/>
      <c r="F1683" s="478"/>
      <c r="G1683" s="478"/>
      <c r="H1683" s="2766"/>
      <c r="I1683" s="2766"/>
      <c r="J1683" s="2766"/>
      <c r="K1683" s="2766"/>
      <c r="L1683" s="2766"/>
      <c r="M1683" s="2766"/>
      <c r="N1683" s="2713" t="s">
        <v>3808</v>
      </c>
      <c r="O1683" s="2668">
        <f>'Part IX A-Scoring Criteria'!O129</f>
        <v>0</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4031</v>
      </c>
      <c r="E1684" s="478"/>
      <c r="F1684" s="478"/>
      <c r="G1684" s="478"/>
      <c r="H1684" s="2766"/>
      <c r="I1684" s="2766"/>
      <c r="J1684" s="2766"/>
      <c r="K1684" s="2766"/>
      <c r="L1684" s="2766"/>
      <c r="M1684" s="2554"/>
      <c r="N1684" s="2703" t="s">
        <v>3809</v>
      </c>
      <c r="O1684" s="2668">
        <f>'Part IX A-Scoring Criteria'!O130</f>
        <v>0</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4179</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4208</v>
      </c>
      <c r="D1686" s="2701"/>
      <c r="E1686" s="2701"/>
      <c r="F1686" s="2701"/>
      <c r="G1686" s="2668">
        <f>'Part IX A-Scoring Criteria'!G132</f>
        <v>0</v>
      </c>
      <c r="H1686" s="2668">
        <f>'Part IX A-Scoring Criteria'!H132</f>
        <v>0</v>
      </c>
      <c r="I1686" s="2598" t="s">
        <v>4211</v>
      </c>
      <c r="J1686" s="1156"/>
      <c r="K1686" s="1156"/>
      <c r="L1686" s="2701"/>
      <c r="M1686" s="2701"/>
      <c r="N1686" s="2701"/>
      <c r="O1686" s="2668">
        <f>'Part IX A-Scoring Criteria'!O132</f>
        <v>0</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4209</v>
      </c>
      <c r="D1687" s="2701"/>
      <c r="E1687" s="2701"/>
      <c r="F1687" s="2701"/>
      <c r="G1687" s="2668">
        <f>'Part IX A-Scoring Criteria'!G133</f>
        <v>0</v>
      </c>
      <c r="H1687" s="2668">
        <f>'Part IX A-Scoring Criteria'!H133</f>
        <v>0</v>
      </c>
      <c r="I1687" s="478" t="s">
        <v>4212</v>
      </c>
      <c r="J1687" s="1156"/>
      <c r="K1687" s="1156"/>
      <c r="L1687" s="2701"/>
      <c r="M1687" s="2701"/>
      <c r="N1687" s="2701"/>
      <c r="O1687" s="2668">
        <f>'Part IX A-Scoring Criteria'!O133</f>
        <v>0</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4210</v>
      </c>
      <c r="D1688" s="2701"/>
      <c r="E1688" s="2701"/>
      <c r="F1688" s="2701"/>
      <c r="G1688" s="2668">
        <f>'Part IX A-Scoring Criteria'!G134</f>
        <v>0</v>
      </c>
      <c r="H1688" s="2668">
        <f>'Part IX A-Scoring Criteria'!H134</f>
        <v>0</v>
      </c>
      <c r="I1688" s="2598" t="s">
        <v>4213</v>
      </c>
      <c r="J1688" s="1156"/>
      <c r="K1688" s="1156"/>
      <c r="L1688" s="2701"/>
      <c r="M1688" s="2701"/>
      <c r="N1688" s="2701"/>
      <c r="O1688" s="2668">
        <f>'Part IX A-Scoring Criteria'!O134</f>
        <v>0</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3846</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0</v>
      </c>
      <c r="P1691" s="2747">
        <f>'Part IX A-Scoring Criteria'!P137</f>
        <v>0</v>
      </c>
      <c r="Q1691" s="2787" t="str">
        <f>IF(OR($O1691=$M1691,$O1691=0,$O1691=""),"","*CHECK!*")</f>
        <v/>
      </c>
      <c r="R1691" s="2788" t="s">
        <v>2724</v>
      </c>
      <c r="S1691" s="2815"/>
      <c r="T1691" s="2815"/>
      <c r="U1691" s="2815"/>
      <c r="V1691" s="2799"/>
      <c r="W1691" s="2799"/>
      <c r="X1691" s="2799"/>
      <c r="Y1691" s="2799"/>
      <c r="Z1691" s="2799"/>
    </row>
    <row r="1692" spans="1:26" ht="18.75">
      <c r="A1692" s="2701"/>
      <c r="B1692" s="478"/>
      <c r="C1692" s="478" t="s">
        <v>4032</v>
      </c>
      <c r="D1692" s="2731"/>
      <c r="E1692" s="2731"/>
      <c r="F1692" s="2731"/>
      <c r="G1692" s="2731"/>
      <c r="H1692" s="2731"/>
      <c r="I1692" s="2731"/>
      <c r="J1692" s="2731"/>
      <c r="K1692" s="2731"/>
      <c r="L1692" s="2731"/>
      <c r="M1692" s="2660"/>
      <c r="N1692" s="478"/>
      <c r="O1692" s="2668">
        <f>'Part IX A-Scoring Criteria'!O138</f>
        <v>0</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4850</v>
      </c>
      <c r="D1693" s="2731"/>
      <c r="E1693" s="2731"/>
      <c r="F1693" s="2731"/>
      <c r="G1693" s="2598" t="s">
        <v>4034</v>
      </c>
      <c r="H1693" s="478"/>
      <c r="I1693" s="2731"/>
      <c r="J1693" s="2731"/>
      <c r="K1693" s="2731"/>
      <c r="L1693" s="2731"/>
      <c r="M1693" s="2703" t="s">
        <v>2451</v>
      </c>
      <c r="N1693" s="2703" t="s">
        <v>3808</v>
      </c>
      <c r="O1693" s="2668">
        <f>'Part IX A-Scoring Criteria'!O139</f>
        <v>0</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4035</v>
      </c>
      <c r="H1694" s="478"/>
      <c r="I1694" s="2731"/>
      <c r="J1694" s="2731"/>
      <c r="K1694" s="2731"/>
      <c r="L1694" s="2731"/>
      <c r="M1694" s="2660"/>
      <c r="N1694" s="2713" t="s">
        <v>3809</v>
      </c>
      <c r="O1694" s="2668">
        <f>'Part IX A-Scoring Criteria'!O140</f>
        <v>0</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4036</v>
      </c>
      <c r="H1695" s="478"/>
      <c r="I1695" s="2731"/>
      <c r="J1695" s="2731"/>
      <c r="K1695" s="2731"/>
      <c r="L1695" s="2731"/>
      <c r="M1695" s="2660"/>
      <c r="N1695" s="2703" t="s">
        <v>3810</v>
      </c>
      <c r="O1695" s="2668">
        <f>'Part IX A-Scoring Criteria'!O141</f>
        <v>0</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4037</v>
      </c>
      <c r="H1696" s="478"/>
      <c r="I1696" s="2731"/>
      <c r="J1696" s="2731"/>
      <c r="K1696" s="2731"/>
      <c r="L1696" s="2731"/>
      <c r="M1696" s="2660"/>
      <c r="N1696" s="2703" t="s">
        <v>3812</v>
      </c>
      <c r="O1696" s="2668">
        <f>'Part IX A-Scoring Criteria'!O142</f>
        <v>0</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4038</v>
      </c>
      <c r="H1697" s="478"/>
      <c r="I1697" s="2731"/>
      <c r="J1697" s="2731"/>
      <c r="K1697" s="2731"/>
      <c r="L1697" s="2731"/>
      <c r="M1697" s="2660"/>
      <c r="N1697" s="2713" t="s">
        <v>3813</v>
      </c>
      <c r="O1697" s="2668">
        <f>'Part IX A-Scoring Criteria'!O143</f>
        <v>0</v>
      </c>
      <c r="P1697" s="2668">
        <f>'Part IX A-Scoring Criteria'!P143</f>
        <v>0</v>
      </c>
      <c r="Q1697" s="478"/>
      <c r="R1697" s="478"/>
      <c r="S1697" s="478"/>
      <c r="T1697" s="478"/>
      <c r="U1697" s="478"/>
      <c r="V1697" s="478"/>
      <c r="W1697" s="478"/>
      <c r="X1697" s="478"/>
      <c r="Y1697" s="478"/>
      <c r="Z1697" s="478"/>
    </row>
    <row r="1698" spans="1:26">
      <c r="A1698" s="2701"/>
      <c r="B1698" s="2819"/>
      <c r="C1698" s="2598" t="s">
        <v>4851</v>
      </c>
      <c r="D1698" s="2731"/>
      <c r="E1698" s="2731"/>
      <c r="F1698" s="2731"/>
      <c r="G1698" s="2731"/>
      <c r="H1698" s="2731"/>
      <c r="I1698" s="2731"/>
      <c r="J1698" s="2731"/>
      <c r="K1698" s="2731"/>
      <c r="L1698" s="2731"/>
      <c r="M1698" s="2703"/>
      <c r="N1698" s="2703" t="s">
        <v>2452</v>
      </c>
      <c r="O1698" s="2668">
        <f>'Part IX A-Scoring Criteria'!O144</f>
        <v>0</v>
      </c>
      <c r="P1698" s="2668">
        <f>'Part IX A-Scoring Criteria'!P144</f>
        <v>0</v>
      </c>
      <c r="Q1698" s="478"/>
      <c r="R1698" s="478"/>
      <c r="S1698" s="478"/>
      <c r="T1698" s="478"/>
      <c r="U1698" s="478"/>
      <c r="V1698" s="478"/>
      <c r="W1698" s="478"/>
      <c r="X1698" s="478"/>
      <c r="Y1698" s="478"/>
      <c r="Z1698" s="478"/>
    </row>
    <row r="1699" spans="1:26">
      <c r="A1699" s="2701"/>
      <c r="B1699" s="2800"/>
      <c r="C1699" s="1156" t="s">
        <v>3861</v>
      </c>
      <c r="D1699" s="1156"/>
      <c r="E1699" s="478"/>
      <c r="F1699" s="478"/>
      <c r="G1699" s="1156" t="s">
        <v>4180</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c r="A1700" s="2701"/>
      <c r="B1700" s="2703"/>
      <c r="C1700" s="2662">
        <f>'Part IX A-Scoring Criteria'!C146</f>
        <v>0</v>
      </c>
      <c r="D1700" s="2662">
        <f>'Part IX A-Scoring Criteria'!D146</f>
        <v>0</v>
      </c>
      <c r="E1700" s="2662">
        <f>'Part IX A-Scoring Criteria'!E146</f>
        <v>0</v>
      </c>
      <c r="F1700" s="2662">
        <f>'Part IX A-Scoring Criteria'!F146</f>
        <v>0</v>
      </c>
      <c r="G1700" s="2662">
        <f>'Part IX A-Scoring Criteria'!G146</f>
        <v>0</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c r="A1701" s="2701"/>
      <c r="B1701" s="2713"/>
      <c r="C1701" s="2662">
        <f>'Part IX A-Scoring Criteria'!C147</f>
        <v>0</v>
      </c>
      <c r="D1701" s="2662">
        <f>'Part IX A-Scoring Criteria'!D147</f>
        <v>0</v>
      </c>
      <c r="E1701" s="2662">
        <f>'Part IX A-Scoring Criteria'!E147</f>
        <v>0</v>
      </c>
      <c r="F1701" s="2662">
        <f>'Part IX A-Scoring Criteria'!F147</f>
        <v>0</v>
      </c>
      <c r="G1701" s="2662">
        <f>'Part IX A-Scoring Criteria'!G147</f>
        <v>0</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4216</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4002</v>
      </c>
      <c r="C1707" s="2665"/>
      <c r="D1707" s="2665"/>
      <c r="E1707" s="2665"/>
      <c r="F1707" s="2665"/>
      <c r="G1707" s="2665"/>
      <c r="H1707" s="2665"/>
      <c r="I1707" s="2665"/>
      <c r="J1707" s="2665"/>
      <c r="K1707" s="2665"/>
      <c r="L1707" s="2665"/>
      <c r="M1707" s="2563">
        <v>5</v>
      </c>
      <c r="N1707" s="2783"/>
      <c r="O1707" s="2747">
        <f>'Part IX A-Scoring Criteria'!O153</f>
        <v>3</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4042</v>
      </c>
      <c r="C1709" s="2766"/>
      <c r="D1709" s="2813"/>
      <c r="E1709" s="2813"/>
      <c r="F1709" s="2766"/>
      <c r="G1709" s="2813"/>
      <c r="H1709" s="2813"/>
      <c r="I1709" s="2813"/>
      <c r="J1709" s="2813"/>
      <c r="K1709" s="2813"/>
      <c r="L1709" s="2813"/>
      <c r="M1709" s="2554">
        <v>3</v>
      </c>
      <c r="N1709" s="2785"/>
      <c r="O1709" s="2554">
        <f>'Part IX A-Scoring Criteria'!O155</f>
        <v>1</v>
      </c>
      <c r="P1709" s="2554">
        <f>'Part IX A-Scoring Criteria'!P155</f>
        <v>0</v>
      </c>
      <c r="Q1709" s="2766"/>
      <c r="R1709" s="2357"/>
      <c r="S1709" s="2766"/>
      <c r="T1709" s="2766"/>
      <c r="U1709" s="2766"/>
      <c r="V1709" s="2766"/>
      <c r="W1709" s="2766"/>
      <c r="X1709" s="2766"/>
      <c r="Y1709" s="2766"/>
      <c r="Z1709" s="2766"/>
    </row>
    <row r="1710" spans="1:26" ht="15">
      <c r="A1710" s="2748"/>
      <c r="B1710" s="2598" t="s">
        <v>3855</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4852</v>
      </c>
      <c r="C1712" s="2662"/>
      <c r="D1712" s="2662"/>
      <c r="E1712" s="478" t="s">
        <v>3852</v>
      </c>
      <c r="F1712" s="2766"/>
      <c r="G1712" s="478"/>
      <c r="H1712" s="2766"/>
      <c r="I1712" s="2627" t="str">
        <f>'Part IX A-Scoring Criteria'!I158</f>
        <v>City of Rome Public Schools</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3854</v>
      </c>
      <c r="F1713" s="2711"/>
      <c r="G1713" s="2766"/>
      <c r="H1713" s="2766"/>
      <c r="I1713" s="2598"/>
      <c r="J1713" s="2592"/>
      <c r="K1713" s="2592"/>
      <c r="L1713" s="2592"/>
      <c r="M1713" s="2766"/>
      <c r="N1713" s="2627"/>
      <c r="O1713" s="2668">
        <f>'Part IX A-Scoring Criteria'!O159</f>
        <v>0</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2922</v>
      </c>
      <c r="F1714" s="478" t="str">
        <f>'Part I-Project Information'!$H$78</f>
        <v>Family</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3850</v>
      </c>
      <c r="I1715" s="2627" t="s">
        <v>3895</v>
      </c>
      <c r="J1715" s="2627"/>
      <c r="K1715" s="2627"/>
      <c r="L1715" s="2627"/>
      <c r="M1715" s="2435" t="s">
        <v>3849</v>
      </c>
      <c r="N1715" s="2435"/>
      <c r="O1715" s="2435" t="s">
        <v>3853</v>
      </c>
      <c r="P1715" s="2435"/>
      <c r="Q1715" s="2627"/>
      <c r="R1715" s="2748"/>
      <c r="S1715" s="2748"/>
      <c r="T1715" s="2748"/>
      <c r="U1715" s="2748"/>
      <c r="V1715" s="2748"/>
      <c r="W1715" s="2748"/>
      <c r="X1715" s="2748"/>
      <c r="Y1715" s="2748"/>
      <c r="Z1715" s="2748"/>
    </row>
    <row r="1716" spans="1:26" ht="23.25">
      <c r="A1716" s="2581"/>
      <c r="B1716" s="2826" t="s">
        <v>3847</v>
      </c>
      <c r="C1716" s="2592"/>
      <c r="D1716" s="2357" t="s">
        <v>4853</v>
      </c>
      <c r="E1716" s="2357"/>
      <c r="F1716" s="2357"/>
      <c r="G1716" s="2686" t="s">
        <v>3418</v>
      </c>
      <c r="H1716" s="2670"/>
      <c r="I1716" s="2712">
        <v>2014</v>
      </c>
      <c r="J1716" s="2712">
        <v>2015</v>
      </c>
      <c r="K1716" s="2712">
        <v>2016</v>
      </c>
      <c r="L1716" s="2712">
        <v>2017</v>
      </c>
      <c r="M1716" s="2435"/>
      <c r="N1716" s="2435"/>
      <c r="O1716" s="2435"/>
      <c r="P1716" s="2435"/>
      <c r="Q1716" s="2827" t="s">
        <v>3848</v>
      </c>
      <c r="R1716" s="2827"/>
      <c r="S1716" s="2748"/>
      <c r="T1716" s="2748"/>
      <c r="U1716" s="2748"/>
      <c r="V1716" s="2748"/>
      <c r="W1716" s="2748"/>
      <c r="X1716" s="2748"/>
      <c r="Y1716" s="2748"/>
      <c r="Z1716" s="2748"/>
    </row>
    <row r="1717" spans="1:26" ht="22.5">
      <c r="A1717" s="2703" t="s">
        <v>2451</v>
      </c>
      <c r="B1717" s="2634" t="s">
        <v>4041</v>
      </c>
      <c r="C1717" s="2748"/>
      <c r="D1717" s="2627" t="str">
        <f>'Part IX A-Scoring Criteria'!D163</f>
        <v>East Central Elementary</v>
      </c>
      <c r="E1717" s="2627">
        <f>'Part IX A-Scoring Criteria'!E163</f>
        <v>0</v>
      </c>
      <c r="F1717" s="2627">
        <f>'Part IX A-Scoring Criteria'!F163</f>
        <v>0</v>
      </c>
      <c r="G1717" s="2828" t="str">
        <f>'Part IX A-Scoring Criteria'!G163</f>
        <v>Pk-06</v>
      </c>
      <c r="H1717" s="2694" t="str">
        <f>'Part IX A-Scoring Criteria'!H163</f>
        <v>No</v>
      </c>
      <c r="I1717" s="2829">
        <f>'Part IX A-Scoring Criteria'!I163</f>
        <v>0</v>
      </c>
      <c r="J1717" s="2829">
        <f>'Part IX A-Scoring Criteria'!J163</f>
        <v>80.7</v>
      </c>
      <c r="K1717" s="2829">
        <f>'Part IX A-Scoring Criteria'!K163</f>
        <v>75.400000000000006</v>
      </c>
      <c r="L1717" s="2829">
        <f>'Part IX A-Scoring Criteria'!L163</f>
        <v>82</v>
      </c>
      <c r="M1717" s="2830">
        <f>IF(I1717+J1717+K1717+L1717=0,"",AVERAGE(I1717,J1717,K1717,L1717))</f>
        <v>59.525000000000006</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33.75">
      <c r="A1718" s="2713" t="s">
        <v>2452</v>
      </c>
      <c r="B1718" s="2634" t="s">
        <v>4217</v>
      </c>
      <c r="C1718" s="2748"/>
      <c r="D1718" s="2627" t="str">
        <f>'Part IX A-Scoring Criteria'!D164</f>
        <v>Rome Middle School</v>
      </c>
      <c r="E1718" s="2627">
        <f>'Part IX A-Scoring Criteria'!E164</f>
        <v>0</v>
      </c>
      <c r="F1718" s="2627">
        <f>'Part IX A-Scoring Criteria'!F164</f>
        <v>0</v>
      </c>
      <c r="G1718" s="2828" t="str">
        <f>'Part IX A-Scoring Criteria'!G164</f>
        <v>7-8</v>
      </c>
      <c r="H1718" s="2694" t="str">
        <f>'Part IX A-Scoring Criteria'!H164</f>
        <v>No</v>
      </c>
      <c r="I1718" s="2829">
        <f>'Part IX A-Scoring Criteria'!I164</f>
        <v>0</v>
      </c>
      <c r="J1718" s="2829">
        <f>'Part IX A-Scoring Criteria'!J164</f>
        <v>77.8</v>
      </c>
      <c r="K1718" s="2829">
        <f>'Part IX A-Scoring Criteria'!K164</f>
        <v>70</v>
      </c>
      <c r="L1718" s="2829">
        <f>'Part IX A-Scoring Criteria'!L164</f>
        <v>68.099999999999994</v>
      </c>
      <c r="M1718" s="2830">
        <f>IF(I1718+J1718+K1718+L1718=0,"",AVERAGE(I1718,J1718,K1718,L1718))</f>
        <v>53.975000000000001</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4039</v>
      </c>
      <c r="C1719" s="2748"/>
      <c r="D1719" s="2627" t="str">
        <f>'Part IX A-Scoring Criteria'!D165</f>
        <v>Rome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0</v>
      </c>
      <c r="J1719" s="2829">
        <f>'Part IX A-Scoring Criteria'!J165</f>
        <v>76.599999999999994</v>
      </c>
      <c r="K1719" s="2829">
        <f>'Part IX A-Scoring Criteria'!K165</f>
        <v>77.8</v>
      </c>
      <c r="L1719" s="2829">
        <f>'Part IX A-Scoring Criteria'!L165</f>
        <v>74.900000000000006</v>
      </c>
      <c r="M1719" s="2830">
        <f>IF(I1719+J1719+K1719+L1719=0,"",AVERAGE(I1719,J1719,K1719,L1719))</f>
        <v>57.324999999999996</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4041</v>
      </c>
      <c r="C1721" s="2748"/>
      <c r="D1721" s="2736" t="str">
        <f>IF(D1717="","",D1717)</f>
        <v>East Central Elementary</v>
      </c>
      <c r="E1721" s="2748"/>
      <c r="F1721" s="2748"/>
      <c r="G1721" s="2712" t="str">
        <f t="shared" ref="G1721:H1723" si="325">IF(G1717="","",G1717)</f>
        <v>Pk-06</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4040</v>
      </c>
      <c r="C1722" s="2748"/>
      <c r="D1722" s="2736" t="str">
        <f>IF(D1718="","",D1718)</f>
        <v>Rome Middle School</v>
      </c>
      <c r="E1722" s="2748"/>
      <c r="F1722" s="2748"/>
      <c r="G1722" s="2712" t="str">
        <f t="shared" si="325"/>
        <v>7-8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4039</v>
      </c>
      <c r="C1723" s="2748"/>
      <c r="D1723" s="2736" t="str">
        <f>IF(D1719="","",D1719)</f>
        <v>Rome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4043</v>
      </c>
      <c r="C1725" s="2766"/>
      <c r="D1725" s="2813"/>
      <c r="E1725" s="2813"/>
      <c r="F1725" s="2797" t="s">
        <v>3411</v>
      </c>
      <c r="G1725" s="2766"/>
      <c r="H1725" s="2598" t="s">
        <v>3896</v>
      </c>
      <c r="I1725" s="2766"/>
      <c r="J1725" s="2766"/>
      <c r="K1725" s="2766"/>
      <c r="L1725" s="2766"/>
      <c r="M1725" s="2554">
        <v>2</v>
      </c>
      <c r="N1725" s="2785"/>
      <c r="O1725" s="2747" t="str">
        <f>'Part IX A-Scoring Criteria'!O171</f>
        <v>2.</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4220</v>
      </c>
      <c r="F1726" s="2832" t="s">
        <v>3684</v>
      </c>
      <c r="G1726" s="2558" t="s">
        <v>3419</v>
      </c>
      <c r="H1726" s="2558"/>
      <c r="I1726" s="2558"/>
      <c r="J1726" s="2558"/>
      <c r="K1726" s="2558"/>
      <c r="L1726" s="2558"/>
      <c r="M1726" s="2558"/>
      <c r="N1726" s="2558"/>
      <c r="O1726" s="1156"/>
      <c r="P1726" s="2737"/>
      <c r="Q1726" s="1156"/>
      <c r="R1726" s="1156" t="s">
        <v>2849</v>
      </c>
      <c r="S1726" s="1156"/>
      <c r="T1726" s="2725" t="str">
        <f>'Part I-Project Information'!$F$38</f>
        <v>Rome</v>
      </c>
      <c r="U1726" s="2725"/>
      <c r="V1726" s="2725"/>
      <c r="W1726" s="2725"/>
      <c r="X1726" s="2725"/>
      <c r="Y1726" s="1156"/>
      <c r="Z1726" s="1156"/>
    </row>
    <row r="1727" spans="1:26" ht="12.75" customHeight="1">
      <c r="A1727" s="2701"/>
      <c r="B1727" s="2832" t="s">
        <v>4046</v>
      </c>
      <c r="C1727" s="2832"/>
      <c r="D1727" s="2832"/>
      <c r="E1727" s="2832"/>
      <c r="F1727" s="2832"/>
      <c r="G1727" s="2662" t="s">
        <v>4045</v>
      </c>
      <c r="H1727" s="2662"/>
      <c r="I1727" s="2662"/>
      <c r="J1727" s="2662"/>
      <c r="K1727" s="2662"/>
      <c r="L1727" s="2662"/>
      <c r="M1727" s="2662"/>
      <c r="N1727" s="2662"/>
      <c r="O1727" s="2832" t="s">
        <v>3685</v>
      </c>
      <c r="P1727" s="2832"/>
      <c r="Q1727" s="1156"/>
      <c r="R1727" s="2725" t="s">
        <v>2850</v>
      </c>
      <c r="S1727" s="1156"/>
      <c r="T1727" s="2725" t="str">
        <f>'Part I-Project Information'!$J$39</f>
        <v>Floyd</v>
      </c>
      <c r="U1727" s="2725"/>
      <c r="V1727" s="2725"/>
      <c r="W1727" s="2725"/>
      <c r="X1727" s="2725"/>
      <c r="Y1727" s="1156"/>
      <c r="Z1727" s="1156"/>
    </row>
    <row r="1728" spans="1:26">
      <c r="A1728" s="2701"/>
      <c r="B1728" s="478" t="s">
        <v>3856</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2851</v>
      </c>
      <c r="S1728" s="1156"/>
      <c r="T1728" s="2725" t="str">
        <f>'Part I-Project Information'!$O$40</f>
        <v>Rome</v>
      </c>
      <c r="U1728" s="2725"/>
      <c r="V1728" s="2725"/>
      <c r="W1728" s="2725"/>
      <c r="X1728" s="2725"/>
      <c r="Y1728" s="1156"/>
      <c r="Z1728" s="1156"/>
    </row>
    <row r="1729" spans="1:26" ht="12.75" customHeight="1">
      <c r="A1729" s="2701"/>
      <c r="B1729" s="2627" t="s">
        <v>4044</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3889</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3890</v>
      </c>
      <c r="C1731" s="1156"/>
      <c r="D1731" s="1156"/>
      <c r="E1731" s="2836"/>
      <c r="F1731" s="2836"/>
      <c r="G1731" s="2836"/>
      <c r="H1731" s="1156"/>
      <c r="I1731" s="2836">
        <f>'Part IX A-Scoring Criteria'!I177</f>
        <v>6000</v>
      </c>
      <c r="J1731" s="2836">
        <f>'Part IX A-Scoring Criteria'!J177</f>
        <v>0</v>
      </c>
      <c r="K1731" s="1156"/>
      <c r="L1731" s="1156"/>
      <c r="M1731" s="1156"/>
      <c r="N1731" s="1156"/>
      <c r="O1731" s="1156"/>
      <c r="P1731" s="1156"/>
      <c r="Q1731" s="1156"/>
      <c r="R1731" s="1156" t="s">
        <v>3650</v>
      </c>
      <c r="S1731" s="1156"/>
      <c r="T1731" s="2725" t="str">
        <f>'Part I-Project Information'!$K$40</f>
        <v>Urban</v>
      </c>
      <c r="U1731" s="2725"/>
      <c r="V1731" s="2725"/>
      <c r="W1731" s="2725"/>
      <c r="X1731" s="2725"/>
      <c r="Y1731" s="1156"/>
      <c r="Z1731" s="1156"/>
    </row>
    <row r="1732" spans="1:26" ht="13.5">
      <c r="A1732" s="2726"/>
      <c r="B1732" s="2736" t="s">
        <v>3649</v>
      </c>
      <c r="C1732" s="1156"/>
      <c r="D1732" s="1156"/>
      <c r="E1732" s="1156"/>
      <c r="F1732" s="1156"/>
      <c r="G1732" s="1156"/>
      <c r="H1732" s="2837" t="str">
        <f>IF(I1732&lt;I1731,"Threshold not met!","")</f>
        <v/>
      </c>
      <c r="I1732" s="2836">
        <f>'Part IX A-Scoring Criteria'!I178</f>
        <v>11890</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4219</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4047</v>
      </c>
      <c r="D1735" s="2825"/>
      <c r="E1735" s="2825"/>
      <c r="F1735" s="2825"/>
      <c r="G1735" s="1156"/>
      <c r="H1735" s="2838" t="s">
        <v>2004</v>
      </c>
      <c r="I1735" s="2839" t="str">
        <f>'Part IX A-Scoring Criteria'!I181</f>
        <v>Yes</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3913</v>
      </c>
      <c r="D1736" s="2825"/>
      <c r="E1736" s="2825"/>
      <c r="F1736" s="2825"/>
      <c r="G1736" s="2814"/>
      <c r="H1736" s="1156"/>
      <c r="I1736" s="2718">
        <f>'Part IX A-Scoring Criteria'!I182</f>
        <v>0.98166666666666669</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3779</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303.75">
      <c r="A1739" s="2662" t="str">
        <f>'Part IX A-Scoring Criteria'!A185</f>
        <v xml:space="preserve">The site also qualifies for 2 points under Workforce Housing Need as 11,890 jobs were identified by "On the Map" within a 2-mile radius of the site.  This is a great city with opportunities for jobs, NWGHA is a actively involved in moving residents to work. </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4053</v>
      </c>
      <c r="C1743" s="2766"/>
      <c r="D1743" s="2767"/>
      <c r="E1743" s="2767"/>
      <c r="F1743" s="2766"/>
      <c r="G1743" s="2766"/>
      <c r="H1743" s="2599" t="s">
        <v>4054</v>
      </c>
      <c r="I1743" s="2840"/>
      <c r="J1743" s="2840"/>
      <c r="K1743" s="2660"/>
      <c r="L1743" s="2660"/>
      <c r="M1743" s="2563">
        <v>7</v>
      </c>
      <c r="N1743" s="2554"/>
      <c r="O1743" s="2747">
        <f>'Part IX A-Scoring Criteria'!O189</f>
        <v>7</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4854</v>
      </c>
      <c r="C1745" s="2570"/>
      <c r="D1745" s="2570"/>
      <c r="E1745" s="2357" t="s">
        <v>4230</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4182</v>
      </c>
      <c r="D1747" s="2662"/>
      <c r="E1747" s="2662"/>
      <c r="F1747" s="2662"/>
      <c r="G1747" s="2662"/>
      <c r="H1747" s="2662"/>
      <c r="I1747" s="2662"/>
      <c r="J1747" s="2713" t="s">
        <v>2451</v>
      </c>
      <c r="K1747" s="2668" t="str">
        <f>'Part IX A-Scoring Criteria'!K193</f>
        <v>Yes</v>
      </c>
      <c r="L1747" s="2668">
        <f>'Part IX A-Scoring Criteria'!L193</f>
        <v>0</v>
      </c>
      <c r="M1747" s="2842" t="str">
        <f>'Part IX A-Scoring Criteria'!M193</f>
        <v>Sec 1 pg 2, Sec 3 pg 33-57, Sec 4 pg 58-63</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4855</v>
      </c>
      <c r="D1749" s="2662"/>
      <c r="E1749" s="2662"/>
      <c r="F1749" s="2662"/>
      <c r="G1749" s="2662"/>
      <c r="H1749" s="2748"/>
      <c r="I1749" s="2748"/>
      <c r="J1749" s="2703" t="s">
        <v>2452</v>
      </c>
      <c r="K1749" s="2668" t="str">
        <f>'Part IX A-Scoring Criteria'!K195</f>
        <v>Yes</v>
      </c>
      <c r="L1749" s="2668">
        <f>'Part IX A-Scoring Criteria'!L195</f>
        <v>0</v>
      </c>
      <c r="M1749" s="2842" t="str">
        <f>'Part IX A-Scoring Criteria'!M195</f>
        <v xml:space="preserve">Sec 1 pg 8, </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2842</v>
      </c>
      <c r="D1750" s="2687"/>
      <c r="E1750" s="2687"/>
      <c r="F1750" s="2687"/>
      <c r="G1750" s="2687"/>
      <c r="H1750" s="2687"/>
      <c r="I1750" s="2679"/>
      <c r="J1750" s="2713" t="s">
        <v>2453</v>
      </c>
      <c r="K1750" s="2668" t="str">
        <f>'Part IX A-Scoring Criteria'!K196</f>
        <v>Yes</v>
      </c>
      <c r="L1750" s="2668">
        <f>'Part IX A-Scoring Criteria'!L196</f>
        <v>0</v>
      </c>
      <c r="M1750" s="2842" t="str">
        <f>'Part IX A-Scoring Criteria'!M196</f>
        <v>Sec 3 pg 52-53, Sec 4 pg 58, 60-61</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4058</v>
      </c>
      <c r="D1751" s="2687"/>
      <c r="E1751" s="2687"/>
      <c r="F1751" s="2687"/>
      <c r="G1751" s="2687"/>
      <c r="H1751" s="2687"/>
      <c r="I1751" s="2679"/>
      <c r="J1751" s="2713" t="s">
        <v>2454</v>
      </c>
      <c r="K1751" s="2668" t="str">
        <f>'Part IX A-Scoring Criteria'!K197</f>
        <v>Yes</v>
      </c>
      <c r="L1751" s="2668">
        <f>'Part IX A-Scoring Criteria'!L197</f>
        <v>0</v>
      </c>
      <c r="M1751" s="2842" t="str">
        <f>'Part IX A-Scoring Criteria'!M197</f>
        <v>Sec4 pg 60-63</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4227</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4048</v>
      </c>
      <c r="D1753" s="2687"/>
      <c r="E1753" s="2687"/>
      <c r="F1753" s="2687"/>
      <c r="G1753" s="2687"/>
      <c r="H1753" s="2687"/>
      <c r="I1753" s="2679"/>
      <c r="J1753" s="2713" t="s">
        <v>2455</v>
      </c>
      <c r="K1753" s="2668" t="str">
        <f>'Part IX A-Scoring Criteria'!K199</f>
        <v>Yes</v>
      </c>
      <c r="L1753" s="2668">
        <f>'Part IX A-Scoring Criteria'!L199</f>
        <v>0</v>
      </c>
      <c r="M1753" s="2842" t="str">
        <f>'Part IX A-Scoring Criteria'!M199</f>
        <v>Sec 1 pg 2-3, 8, 9 Sec 4 pg 62</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2843</v>
      </c>
      <c r="D1754" s="2687"/>
      <c r="E1754" s="2687"/>
      <c r="F1754" s="2687"/>
      <c r="G1754" s="2687"/>
      <c r="H1754" s="2679"/>
      <c r="I1754" s="2679"/>
      <c r="J1754" s="2713" t="s">
        <v>2471</v>
      </c>
      <c r="K1754" s="2668" t="str">
        <f>'Part IX A-Scoring Criteria'!K200</f>
        <v>Yes</v>
      </c>
      <c r="L1754" s="2668">
        <f>'Part IX A-Scoring Criteria'!L200</f>
        <v>0</v>
      </c>
      <c r="M1754" s="2842" t="str">
        <f>'Part IX A-Scoring Criteria'!M200</f>
        <v>Sec 1 pg 9, Sec 4 pg 60-66</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4049</v>
      </c>
      <c r="D1755" s="2687"/>
      <c r="E1755" s="2687"/>
      <c r="F1755" s="2687"/>
      <c r="G1755" s="2679"/>
      <c r="H1755" s="2679"/>
      <c r="I1755" s="2679"/>
      <c r="J1755" s="2713" t="s">
        <v>2472</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4050</v>
      </c>
      <c r="E1756" s="2687"/>
      <c r="F1756" s="2844">
        <f>'Part IX A-Scoring Criteria'!F202</f>
        <v>39965</v>
      </c>
      <c r="G1756" s="2844">
        <f>'Part IX A-Scoring Criteria'!G202</f>
        <v>0</v>
      </c>
      <c r="H1756" s="2679"/>
      <c r="I1756" s="2687" t="s">
        <v>4051</v>
      </c>
      <c r="J1756" s="2679"/>
      <c r="K1756" s="2844">
        <f>'Part IX A-Scoring Criteria'!K202</f>
        <v>43243</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4856</v>
      </c>
      <c r="D1757" s="2687"/>
      <c r="E1757" s="2687"/>
      <c r="F1757" s="2687"/>
      <c r="G1757" s="2679"/>
      <c r="H1757" s="2679"/>
      <c r="I1757" s="2679"/>
      <c r="J1757" s="2713" t="s">
        <v>2473</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409.5">
      <c r="B1759" s="2695" t="s">
        <v>4183</v>
      </c>
      <c r="E1759" s="2355"/>
      <c r="G1759" s="2810" t="str">
        <f>'Part IX A-Scoring Criteria'!G205</f>
        <v>http://www.nwgha.com/images/EastRome%20REdevelopment/East%20Rome_Redev%20Plan_Part%201.pdf
http://www.nwgha.com/images/EastRome%20REdevelopment/East%20Rome_Redev%20Plan_Part%202.pdf
http://www.nwgha.com/images/EastRome%20REdevelopment/East%20Rome_Redev%20Plan_Part%203.pdf
http://www.nwgha.com/images/EastRome%20REdevelopment/East%20Rome_Redev%20Plan_Part%204.pdf</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4052</v>
      </c>
      <c r="M1761" s="2554">
        <v>5</v>
      </c>
      <c r="N1761" s="2701" t="s">
        <v>1999</v>
      </c>
      <c r="O1761" s="2845">
        <f>'Part IX A-Scoring Criteria'!O207</f>
        <v>5</v>
      </c>
      <c r="P1761" s="2845">
        <f>'Part IX A-Scoring Criteria'!P207</f>
        <v>0</v>
      </c>
      <c r="Q1761" s="2407"/>
      <c r="X1761" s="2552"/>
      <c r="Y1761" s="2703"/>
    </row>
    <row r="1762" spans="1:26" ht="12.75" customHeight="1">
      <c r="A1762" s="2701"/>
      <c r="B1762" s="2824" t="s">
        <v>2002</v>
      </c>
      <c r="C1762" s="2662" t="s">
        <v>4857</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2724</v>
      </c>
    </row>
    <row r="1763" spans="1:26" ht="12.75" customHeight="1">
      <c r="A1763" s="2701"/>
      <c r="B1763" s="2824" t="s">
        <v>2004</v>
      </c>
      <c r="C1763" s="2737" t="s">
        <v>4858</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2</v>
      </c>
      <c r="P1763" s="2786">
        <f>'Part IX A-Scoring Criteria'!P209</f>
        <v>0</v>
      </c>
      <c r="Q1763" s="2787" t="str">
        <f>IF(OR($O1763=$M1763,$O1763=0,$O1763=""),"","*CHECK!*")</f>
        <v/>
      </c>
      <c r="R1763" s="2352" t="s">
        <v>2724</v>
      </c>
    </row>
    <row r="1764" spans="1:26">
      <c r="A1764" s="2701"/>
      <c r="B1764" s="2736"/>
      <c r="C1764" s="2736" t="s">
        <v>3805</v>
      </c>
      <c r="E1764" s="2736" t="str">
        <f>'Part I-Project Information'!$N$39</f>
        <v>Yes</v>
      </c>
      <c r="G1764" s="2736" t="s">
        <v>3598</v>
      </c>
      <c r="I1764" s="2846" t="str">
        <f>'Part I-Project Information'!$O$38</f>
        <v>13115001600</v>
      </c>
      <c r="J1764" s="2846"/>
      <c r="K1764" s="2598" t="s">
        <v>3395</v>
      </c>
      <c r="M1764" s="2598" t="str">
        <f>'Part IV-A-Uses of Funds'!$H$152</f>
        <v>DDA/QCT</v>
      </c>
    </row>
    <row r="1765" spans="1:26">
      <c r="A1765" s="2701"/>
      <c r="B1765" s="2736"/>
      <c r="D1765" s="2712"/>
      <c r="E1765" s="2736"/>
      <c r="G1765" s="2598"/>
      <c r="K1765" s="2598"/>
      <c r="L1765" s="2598"/>
    </row>
    <row r="1766" spans="1:26">
      <c r="A1766" s="2581" t="s">
        <v>2001</v>
      </c>
      <c r="B1766" s="2570" t="s">
        <v>4055</v>
      </c>
      <c r="D1766" s="2355"/>
      <c r="K1766" s="2586"/>
      <c r="L1766" s="2711" t="str">
        <f>IF(OR($O1766=$M1766,$O1766=0,$O1766=""),"","* * Check Score! * *")</f>
        <v/>
      </c>
      <c r="M1766" s="2554">
        <v>2</v>
      </c>
      <c r="N1766" s="2701" t="s">
        <v>2001</v>
      </c>
      <c r="O1766" s="2747">
        <f>'Part IX A-Scoring Criteria'!O212</f>
        <v>2</v>
      </c>
      <c r="P1766" s="2747">
        <f>'Part IX A-Scoring Criteria'!P212</f>
        <v>0</v>
      </c>
      <c r="Q1766" s="2787" t="str">
        <f>IF(OR($O1766=$M1766,$O1766=0,$O1766=""),"","*CHECK!*")</f>
        <v/>
      </c>
      <c r="R1766" s="2352" t="s">
        <v>2724</v>
      </c>
    </row>
    <row r="1767" spans="1:26" ht="18.75">
      <c r="A1767" s="2581"/>
      <c r="B1767" s="478" t="s">
        <v>2811</v>
      </c>
      <c r="C1767" s="2748"/>
      <c r="D1767" s="478"/>
      <c r="E1767" s="478"/>
      <c r="F1767" s="2563"/>
      <c r="G1767" s="2748"/>
      <c r="H1767" s="1156"/>
      <c r="I1767" s="2748"/>
      <c r="J1767" s="2659" t="str">
        <f>'Part I-Project Information'!$H$100</f>
        <v>Flexible</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18.75">
      <c r="A1768" s="2710"/>
      <c r="B1768" s="478" t="s">
        <v>3886</v>
      </c>
      <c r="C1768" s="2748"/>
      <c r="D1768" s="2748"/>
      <c r="E1768" s="2748"/>
      <c r="F1768" s="2748"/>
      <c r="G1768" s="2748"/>
      <c r="H1768" s="2748"/>
      <c r="I1768" s="2748"/>
      <c r="J1768" s="2627" t="str">
        <f>'Part IX A-Scoring Criteria'!J214</f>
        <v>Restoration Rome</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3887</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3648</v>
      </c>
      <c r="N1769" s="2748"/>
      <c r="O1769" s="2748"/>
      <c r="P1769" s="2748"/>
      <c r="Q1769" s="2748"/>
      <c r="R1769" s="2748"/>
      <c r="S1769" s="2748"/>
      <c r="T1769" s="2748"/>
      <c r="U1769" s="2748"/>
      <c r="V1769" s="2815"/>
      <c r="W1769" s="2815"/>
      <c r="X1769" s="2748"/>
      <c r="Y1769" s="2748"/>
      <c r="Z1769" s="2748"/>
    </row>
    <row r="1770" spans="1:26" ht="18.75">
      <c r="A1770" s="2641"/>
      <c r="B1770" s="2736" t="s">
        <v>4244</v>
      </c>
      <c r="F1770" s="2679"/>
      <c r="G1770" s="2679"/>
      <c r="H1770" s="2679"/>
      <c r="L1770" s="2695" t="str">
        <f>'Part IX A-Scoring Criteria'!L216</f>
        <v>No</v>
      </c>
      <c r="M1770" s="2847" t="str">
        <f>'Part IX A-Scoring Criteria'!M216</f>
        <v>Ongoing</v>
      </c>
      <c r="N1770" s="2847">
        <f>'Part IX A-Scoring Criteria'!N216</f>
        <v>0</v>
      </c>
      <c r="O1770" s="2847">
        <f>'Part IX A-Scoring Criteria'!O216</f>
        <v>0</v>
      </c>
      <c r="P1770" s="2847">
        <f>'Part IX A-Scoring Criteria'!P216</f>
        <v>0</v>
      </c>
      <c r="V1770" s="2815"/>
      <c r="W1770" s="2815"/>
    </row>
    <row r="1771" spans="1:26" ht="18.75">
      <c r="A1771" s="2641"/>
      <c r="B1771" s="2687" t="s">
        <v>3816</v>
      </c>
      <c r="G1771" s="2687"/>
      <c r="J1771" s="2848">
        <f>'Part IX A-Scoring Criteria'!J217</f>
        <v>0.2</v>
      </c>
      <c r="K1771" s="2849" t="s">
        <v>3815</v>
      </c>
      <c r="L1771" s="2679"/>
      <c r="N1771" s="2550"/>
      <c r="O1771" s="2552"/>
      <c r="P1771" s="2552"/>
      <c r="V1771" s="2815"/>
      <c r="W1771" s="2815"/>
    </row>
    <row r="1772" spans="1:26" ht="18.75" customHeight="1">
      <c r="A1772" s="2850" t="s">
        <v>4224</v>
      </c>
      <c r="B1772" s="2662" t="s">
        <v>4221</v>
      </c>
      <c r="C1772" s="2662"/>
      <c r="D1772" s="2433" t="str">
        <f>'Part IX A-Scoring Criteria'!D218</f>
        <v>Restoring Hope Capital Caompaign through Restoreation Rome Center for Foster Care Services</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4222</v>
      </c>
      <c r="C1773" s="2662"/>
      <c r="D1773" s="2433" t="str">
        <f>'Part IX A-Scoring Criteria'!D219</f>
        <v xml:space="preserve">Within the next 3 years, Restoration Rome plans to renovate their current facility located at 1400 Crane St. Rome, GA. The current building is an old elementary school of which they optioned for a Lease-to-Own in 2016. </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4223</v>
      </c>
      <c r="C1774" s="2518"/>
      <c r="D1774" s="2433" t="str">
        <f>'Part IX A-Scoring Criteria'!D220</f>
        <v>The renovations will allow Restoration Rome to better serve foster children and families in the community.</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3475</v>
      </c>
      <c r="G1775" s="478" t="s">
        <v>2646</v>
      </c>
      <c r="H1775" s="478"/>
      <c r="J1775" s="2851">
        <f>'Part IX A-Scoring Criteria'!J221</f>
        <v>2200000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4549</v>
      </c>
      <c r="D1776" s="2665"/>
      <c r="E1776" s="2748"/>
      <c r="F1776" s="2748"/>
      <c r="G1776" s="2852">
        <f>'Part IV-A-Uses of Funds'!$G$132</f>
        <v>13480710.35</v>
      </c>
      <c r="H1776" s="2852"/>
      <c r="I1776" s="2748"/>
      <c r="J1776" s="2853">
        <f>'Part IX A-Scoring Criteria'!J222</f>
        <v>0.16319614789438749</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3779</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202.5">
      <c r="A1778" s="2662" t="str">
        <f>'Part IX A-Scoring Criteria'!A224</f>
        <v xml:space="preserve">The city of Rome has also dedicated financial improvements in the area of the proposed project. The housing authority has been instrumental in the improvement of South Rome. </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4056</v>
      </c>
      <c r="C1782" s="2665"/>
      <c r="D1782" s="2665"/>
      <c r="E1782" s="2665"/>
      <c r="F1782" s="2665"/>
      <c r="G1782" s="2665"/>
      <c r="H1782" s="2665"/>
      <c r="I1782" s="2665"/>
      <c r="J1782" s="2665"/>
      <c r="K1782" s="2694" t="s">
        <v>3265</v>
      </c>
      <c r="L1782" s="2694" t="s">
        <v>258</v>
      </c>
      <c r="M1782" s="2563">
        <v>3</v>
      </c>
      <c r="N1782" s="2783"/>
      <c r="O1782" s="2754"/>
      <c r="P1782" s="2747">
        <f>'Part IX A-Scoring Criteria'!P228</f>
        <v>0</v>
      </c>
      <c r="Q1782" s="2563" t="s">
        <v>443</v>
      </c>
      <c r="R1782" s="2352" t="s">
        <v>2724</v>
      </c>
      <c r="S1782" s="2748"/>
      <c r="T1782" s="2748"/>
      <c r="U1782" s="2748"/>
      <c r="V1782" s="2748"/>
      <c r="W1782" s="2748"/>
      <c r="X1782" s="2748"/>
      <c r="Y1782" s="2748"/>
      <c r="Z1782" s="2748"/>
    </row>
    <row r="1783" spans="1:26" ht="15">
      <c r="A1783" s="2581"/>
      <c r="B1783" s="2695" t="s">
        <v>4059</v>
      </c>
      <c r="C1783" s="2748"/>
      <c r="D1783" s="1156" t="s">
        <v>4060</v>
      </c>
      <c r="E1783" s="2748"/>
      <c r="F1783" s="2748"/>
      <c r="G1783" s="2748"/>
      <c r="H1783" s="2748"/>
      <c r="I1783" s="2748"/>
      <c r="J1783" s="2748"/>
      <c r="K1783" s="2845">
        <f>'Part IX A-Scoring Criteria'!K229</f>
        <v>7</v>
      </c>
      <c r="L1783" s="2845">
        <f>'Part IX A-Scoring Criteria'!L229</f>
        <v>0</v>
      </c>
      <c r="M1783" s="2748"/>
      <c r="N1783" s="2703" t="s">
        <v>2451</v>
      </c>
      <c r="O1783" s="2668" t="str">
        <f>'Part IX A-Scoring Criteria'!O229</f>
        <v>Yes</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4061</v>
      </c>
      <c r="E1784" s="2748"/>
      <c r="F1784" s="2748"/>
      <c r="G1784" s="2748"/>
      <c r="H1784" s="2748"/>
      <c r="I1784" s="2748"/>
      <c r="J1784" s="2748"/>
      <c r="K1784" s="2845">
        <f>'Part IX A-Scoring Criteria'!K230</f>
        <v>3</v>
      </c>
      <c r="L1784" s="2845">
        <f>'Part IX A-Scoring Criteria'!L230</f>
        <v>0</v>
      </c>
      <c r="M1784" s="2748"/>
      <c r="N1784" s="2703" t="s">
        <v>2452</v>
      </c>
      <c r="O1784" s="2668" t="str">
        <f>'Part IX A-Scoring Criteria'!O230</f>
        <v>Yes</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4062</v>
      </c>
      <c r="E1785" s="2748"/>
      <c r="F1785" s="2748"/>
      <c r="G1785" s="2748"/>
      <c r="H1785" s="2748"/>
      <c r="I1785" s="2748"/>
      <c r="J1785" s="2748"/>
      <c r="K1785" s="2748"/>
      <c r="L1785" s="2748"/>
      <c r="M1785" s="2748"/>
      <c r="N1785" s="2703" t="s">
        <v>2453</v>
      </c>
      <c r="O1785" s="2668" t="str">
        <f>'Part IX A-Scoring Criteria'!O231</f>
        <v>Yes</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4063</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4064</v>
      </c>
      <c r="E1787" s="2748"/>
      <c r="F1787" s="2748"/>
      <c r="G1787" s="2748"/>
      <c r="H1787" s="2748"/>
      <c r="I1787" s="2748"/>
      <c r="J1787" s="2748"/>
      <c r="K1787" s="2748"/>
      <c r="L1787" s="2748"/>
      <c r="M1787" s="2748"/>
      <c r="N1787" s="2703" t="s">
        <v>2455</v>
      </c>
      <c r="O1787" s="2668" t="str">
        <f>'Part IX A-Scoring Criteria'!O233</f>
        <v>No</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4859</v>
      </c>
      <c r="D1789" s="2355"/>
      <c r="G1789" s="2736" t="s">
        <v>3811</v>
      </c>
      <c r="Q1789" s="2407"/>
    </row>
    <row r="1790" spans="1:26">
      <c r="A1790" s="2701"/>
      <c r="B1790" s="478" t="s">
        <v>3891</v>
      </c>
      <c r="C1790" s="2355"/>
      <c r="D1790" s="478" t="str">
        <f>'Part IX A-Scoring Criteria'!D236</f>
        <v>NWGHA</v>
      </c>
      <c r="E1790" s="478">
        <f>'Part IX A-Scoring Criteria'!E236</f>
        <v>0</v>
      </c>
      <c r="F1790" s="478">
        <f>'Part IX A-Scoring Criteria'!F236</f>
        <v>0</v>
      </c>
      <c r="G1790" s="478">
        <f>'Part IX A-Scoring Criteria'!G236</f>
        <v>0</v>
      </c>
      <c r="H1790" s="478">
        <f>'Part IX A-Scoring Criteria'!H236</f>
        <v>0</v>
      </c>
      <c r="I1790" s="2598" t="s">
        <v>2722</v>
      </c>
      <c r="J1790" s="478" t="str">
        <f>'Part IX A-Scoring Criteria'!J236</f>
        <v>www.nwgha.com</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t="str">
        <f>'Part IX A-Scoring Criteria'!D237</f>
        <v>Sandra D. Hudson</v>
      </c>
      <c r="E1791" s="478">
        <f>'Part IX A-Scoring Criteria'!E237</f>
        <v>0</v>
      </c>
      <c r="F1791" s="478">
        <f>'Part IX A-Scoring Criteria'!F237</f>
        <v>0</v>
      </c>
      <c r="G1791" s="478" t="s">
        <v>1734</v>
      </c>
      <c r="H1791" s="2854">
        <f>'Part IX A-Scoring Criteria'!H237</f>
        <v>7063783940</v>
      </c>
      <c r="I1791" s="2598" t="s">
        <v>1813</v>
      </c>
      <c r="J1791" s="478" t="str">
        <f>'Part IX A-Scoring Criteria'!J237</f>
        <v>shudson@nwgha.com</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4065</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4860</v>
      </c>
      <c r="D1794" s="2627"/>
      <c r="E1794" s="2627"/>
      <c r="F1794" s="2627"/>
      <c r="G1794" s="2627"/>
      <c r="H1794" s="2627"/>
      <c r="I1794" s="2627"/>
      <c r="J1794" s="2627"/>
      <c r="K1794" s="2627"/>
      <c r="L1794" s="2627"/>
      <c r="M1794" s="2355"/>
      <c r="N1794" s="2774" t="s">
        <v>2002</v>
      </c>
      <c r="O1794" s="2714" t="str">
        <f>'Part IX A-Scoring Criteria'!O240</f>
        <v>Yes</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4067</v>
      </c>
      <c r="D1795" s="478" t="str">
        <f>'Part IX A-Scoring Criteria'!D241</f>
        <v>Tallatoona Community Action Partnership</v>
      </c>
      <c r="E1795" s="478">
        <f>'Part IX A-Scoring Criteria'!E241</f>
        <v>0</v>
      </c>
      <c r="F1795" s="478">
        <f>'Part IX A-Scoring Criteria'!F241</f>
        <v>0</v>
      </c>
      <c r="G1795" s="478">
        <f>'Part IX A-Scoring Criteria'!G241</f>
        <v>0</v>
      </c>
      <c r="H1795" s="478">
        <f>'Part IX A-Scoring Criteria'!H241</f>
        <v>0</v>
      </c>
      <c r="I1795" s="2598" t="s">
        <v>2722</v>
      </c>
      <c r="J1795" s="478" t="str">
        <f>'Part IX A-Scoring Criteria'!J241</f>
        <v>www.tallatoonacap.org</v>
      </c>
      <c r="K1795" s="478">
        <f>'Part IX A-Scoring Criteria'!K241</f>
        <v>0</v>
      </c>
      <c r="L1795" s="478">
        <f>'Part IX A-Scoring Criteria'!L241</f>
        <v>0</v>
      </c>
      <c r="M1795" s="478">
        <f>'Part IX A-Scoring Criteria'!M241</f>
        <v>0</v>
      </c>
      <c r="N1795" s="478">
        <f>'Part IX A-Scoring Criteria'!N241</f>
        <v>0</v>
      </c>
      <c r="O1795" s="2518" t="s">
        <v>4069</v>
      </c>
      <c r="P1795" s="2518"/>
      <c r="Q1795" s="2687"/>
      <c r="S1795" s="2355"/>
      <c r="T1795" s="2355"/>
      <c r="U1795" s="2355"/>
      <c r="V1795" s="2815"/>
      <c r="W1795" s="2815"/>
      <c r="X1795" s="2355"/>
      <c r="Y1795" s="2355"/>
      <c r="Z1795" s="2355"/>
    </row>
    <row r="1796" spans="1:26" ht="18.75">
      <c r="A1796" s="2701"/>
      <c r="B1796" s="2355"/>
      <c r="C1796" s="478" t="s">
        <v>2210</v>
      </c>
      <c r="D1796" s="478" t="str">
        <f>'Part IX A-Scoring Criteria'!D242</f>
        <v>Robin Drazich</v>
      </c>
      <c r="E1796" s="478">
        <f>'Part IX A-Scoring Criteria'!E242</f>
        <v>0</v>
      </c>
      <c r="F1796" s="478">
        <f>'Part IX A-Scoring Criteria'!F242</f>
        <v>0</v>
      </c>
      <c r="G1796" s="478" t="s">
        <v>1734</v>
      </c>
      <c r="H1796" s="2854">
        <f>'Part IX A-Scoring Criteria'!H242</f>
        <v>7062957164</v>
      </c>
      <c r="I1796" s="2598" t="s">
        <v>1813</v>
      </c>
      <c r="J1796" s="478" t="str">
        <f>'Part IX A-Scoring Criteria'!J242</f>
        <v>robind@tallatoonacap.org</v>
      </c>
      <c r="K1796" s="478">
        <f>'Part IX A-Scoring Criteria'!K242</f>
        <v>0</v>
      </c>
      <c r="L1796" s="478">
        <f>'Part IX A-Scoring Criteria'!L242</f>
        <v>0</v>
      </c>
      <c r="M1796" s="478">
        <f>'Part IX A-Scoring Criteria'!M242</f>
        <v>0</v>
      </c>
      <c r="N1796" s="478">
        <f>'Part IX A-Scoring Criteria'!N242</f>
        <v>0</v>
      </c>
      <c r="O1796" s="2668" t="str">
        <f>'Part IX A-Scoring Criteria'!O242</f>
        <v>Yes</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4068</v>
      </c>
      <c r="D1797" s="478" t="str">
        <f>'Part IX A-Scoring Criteria'!D243</f>
        <v>YMCA</v>
      </c>
      <c r="E1797" s="478">
        <f>'Part IX A-Scoring Criteria'!E243</f>
        <v>0</v>
      </c>
      <c r="F1797" s="478">
        <f>'Part IX A-Scoring Criteria'!F243</f>
        <v>0</v>
      </c>
      <c r="G1797" s="478">
        <f>'Part IX A-Scoring Criteria'!G243</f>
        <v>0</v>
      </c>
      <c r="H1797" s="478">
        <f>'Part IX A-Scoring Criteria'!H243</f>
        <v>0</v>
      </c>
      <c r="I1797" s="2598" t="s">
        <v>2722</v>
      </c>
      <c r="J1797" s="478" t="str">
        <f>'Part IX A-Scoring Criteria'!J243</f>
        <v>www.ymcarome.org</v>
      </c>
      <c r="K1797" s="478">
        <f>'Part IX A-Scoring Criteria'!K243</f>
        <v>0</v>
      </c>
      <c r="L1797" s="478">
        <f>'Part IX A-Scoring Criteria'!L243</f>
        <v>0</v>
      </c>
      <c r="M1797" s="478">
        <f>'Part IX A-Scoring Criteria'!M243</f>
        <v>0</v>
      </c>
      <c r="N1797" s="478">
        <f>'Part IX A-Scoring Criteria'!N243</f>
        <v>0</v>
      </c>
      <c r="O1797" s="2518" t="s">
        <v>4069</v>
      </c>
      <c r="P1797" s="2518"/>
      <c r="Q1797" s="2687"/>
      <c r="S1797" s="2355"/>
      <c r="T1797" s="2355"/>
      <c r="U1797" s="2355"/>
      <c r="V1797" s="2815"/>
      <c r="W1797" s="2815"/>
      <c r="X1797" s="2355"/>
      <c r="Y1797" s="2355"/>
      <c r="Z1797" s="2355"/>
    </row>
    <row r="1798" spans="1:26" ht="18.75">
      <c r="A1798" s="2701"/>
      <c r="B1798" s="2355"/>
      <c r="C1798" s="478" t="s">
        <v>2210</v>
      </c>
      <c r="D1798" s="478" t="str">
        <f>'Part IX A-Scoring Criteria'!D244</f>
        <v>Scott McCreless</v>
      </c>
      <c r="E1798" s="478">
        <f>'Part IX A-Scoring Criteria'!E244</f>
        <v>0</v>
      </c>
      <c r="F1798" s="478">
        <f>'Part IX A-Scoring Criteria'!F244</f>
        <v>0</v>
      </c>
      <c r="G1798" s="478" t="s">
        <v>1734</v>
      </c>
      <c r="H1798" s="2854">
        <f>'Part IX A-Scoring Criteria'!H244</f>
        <v>7062322469</v>
      </c>
      <c r="I1798" s="2598" t="s">
        <v>1813</v>
      </c>
      <c r="J1798" s="478" t="str">
        <f>'Part IX A-Scoring Criteria'!J244</f>
        <v>smccreless810@comcast.net</v>
      </c>
      <c r="K1798" s="478">
        <f>'Part IX A-Scoring Criteria'!K244</f>
        <v>0</v>
      </c>
      <c r="L1798" s="478">
        <f>'Part IX A-Scoring Criteria'!L244</f>
        <v>0</v>
      </c>
      <c r="M1798" s="478">
        <f>'Part IX A-Scoring Criteria'!M244</f>
        <v>0</v>
      </c>
      <c r="N1798" s="478">
        <f>'Part IX A-Scoring Criteria'!N244</f>
        <v>0</v>
      </c>
      <c r="O1798" s="2668" t="str">
        <f>'Part IX A-Scoring Criteria'!O244</f>
        <v>Yes</v>
      </c>
      <c r="P1798" s="2668">
        <f>'Part IX A-Scoring Criteria'!P244</f>
        <v>0</v>
      </c>
      <c r="Q1798" s="2687"/>
      <c r="S1798" s="2355"/>
      <c r="T1798" s="2355"/>
      <c r="U1798" s="2355"/>
      <c r="V1798" s="2815"/>
      <c r="W1798" s="2815"/>
      <c r="X1798" s="2355"/>
      <c r="Y1798" s="2355"/>
      <c r="Z1798" s="2355"/>
    </row>
    <row r="1799" spans="1:26">
      <c r="A1799" s="2701"/>
      <c r="B1799" s="2824" t="s">
        <v>2004</v>
      </c>
      <c r="C1799" s="2658" t="s">
        <v>4070</v>
      </c>
      <c r="D1799" s="2687"/>
      <c r="E1799" s="2687"/>
      <c r="F1799" s="2687"/>
      <c r="G1799" s="2736" t="s">
        <v>3811</v>
      </c>
      <c r="H1799" s="2687"/>
      <c r="I1799" s="2687"/>
      <c r="J1799" s="2687"/>
      <c r="K1799" s="2687"/>
      <c r="L1799" s="2687"/>
      <c r="M1799" s="2687"/>
      <c r="N1799" s="2687"/>
      <c r="O1799" s="2660" t="s">
        <v>2527</v>
      </c>
      <c r="P1799" s="2660" t="s">
        <v>2527</v>
      </c>
      <c r="Q1799" s="2687"/>
    </row>
    <row r="1800" spans="1:26" ht="18.75" customHeight="1">
      <c r="A1800" s="2701"/>
      <c r="B1800" s="2855"/>
      <c r="C1800" s="2662" t="s">
        <v>4861</v>
      </c>
      <c r="D1800" s="2662"/>
      <c r="E1800" s="2662"/>
      <c r="F1800" s="2662"/>
      <c r="G1800" s="2662"/>
      <c r="H1800" s="2662"/>
      <c r="I1800" s="2662"/>
      <c r="J1800" s="2662"/>
      <c r="K1800" s="2662"/>
      <c r="L1800" s="2662"/>
      <c r="M1800" s="2662"/>
      <c r="N1800" s="2774" t="s">
        <v>2004</v>
      </c>
      <c r="O1800" s="2714" t="str">
        <f>'Part IX A-Scoring Criteria'!O246</f>
        <v>Yes</v>
      </c>
      <c r="P1800" s="2714">
        <f>'Part IX A-Scoring Criteria'!P246</f>
        <v>0</v>
      </c>
      <c r="Q1800" s="2716"/>
      <c r="V1800" s="2815"/>
      <c r="W1800" s="2815"/>
    </row>
    <row r="1801" spans="1:26" ht="18.75">
      <c r="A1801" s="2701"/>
      <c r="B1801" s="2703" t="s">
        <v>2451</v>
      </c>
      <c r="C1801" s="2722" t="s">
        <v>4186</v>
      </c>
      <c r="D1801" s="2665"/>
      <c r="E1801" s="2665"/>
      <c r="F1801" s="2665"/>
      <c r="G1801" s="2665"/>
      <c r="H1801" s="2665"/>
      <c r="I1801" s="2665"/>
      <c r="J1801" s="2665"/>
      <c r="K1801" s="2665"/>
      <c r="L1801" s="2665"/>
      <c r="M1801" s="2665"/>
      <c r="N1801" s="2665"/>
      <c r="O1801" s="2665"/>
      <c r="P1801" s="2665"/>
      <c r="Q1801" s="2716"/>
      <c r="V1801" s="2815"/>
      <c r="W1801" s="2815"/>
    </row>
    <row r="1802" spans="1:26" ht="180">
      <c r="A1802" s="2701"/>
      <c r="B1802" s="2355"/>
      <c r="C1802" s="2662" t="str">
        <f>'Part IX A-Scoring Criteria'!C248</f>
        <v>GED Testing assistance, Ealry Head Start Classroom in East Rome operated by Tallatoona at NWGHA facility, Energy Assistance Payments up to $350.00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213.75">
      <c r="A1803" s="2701"/>
      <c r="B1803" s="2855"/>
      <c r="C1803" s="2662" t="str">
        <f>'Part IX A-Scoring Criteria'!C249</f>
        <v>Summer Day Camp Scholarships to residents, free swin lessons, free nutricious meals, Education and Learing opportunities through YMCA Learn, Grow and Thrive Program</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90">
      <c r="A1804" s="2701"/>
      <c r="B1804" s="2855"/>
      <c r="C1804" s="2662" t="str">
        <f>'Part IX A-Scoring Criteria'!C250</f>
        <v>Free transportation to programs and services provided by NWGHA</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4184</v>
      </c>
      <c r="D1805" s="2665"/>
      <c r="E1805" s="2665"/>
      <c r="F1805" s="2665"/>
      <c r="G1805" s="2665"/>
      <c r="H1805" s="2665"/>
      <c r="I1805" s="2665"/>
      <c r="J1805" s="2665"/>
      <c r="K1805" s="2665"/>
      <c r="L1805" s="2662" t="s">
        <v>4188</v>
      </c>
      <c r="M1805" s="2662"/>
      <c r="N1805" s="2687" t="s">
        <v>4189</v>
      </c>
      <c r="O1805" s="2687"/>
      <c r="P1805" s="2687"/>
      <c r="Q1805" s="2716"/>
      <c r="V1805" s="2815"/>
      <c r="W1805" s="2815"/>
    </row>
    <row r="1806" spans="1:26" ht="45">
      <c r="A1806" s="2701"/>
      <c r="B1806" s="2855"/>
      <c r="C1806" s="2662" t="str">
        <f>'Part IX A-Scoring Criteria'!C252</f>
        <v>Reduced after school care/summer camp</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t="str">
        <f>'Part IX A-Scoring Criteria'!L252</f>
        <v>Boys and Girls Club</v>
      </c>
      <c r="M1806" s="2662">
        <f>'Part IX A-Scoring Criteria'!M252</f>
        <v>0</v>
      </c>
      <c r="N1806" s="2662" t="str">
        <f>'Part IX A-Scoring Criteria'!N252</f>
        <v>Rome/Floyd</v>
      </c>
      <c r="O1806" s="2662">
        <f>'Part IX A-Scoring Criteria'!O252</f>
        <v>0</v>
      </c>
      <c r="P1806" s="2662">
        <f>'Part IX A-Scoring Criteria'!P252</f>
        <v>0</v>
      </c>
      <c r="Q1806" s="2756"/>
      <c r="V1806" s="2815"/>
      <c r="W1806" s="2815"/>
    </row>
    <row r="1807" spans="1:26" ht="78.75">
      <c r="A1807" s="2701"/>
      <c r="B1807" s="2855"/>
      <c r="C1807" s="2662" t="str">
        <f>'Part IX A-Scoring Criteria'!C253</f>
        <v>Parenting classes, education classes, wellness center (check ups)</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t="str">
        <f>'Part IX A-Scoring Criteria'!L253</f>
        <v>Restoration Rome</v>
      </c>
      <c r="M1807" s="2662">
        <f>'Part IX A-Scoring Criteria'!M253</f>
        <v>0</v>
      </c>
      <c r="N1807" s="2662" t="str">
        <f>'Part IX A-Scoring Criteria'!N253</f>
        <v>Rome/Floyd</v>
      </c>
      <c r="O1807" s="2662">
        <f>'Part IX A-Scoring Criteria'!O253</f>
        <v>0</v>
      </c>
      <c r="P1807" s="2662">
        <f>'Part IX A-Scoring Criteria'!P253</f>
        <v>0</v>
      </c>
      <c r="Q1807" s="2716"/>
      <c r="V1807" s="2815"/>
      <c r="W1807" s="2815"/>
    </row>
    <row r="1808" spans="1:26" ht="45">
      <c r="A1808" s="2701"/>
      <c r="B1808" s="2855"/>
      <c r="C1808" s="2662" t="str">
        <f>'Part IX A-Scoring Criteria'!C254</f>
        <v>After school Tutorial Program</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t="str">
        <f>'Part IX A-Scoring Criteria'!L254</f>
        <v>Greater Mt Calvary</v>
      </c>
      <c r="M1808" s="2662">
        <f>'Part IX A-Scoring Criteria'!M254</f>
        <v>0</v>
      </c>
      <c r="N1808" s="2662" t="str">
        <f>'Part IX A-Scoring Criteria'!N254</f>
        <v>Rome/Floyd</v>
      </c>
      <c r="O1808" s="2662">
        <f>'Part IX A-Scoring Criteria'!O254</f>
        <v>0</v>
      </c>
      <c r="P1808" s="2662">
        <f>'Part IX A-Scoring Criteria'!P254</f>
        <v>0</v>
      </c>
      <c r="Q1808" s="2716"/>
      <c r="V1808" s="2815"/>
      <c r="W1808" s="2815"/>
    </row>
    <row r="1809" spans="1:26">
      <c r="A1809" s="2701"/>
      <c r="B1809" s="2824" t="s">
        <v>2551</v>
      </c>
      <c r="C1809" s="2658" t="s">
        <v>4071</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4075</v>
      </c>
      <c r="D1810" s="2627"/>
      <c r="E1810" s="2627"/>
      <c r="F1810" s="2627"/>
      <c r="G1810" s="2627"/>
      <c r="H1810" s="2627"/>
      <c r="I1810" s="2627"/>
      <c r="J1810" s="2627"/>
      <c r="K1810" s="2627"/>
      <c r="L1810" s="2627"/>
      <c r="M1810" s="2627"/>
      <c r="N1810" s="2774" t="s">
        <v>2551</v>
      </c>
      <c r="O1810" s="2668" t="str">
        <f>'Part IX A-Scoring Criteria'!O256</f>
        <v>Yes</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3814</v>
      </c>
      <c r="D1811" s="2355"/>
      <c r="Q1811" s="2554"/>
    </row>
    <row r="1812" spans="1:26" ht="18.75" customHeight="1">
      <c r="A1812" s="2701"/>
      <c r="B1812" s="2856"/>
      <c r="C1812" s="2662" t="s">
        <v>4077</v>
      </c>
      <c r="D1812" s="2662"/>
      <c r="E1812" s="2662"/>
      <c r="F1812" s="2662"/>
      <c r="G1812" s="2662"/>
      <c r="H1812" s="2662"/>
      <c r="I1812" s="2662"/>
      <c r="J1812" s="2662"/>
      <c r="K1812" s="2662"/>
      <c r="L1812" s="2662"/>
      <c r="M1812" s="2662"/>
      <c r="N1812" s="2774" t="s">
        <v>1236</v>
      </c>
      <c r="O1812" s="2714" t="str">
        <f>'Part IX A-Scoring Criteria'!O258</f>
        <v>Yes</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4078</v>
      </c>
      <c r="D1813" s="2627"/>
      <c r="E1813" s="2627"/>
      <c r="F1813" s="2627"/>
      <c r="G1813" s="2627"/>
      <c r="H1813" s="2627"/>
      <c r="I1813" s="2627"/>
      <c r="J1813" s="2627"/>
      <c r="K1813" s="2627"/>
      <c r="L1813" s="2627"/>
      <c r="M1813" s="2627"/>
      <c r="N1813" s="2703" t="s">
        <v>2451</v>
      </c>
      <c r="O1813" s="2668" t="str">
        <f>'Part IX A-Scoring Criteria'!O259</f>
        <v>Yes</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4079</v>
      </c>
      <c r="D1814" s="2627"/>
      <c r="E1814" s="2627"/>
      <c r="F1814" s="2627"/>
      <c r="G1814" s="2627"/>
      <c r="H1814" s="2627"/>
      <c r="I1814" s="2627"/>
      <c r="J1814" s="2627"/>
      <c r="K1814" s="2627"/>
      <c r="L1814" s="2627"/>
      <c r="M1814" s="2627"/>
      <c r="N1814" s="2703" t="s">
        <v>2452</v>
      </c>
      <c r="O1814" s="2668" t="str">
        <f>'Part IX A-Scoring Criteria'!O260</f>
        <v>Yes</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4862</v>
      </c>
      <c r="D1816" s="2355"/>
      <c r="G1816" s="2736" t="s">
        <v>3811</v>
      </c>
      <c r="O1816" s="2660" t="s">
        <v>2527</v>
      </c>
      <c r="P1816" s="2660" t="s">
        <v>2527</v>
      </c>
      <c r="Q1816" s="2407"/>
    </row>
    <row r="1817" spans="1:26" ht="18.75" customHeight="1">
      <c r="A1817" s="2701"/>
      <c r="B1817" s="2824" t="s">
        <v>2002</v>
      </c>
      <c r="C1817" s="2662" t="s">
        <v>4073</v>
      </c>
      <c r="D1817" s="2662"/>
      <c r="E1817" s="2662"/>
      <c r="F1817" s="2662"/>
      <c r="G1817" s="2662"/>
      <c r="H1817" s="2662"/>
      <c r="I1817" s="2662"/>
      <c r="J1817" s="2662"/>
      <c r="K1817" s="2662"/>
      <c r="L1817" s="2662"/>
      <c r="M1817" s="2858" t="s">
        <v>2001</v>
      </c>
      <c r="N1817" s="2774" t="s">
        <v>2002</v>
      </c>
      <c r="O1817" s="2714" t="str">
        <f>'Part IX A-Scoring Criteria'!O263</f>
        <v>Yes</v>
      </c>
      <c r="P1817" s="2714">
        <f>'Part IX A-Scoring Criteria'!P263</f>
        <v>0</v>
      </c>
      <c r="Q1817" s="2407"/>
      <c r="V1817" s="2815"/>
      <c r="W1817" s="2815"/>
    </row>
    <row r="1818" spans="1:26" ht="18.75">
      <c r="A1818" s="2701"/>
      <c r="B1818" s="2824" t="s">
        <v>2004</v>
      </c>
      <c r="C1818" s="2598" t="s">
        <v>4074</v>
      </c>
      <c r="D1818" s="2627"/>
      <c r="E1818" s="2627"/>
      <c r="F1818" s="2627"/>
      <c r="G1818" s="2627"/>
      <c r="H1818" s="2627"/>
      <c r="I1818" s="2627"/>
      <c r="J1818" s="2627"/>
      <c r="K1818" s="2627"/>
      <c r="L1818" s="2627"/>
      <c r="M1818" s="2627"/>
      <c r="N1818" s="2774" t="s">
        <v>2004</v>
      </c>
      <c r="O1818" s="2668" t="str">
        <f>'Part IX A-Scoring Criteria'!O264</f>
        <v>Yes</v>
      </c>
      <c r="P1818" s="2668">
        <f>'Part IX A-Scoring Criteria'!P264</f>
        <v>0</v>
      </c>
      <c r="Q1818" s="2716"/>
      <c r="R1818" s="2355"/>
      <c r="S1818" s="2355"/>
      <c r="T1818" s="2355"/>
      <c r="U1818" s="2355"/>
      <c r="V1818" s="2859"/>
      <c r="W1818" s="2859"/>
      <c r="X1818" s="2355"/>
      <c r="Y1818" s="2355"/>
      <c r="Z1818" s="2355"/>
    </row>
    <row r="1819" spans="1:26" ht="15">
      <c r="A1819" s="2355"/>
      <c r="B1819" s="2767" t="s">
        <v>3779</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409.5">
      <c r="A1820" s="2433" t="str">
        <f>'Part IX A-Scoring Criteria'!A266</f>
        <v>The Project Team selected commits to continue and improve upon community outreach in the area of Rome, GA. NWGHA has a presence in the community and wonderful working  relationships to continue their success in individual and family wellness. NWGHA has been and will continue to be financially attached to the community.  They will coordinate and continue a transforation strategy which includes the area of the proposed project. Ongoing community meetings are held to encourage feedback and participation in strenghting their community.</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2803</v>
      </c>
      <c r="C1824" s="2766"/>
      <c r="D1824" s="2767"/>
      <c r="E1824" s="2767"/>
      <c r="F1824" s="2766"/>
      <c r="G1824" s="2766"/>
      <c r="H1824" s="2357" t="s">
        <v>4232</v>
      </c>
      <c r="I1824" s="2766"/>
      <c r="J1824" s="2766"/>
      <c r="K1824" s="2766"/>
      <c r="L1824" s="2766"/>
      <c r="M1824" s="2563">
        <v>7</v>
      </c>
      <c r="N1824" s="2554"/>
      <c r="O1824" s="2566">
        <f>'Part IX A-Scoring Criteria'!O270</f>
        <v>0</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3624</v>
      </c>
      <c r="B1826" s="2570" t="s">
        <v>3622</v>
      </c>
      <c r="C1826" s="2766"/>
      <c r="D1826" s="2767"/>
      <c r="E1826" s="2767"/>
      <c r="F1826" s="2766"/>
      <c r="G1826" s="2766"/>
      <c r="H1826" s="2357"/>
      <c r="I1826" s="2766"/>
      <c r="J1826" s="2766"/>
      <c r="K1826" s="2766"/>
      <c r="L1826" s="2766"/>
      <c r="M1826" s="2554">
        <v>3</v>
      </c>
      <c r="N1826" s="2810" t="s">
        <v>4083</v>
      </c>
      <c r="O1826" s="2566">
        <f>'Part IX A-Scoring Criteria'!O272</f>
        <v>0</v>
      </c>
      <c r="P1826" s="2563">
        <f>'Part IX A-Scoring Criteria'!P272</f>
        <v>0</v>
      </c>
      <c r="Q1826" s="2563"/>
      <c r="R1826" s="2748"/>
      <c r="S1826" s="2766"/>
      <c r="T1826" s="2766"/>
      <c r="U1826" s="2766"/>
      <c r="V1826" s="2766"/>
      <c r="W1826" s="2766"/>
      <c r="X1826" s="2766"/>
      <c r="Y1826" s="2766"/>
      <c r="Z1826" s="2766"/>
    </row>
    <row r="1827" spans="1:26">
      <c r="A1827" s="2860"/>
      <c r="B1827" s="2556" t="s">
        <v>2811</v>
      </c>
      <c r="C1827" s="1330"/>
      <c r="D1827" s="1330"/>
      <c r="H1827" s="2570" t="str">
        <f>'Part I-Project Information'!$H$100</f>
        <v>Flexible</v>
      </c>
      <c r="N1827" s="2810"/>
      <c r="O1827" s="2712" t="s">
        <v>2527</v>
      </c>
      <c r="P1827" s="2712" t="s">
        <v>2527</v>
      </c>
    </row>
    <row r="1828" spans="1:26" ht="12.75" customHeight="1">
      <c r="A1828" s="2860"/>
      <c r="B1828" s="2819" t="s">
        <v>2002</v>
      </c>
      <c r="C1828" s="1156" t="s">
        <v>2702</v>
      </c>
      <c r="M1828" s="2550"/>
      <c r="N1828" s="2810"/>
      <c r="O1828" s="2668" t="str">
        <f>'Part IX A-Scoring Criteria'!O274</f>
        <v>N/a</v>
      </c>
      <c r="P1828" s="2668">
        <f>'Part IX A-Scoring Criteria'!P274</f>
        <v>0</v>
      </c>
      <c r="Q1828" s="2861" t="str">
        <f>IF(AND(O1828="Yes",O1831="Yes"),"Only 1 or 4 can be 'Yes'!","")</f>
        <v/>
      </c>
      <c r="R1828" s="2861"/>
    </row>
    <row r="1829" spans="1:26" ht="12.75" customHeight="1">
      <c r="B1829" s="2819" t="s">
        <v>2004</v>
      </c>
      <c r="C1829" s="1156" t="s">
        <v>2756</v>
      </c>
      <c r="G1829" s="1156" t="s">
        <v>2405</v>
      </c>
      <c r="H1829" s="2862" t="str">
        <f>'Part IX A-Scoring Criteria'!H275</f>
        <v>&lt; Select &gt;</v>
      </c>
      <c r="I1829" s="1156" t="s">
        <v>2757</v>
      </c>
      <c r="L1829" s="478" t="s">
        <v>2755</v>
      </c>
      <c r="M1829" s="2659" t="str">
        <f>IF(O1829&gt;H1829,"CHECK ACTUAL PERCENT!!!","")</f>
        <v/>
      </c>
      <c r="N1829" s="2785" t="s">
        <v>2004</v>
      </c>
      <c r="O1829" s="2863">
        <f>'Part IX A-Scoring Criteria'!O275</f>
        <v>0</v>
      </c>
      <c r="P1829" s="2863">
        <f>'Part IX A-Scoring Criteria'!P275</f>
        <v>0</v>
      </c>
      <c r="Q1829" s="2861"/>
      <c r="R1829" s="2861"/>
    </row>
    <row r="1830" spans="1:26" ht="12.75" customHeight="1">
      <c r="B1830" s="2819" t="s">
        <v>2551</v>
      </c>
      <c r="C1830" s="1156" t="s">
        <v>2406</v>
      </c>
      <c r="G1830" s="1156" t="s">
        <v>2407</v>
      </c>
      <c r="L1830" s="2598" t="s">
        <v>2749</v>
      </c>
      <c r="M1830" s="2355"/>
      <c r="N1830" s="2785" t="s">
        <v>2551</v>
      </c>
      <c r="O1830" s="2660" t="str">
        <f>'Part IX A-Scoring Criteria'!O276</f>
        <v>&lt;Select&gt;</v>
      </c>
      <c r="P1830" s="2660" t="str">
        <f>'Part IX A-Scoring Criteria'!P276</f>
        <v>&lt;Select&gt;</v>
      </c>
      <c r="Q1830" s="2861"/>
      <c r="R1830" s="2861"/>
    </row>
    <row r="1831" spans="1:26" ht="12.75" customHeight="1">
      <c r="A1831" s="2679"/>
      <c r="B1831" s="2824" t="s">
        <v>1236</v>
      </c>
      <c r="C1831" s="2662" t="s">
        <v>4863</v>
      </c>
      <c r="D1831" s="2662"/>
      <c r="E1831" s="2662"/>
      <c r="F1831" s="2662"/>
      <c r="G1831" s="2662"/>
      <c r="H1831" s="2662"/>
      <c r="I1831" s="2662"/>
      <c r="J1831" s="2864" t="s">
        <v>4082</v>
      </c>
      <c r="K1831" s="2864" t="s">
        <v>4080</v>
      </c>
      <c r="L1831" s="2679"/>
      <c r="M1831" s="2557">
        <v>2</v>
      </c>
      <c r="N1831" s="2785" t="s">
        <v>1236</v>
      </c>
      <c r="O1831" s="2714">
        <f>'Part IX A-Scoring Criteria'!O277</f>
        <v>0</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4145</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3623</v>
      </c>
      <c r="C1834" s="1156"/>
      <c r="G1834" s="1156"/>
      <c r="M1834" s="2554">
        <v>2</v>
      </c>
      <c r="N1834" s="2584" t="s">
        <v>757</v>
      </c>
      <c r="O1834" s="2566">
        <f>'Part IX A-Scoring Criteria'!O280</f>
        <v>0</v>
      </c>
      <c r="P1834" s="2566">
        <f>'Part IX A-Scoring Criteria'!P280</f>
        <v>0</v>
      </c>
    </row>
    <row r="1835" spans="1:26">
      <c r="A1835" s="2605"/>
      <c r="B1835" s="2725" t="s">
        <v>3627</v>
      </c>
      <c r="C1835" s="2725"/>
      <c r="D1835" s="2725"/>
      <c r="E1835" s="2725"/>
      <c r="F1835" s="2725"/>
      <c r="G1835" s="2725"/>
      <c r="H1835" s="2670"/>
      <c r="I1835" s="2670"/>
      <c r="N1835" s="2550"/>
      <c r="O1835" s="2660" t="str">
        <f>'Part IX A-Scoring Criteria'!O281</f>
        <v>&lt;Select&gt;</v>
      </c>
      <c r="P1835" s="2660" t="str">
        <f>'Part IX A-Scoring Criteria'!P281</f>
        <v>&lt;Select&gt;</v>
      </c>
    </row>
    <row r="1836" spans="1:26">
      <c r="A1836" s="2605" t="s">
        <v>2131</v>
      </c>
      <c r="B1836" s="2819" t="s">
        <v>3625</v>
      </c>
      <c r="C1836" s="1156"/>
      <c r="G1836" s="2736" t="s">
        <v>3626</v>
      </c>
      <c r="H1836" s="2870">
        <f>'Part VI-Revenues &amp; Expenses'!$O$59</f>
        <v>0</v>
      </c>
      <c r="I1836" s="2712" t="s">
        <v>3629</v>
      </c>
      <c r="J1836" s="2870">
        <f>'Part VI-Revenues &amp; Expenses'!$O$62</f>
        <v>66</v>
      </c>
      <c r="K1836" s="2712" t="s">
        <v>3630</v>
      </c>
      <c r="L1836" s="2871">
        <f>IF(J1836=0,0,H1836/J1836)</f>
        <v>0</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4084</v>
      </c>
      <c r="C1840" s="2766"/>
      <c r="D1840" s="2767"/>
      <c r="E1840" s="2767"/>
      <c r="F1840" s="2766"/>
      <c r="G1840" s="2766"/>
      <c r="H1840" s="2357"/>
      <c r="I1840" s="2872" t="s">
        <v>3827</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3818</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t="str">
        <f>'Part IX A-Scoring Criteria'!O287</f>
        <v>No</v>
      </c>
      <c r="P1841" s="2668">
        <f>'Part IX A-Scoring Criteria'!P287</f>
        <v>0</v>
      </c>
      <c r="U1841" s="2712">
        <f>IF(L1841="Yes",1,0)</f>
        <v>0</v>
      </c>
    </row>
    <row r="1842" spans="1:26">
      <c r="A1842" s="2562" t="s">
        <v>2001</v>
      </c>
      <c r="B1842" s="2873" t="s">
        <v>3819</v>
      </c>
      <c r="D1842" s="2722"/>
      <c r="L1842" s="2722"/>
      <c r="M1842" s="2874"/>
      <c r="N1842" s="2703" t="s">
        <v>2001</v>
      </c>
      <c r="O1842" s="2668" t="str">
        <f>'Part IX A-Scoring Criteria'!O288</f>
        <v>No</v>
      </c>
      <c r="P1842" s="2668">
        <f>'Part IX A-Scoring Criteria'!P288</f>
        <v>0</v>
      </c>
      <c r="U1842" s="2712">
        <f>IF(L1842="Yes",1,0)</f>
        <v>0</v>
      </c>
    </row>
    <row r="1843" spans="1:26" ht="15">
      <c r="A1843" s="2355"/>
      <c r="B1843" s="2767" t="s">
        <v>3779</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270">
      <c r="A1844" s="2662" t="str">
        <f>'Part IX A-Scoring Criteria'!A290</f>
        <v xml:space="preserve">South Rome is not a HUD Choice Neighborhood or Purpose Built Community.  We could have attempted these points but felt the Communtiy Transfomation was more appropriate for our project than the Purpose Built Communities selection. </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3411</v>
      </c>
      <c r="I1848" s="2748"/>
      <c r="J1848" s="2659" t="s">
        <v>2811</v>
      </c>
      <c r="K1848" s="2556"/>
      <c r="L1848" s="2659" t="str">
        <f>'Part I-Project Information'!$H$100</f>
        <v>Flexible</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4864</v>
      </c>
      <c r="D1849" s="2355"/>
      <c r="E1849" s="2355"/>
      <c r="F1849" s="2355"/>
      <c r="H1849" s="2659" t="s">
        <v>3707</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2724</v>
      </c>
    </row>
    <row r="1850" spans="1:26" ht="12.75" customHeight="1">
      <c r="A1850" s="1156"/>
      <c r="B1850" s="2824" t="s">
        <v>2002</v>
      </c>
      <c r="C1850" s="2662" t="s">
        <v>4245</v>
      </c>
      <c r="D1850" s="2662"/>
      <c r="E1850" s="2662"/>
      <c r="F1850" s="2662"/>
      <c r="G1850" s="2662"/>
      <c r="H1850" s="2662"/>
      <c r="I1850" s="2662"/>
      <c r="J1850" s="2662"/>
      <c r="K1850" s="2662"/>
      <c r="L1850" s="2662"/>
      <c r="M1850" s="2662"/>
      <c r="N1850" s="2774" t="s">
        <v>2002</v>
      </c>
      <c r="O1850" s="2714" t="str">
        <f>'Part IX A-Scoring Criteria'!O296</f>
        <v>No</v>
      </c>
      <c r="P1850" s="2714">
        <f>'Part IX A-Scoring Criteria'!P296</f>
        <v>0</v>
      </c>
      <c r="Q1850" s="2662" t="s">
        <v>4865</v>
      </c>
      <c r="R1850" s="2662"/>
      <c r="S1850" s="2662"/>
      <c r="T1850" s="2662"/>
      <c r="U1850" s="2662"/>
      <c r="V1850" s="2662"/>
      <c r="W1850" s="2662"/>
      <c r="X1850" s="2662"/>
      <c r="Y1850" s="2662"/>
      <c r="Z1850" s="2662"/>
    </row>
    <row r="1851" spans="1:26">
      <c r="A1851" s="478"/>
      <c r="B1851" s="2819"/>
      <c r="C1851" s="478" t="s">
        <v>3833</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3888</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f>'Part IX A-Scoring Criteria'!O299</f>
        <v>0</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f>'Part IX A-Scoring Criteria'!O300</f>
        <v>0</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f>'Part IX A-Scoring Criteria'!O301</f>
        <v>0</v>
      </c>
      <c r="P1855" s="2668">
        <f>'Part IX A-Scoring Criteria'!P301</f>
        <v>0</v>
      </c>
      <c r="Q1855" s="478"/>
      <c r="R1855" s="478"/>
      <c r="S1855" s="478"/>
      <c r="T1855" s="478"/>
      <c r="U1855" s="478"/>
      <c r="V1855" s="478"/>
      <c r="W1855" s="478"/>
      <c r="X1855" s="478"/>
      <c r="Y1855" s="478"/>
      <c r="Z1855" s="478"/>
    </row>
    <row r="1856" spans="1:26">
      <c r="A1856" s="2562" t="s">
        <v>2001</v>
      </c>
      <c r="B1856" s="2570" t="s">
        <v>4866</v>
      </c>
      <c r="C1856" s="2355"/>
      <c r="D1856" s="2355"/>
      <c r="E1856" s="2355"/>
      <c r="F1856" s="2355"/>
      <c r="G1856" s="2355"/>
      <c r="H1856" s="2797" t="s">
        <v>3412</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3631</v>
      </c>
      <c r="C1857" s="2355"/>
      <c r="D1857" s="2355"/>
      <c r="E1857" s="2355"/>
      <c r="F1857" s="2355"/>
      <c r="G1857" s="2355"/>
      <c r="H1857" s="2797"/>
      <c r="I1857" s="2355"/>
      <c r="J1857" s="2355"/>
      <c r="K1857" s="2355"/>
      <c r="L1857" s="2355"/>
      <c r="M1857" s="2554">
        <v>3</v>
      </c>
      <c r="N1857" s="2703" t="s">
        <v>2001</v>
      </c>
      <c r="O1857" s="2747">
        <f>'Part IX A-Scoring Criteria'!O303</f>
        <v>3</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4867</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3</v>
      </c>
      <c r="P1858" s="2747">
        <f>'Part IX A-Scoring Criteria'!P304</f>
        <v>0</v>
      </c>
      <c r="Q1858" s="2787" t="str">
        <f>IF(OR($O1858=$M1858,$O1858=0,$O1858=""),"","*CHECK!*")</f>
        <v/>
      </c>
      <c r="R1858" s="2831" t="s">
        <v>2724</v>
      </c>
      <c r="S1858" s="2355"/>
      <c r="T1858" s="2355"/>
      <c r="U1858" s="2355"/>
      <c r="V1858" s="2355"/>
      <c r="W1858" s="2355"/>
      <c r="X1858" s="2355"/>
      <c r="Y1858" s="2355"/>
      <c r="Z1858" s="2355"/>
    </row>
    <row r="1859" spans="1:26">
      <c r="A1859" s="2668" t="s">
        <v>1365</v>
      </c>
      <c r="B1859" s="2824" t="s">
        <v>2004</v>
      </c>
      <c r="C1859" s="2719" t="s">
        <v>4868</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2724</v>
      </c>
    </row>
    <row r="1860" spans="1:26">
      <c r="A1860" s="2562" t="s">
        <v>757</v>
      </c>
      <c r="B1860" s="2570" t="s">
        <v>4869</v>
      </c>
      <c r="C1860" s="2355"/>
      <c r="D1860" s="2355"/>
      <c r="E1860" s="2355"/>
      <c r="F1860" s="2355"/>
      <c r="G1860" s="2355"/>
      <c r="H1860" s="2797" t="s">
        <v>4090</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3634</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3633</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2724</v>
      </c>
      <c r="S1862" s="2355"/>
      <c r="T1862" s="2355"/>
      <c r="U1862" s="2355"/>
      <c r="V1862" s="2355"/>
      <c r="W1862" s="2355"/>
      <c r="X1862" s="2355"/>
      <c r="Y1862" s="2355"/>
      <c r="Z1862" s="2355"/>
    </row>
    <row r="1863" spans="1:26">
      <c r="A1863" s="2668" t="s">
        <v>1365</v>
      </c>
      <c r="B1863" s="2824" t="s">
        <v>2004</v>
      </c>
      <c r="C1863" s="2659" t="s">
        <v>4870</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2724</v>
      </c>
    </row>
    <row r="1864" spans="1:26">
      <c r="A1864" s="2668" t="s">
        <v>1365</v>
      </c>
      <c r="B1864" s="2824" t="s">
        <v>2551</v>
      </c>
      <c r="C1864" s="2719" t="s">
        <v>4871</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2724</v>
      </c>
    </row>
    <row r="1865" spans="1:26" ht="15">
      <c r="A1865" s="2355"/>
      <c r="B1865" s="2767" t="s">
        <v>3779</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409.5">
      <c r="A1866" s="2662" t="str">
        <f>'Part IX A-Scoring Criteria'!A312</f>
        <v xml:space="preserve">According to Georgia DCA's online GIS mapping system (.http://georgia-dca.maps.arcgis.com), there have never been any LIHTC awards within a mile of the development site.  Therefore, Altoview is eligible for three (3) points under Previous Projects (Flexible Pool) since the site is not within a 1-mile radius of a Georgia Housing Credit development that has received an award in the last Six (6) DCA funding cycles.  											</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2844</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2724</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2724</v>
      </c>
      <c r="S1873" s="2748"/>
      <c r="T1873" s="2815"/>
      <c r="U1873" s="2815"/>
      <c r="V1873" s="2748"/>
      <c r="W1873" s="2748"/>
      <c r="X1873" s="2748"/>
      <c r="Y1873" s="2748"/>
      <c r="Z1873" s="2748"/>
    </row>
    <row r="1874" spans="1:26" ht="18.75">
      <c r="A1874" s="2581"/>
      <c r="B1874" s="2598" t="s">
        <v>4091</v>
      </c>
      <c r="C1874" s="2748"/>
      <c r="D1874" s="478"/>
      <c r="E1874" s="2748"/>
      <c r="F1874" s="2748"/>
      <c r="G1874" s="2748"/>
      <c r="H1874" s="2660"/>
      <c r="I1874" s="2748"/>
      <c r="J1874" s="2748"/>
      <c r="K1874" s="478"/>
      <c r="L1874" s="2766"/>
      <c r="M1874" s="2554"/>
      <c r="N1874" s="2703"/>
      <c r="O1874" s="2668" t="str">
        <f>'Part IX A-Scoring Criteria'!O320</f>
        <v>No</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2799</v>
      </c>
      <c r="B1878" s="2750" t="s">
        <v>4092</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4093</v>
      </c>
      <c r="C1879" s="2620"/>
      <c r="D1879" s="2725"/>
      <c r="E1879" s="478"/>
      <c r="F1879" s="2748"/>
      <c r="G1879" s="2607">
        <f>'Part IX A-Scoring Criteria'!G325</f>
        <v>0</v>
      </c>
      <c r="H1879" s="2748"/>
      <c r="I1879" s="2748"/>
      <c r="J1879" s="2598" t="s">
        <v>2703</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3481</v>
      </c>
      <c r="D1880" s="2355"/>
      <c r="E1880" s="2766"/>
      <c r="F1880" s="2766"/>
      <c r="G1880" s="2766"/>
      <c r="H1880" s="2766"/>
      <c r="I1880" s="2766"/>
      <c r="J1880" s="2766"/>
      <c r="K1880" s="2766"/>
      <c r="L1880" s="2766"/>
      <c r="M1880" s="2766"/>
      <c r="N1880" s="2817" t="s">
        <v>2002</v>
      </c>
      <c r="O1880" s="2668" t="str">
        <f>'Part IX A-Scoring Criteria'!O326</f>
        <v>N/a</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4112</v>
      </c>
      <c r="D1881" s="2355"/>
      <c r="E1881" s="2766"/>
      <c r="F1881" s="2766"/>
      <c r="G1881" s="2766"/>
      <c r="H1881" s="2766"/>
      <c r="I1881" s="2766"/>
      <c r="J1881" s="2766"/>
      <c r="K1881" s="2766"/>
      <c r="L1881" s="2766"/>
      <c r="M1881" s="2766"/>
      <c r="N1881" s="2817" t="s">
        <v>2004</v>
      </c>
      <c r="O1881" s="2668" t="str">
        <f>'Part IX A-Scoring Criteria'!O327</f>
        <v>N/a</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4111</v>
      </c>
      <c r="D1882" s="2355"/>
      <c r="E1882" s="2766"/>
      <c r="F1882" s="2766"/>
      <c r="G1882" s="2766"/>
      <c r="H1882" s="2766"/>
      <c r="I1882" s="2766"/>
      <c r="J1882" s="2766"/>
      <c r="K1882" s="2766"/>
      <c r="L1882" s="2766"/>
      <c r="M1882" s="2766"/>
      <c r="N1882" s="2817" t="s">
        <v>2551</v>
      </c>
      <c r="O1882" s="2668" t="str">
        <f>'Part IX A-Scoring Criteria'!O328</f>
        <v>N/a</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4113</v>
      </c>
      <c r="D1883" s="2355"/>
      <c r="E1883" s="2766"/>
      <c r="F1883" s="2766"/>
      <c r="G1883" s="2766"/>
      <c r="H1883" s="2766"/>
      <c r="I1883" s="2766"/>
      <c r="J1883" s="2766"/>
      <c r="K1883" s="2766"/>
      <c r="L1883" s="2766"/>
      <c r="M1883" s="2766"/>
      <c r="N1883" s="2817" t="s">
        <v>1236</v>
      </c>
      <c r="O1883" s="2668" t="str">
        <f>'Part IX A-Scoring Criteria'!O329</f>
        <v>N/a</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4094</v>
      </c>
      <c r="C1884" s="2620"/>
      <c r="D1884" s="2725"/>
      <c r="E1884" s="478"/>
      <c r="F1884" s="2748"/>
      <c r="G1884" s="2607" t="str">
        <f>'Part IX A-Scoring Criteria'!G330</f>
        <v>Northwest Georgia Housing Authority</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3481</v>
      </c>
      <c r="D1885" s="478"/>
      <c r="E1885" s="478"/>
      <c r="F1885" s="2766"/>
      <c r="G1885" s="2766"/>
      <c r="H1885" s="2766"/>
      <c r="I1885" s="2766"/>
      <c r="J1885" s="2766"/>
      <c r="K1885" s="2766"/>
      <c r="L1885" s="2766"/>
      <c r="M1885" s="2563"/>
      <c r="N1885" s="2817" t="s">
        <v>2002</v>
      </c>
      <c r="O1885" s="2668" t="str">
        <f>'Part IX A-Scoring Criteria'!O331</f>
        <v>Yes</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4125</v>
      </c>
      <c r="D1886" s="2355"/>
      <c r="E1886" s="2766"/>
      <c r="F1886" s="2766"/>
      <c r="G1886" s="2766"/>
      <c r="H1886" s="2766"/>
      <c r="I1886" s="2766"/>
      <c r="J1886" s="2766"/>
      <c r="K1886" s="2766"/>
      <c r="L1886" s="2766"/>
      <c r="M1886" s="2766"/>
      <c r="N1886" s="2817" t="s">
        <v>2004</v>
      </c>
      <c r="O1886" s="2668" t="str">
        <f>'Part IX A-Scoring Criteria'!O332</f>
        <v>Yes</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4113</v>
      </c>
      <c r="D1887" s="2355"/>
      <c r="E1887" s="2766"/>
      <c r="F1887" s="2766"/>
      <c r="G1887" s="2766"/>
      <c r="H1887" s="2766"/>
      <c r="I1887" s="2766"/>
      <c r="J1887" s="2766"/>
      <c r="K1887" s="2766"/>
      <c r="L1887" s="2766"/>
      <c r="M1887" s="2766"/>
      <c r="N1887" s="2817" t="s">
        <v>2551</v>
      </c>
      <c r="O1887" s="2668" t="str">
        <f>'Part IX A-Scoring Criteria'!O333</f>
        <v>Yes</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4095</v>
      </c>
      <c r="C1891" s="2808"/>
      <c r="D1891" s="2808"/>
      <c r="E1891" s="2808"/>
      <c r="F1891" s="2808"/>
      <c r="G1891" s="2808"/>
      <c r="H1891" s="478" t="s">
        <v>3599</v>
      </c>
      <c r="I1891" s="2695" t="str">
        <f>'Part I-Project Information'!$H$100</f>
        <v>Flexible</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2724</v>
      </c>
      <c r="S1891" s="2808"/>
      <c r="T1891" s="2808"/>
      <c r="U1891" s="2808"/>
      <c r="V1891" s="2808"/>
      <c r="W1891" s="2808"/>
      <c r="X1891" s="2808"/>
      <c r="Y1891" s="2808"/>
      <c r="Z1891" s="2808"/>
    </row>
    <row r="1892" spans="1:26" ht="15" customHeight="1">
      <c r="A1892" s="2662" t="s">
        <v>4872</v>
      </c>
      <c r="B1892" s="2662"/>
      <c r="C1892" s="2662"/>
      <c r="D1892" s="2662"/>
      <c r="E1892" s="2662"/>
      <c r="F1892" s="2662"/>
      <c r="G1892" s="2662"/>
      <c r="H1892" s="2662"/>
      <c r="I1892" s="2687" t="s">
        <v>4194</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3779</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56.25">
      <c r="A1896" s="2662" t="str">
        <f>'Part IX A-Scoring Criteria'!A342</f>
        <v>We are not taking the Priority Point for this project.</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4149</v>
      </c>
      <c r="B1900" s="2750" t="s">
        <v>1685</v>
      </c>
      <c r="C1900" s="2748"/>
      <c r="D1900" s="2620"/>
      <c r="E1900" s="2620"/>
      <c r="F1900" s="2748"/>
      <c r="G1900" s="478"/>
      <c r="H1900" s="478"/>
      <c r="I1900" s="478"/>
      <c r="J1900" s="2748"/>
      <c r="K1900" s="2660"/>
      <c r="L1900" s="2711"/>
      <c r="M1900" s="2563">
        <v>2</v>
      </c>
      <c r="N1900" s="2809"/>
      <c r="O1900" s="2747">
        <f>'Part IX A-Scoring Criteria'!O346</f>
        <v>1</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3638</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1</v>
      </c>
      <c r="P1901" s="2747">
        <f>'Part IX A-Scoring Criteria'!P347</f>
        <v>0</v>
      </c>
      <c r="Q1901" s="2787" t="str">
        <f>IF(OR($O1901=$M1901,$O1901=0,$O1901=""),"","*CHECK!*")</f>
        <v/>
      </c>
      <c r="R1901" s="2831" t="s">
        <v>2724</v>
      </c>
      <c r="S1901" s="2748"/>
      <c r="T1901" s="2748"/>
      <c r="U1901" s="2748"/>
      <c r="V1901" s="2748"/>
      <c r="W1901" s="2748"/>
      <c r="X1901" s="2748"/>
      <c r="Y1901" s="2748"/>
      <c r="Z1901" s="2748"/>
    </row>
    <row r="1902" spans="1:26" ht="15">
      <c r="A1902" s="2748"/>
      <c r="B1902" s="2598" t="s">
        <v>4099</v>
      </c>
      <c r="C1902" s="2748"/>
      <c r="D1902" s="2766"/>
      <c r="E1902" s="2620"/>
      <c r="F1902" s="478"/>
      <c r="G1902" s="478"/>
      <c r="H1902" s="478" t="str">
        <f>'Part IX A-Scoring Criteria'!H348</f>
        <v>Rome</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4096</v>
      </c>
      <c r="D1903" s="478"/>
      <c r="E1903" s="478"/>
      <c r="F1903" s="478"/>
      <c r="G1903" s="478"/>
      <c r="H1903" s="478"/>
      <c r="I1903" s="478"/>
      <c r="J1903" s="478"/>
      <c r="K1903" s="478"/>
      <c r="L1903" s="478"/>
      <c r="M1903" s="478"/>
      <c r="N1903" s="2817" t="s">
        <v>2002</v>
      </c>
      <c r="O1903" s="2668" t="str">
        <f>'Part IX A-Scoring Criteria'!O349</f>
        <v>Yes</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4097</v>
      </c>
      <c r="D1904" s="478"/>
      <c r="E1904" s="478"/>
      <c r="F1904" s="478"/>
      <c r="G1904" s="478"/>
      <c r="H1904" s="478"/>
      <c r="I1904" s="478"/>
      <c r="J1904" s="478"/>
      <c r="K1904" s="478"/>
      <c r="L1904" s="478"/>
      <c r="M1904" s="478"/>
      <c r="N1904" s="2817" t="s">
        <v>2004</v>
      </c>
      <c r="O1904" s="2668" t="str">
        <f>'Part IX A-Scoring Criteria'!O350</f>
        <v>Yes</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4098</v>
      </c>
      <c r="D1905" s="478"/>
      <c r="E1905" s="478"/>
      <c r="F1905" s="478"/>
      <c r="G1905" s="478"/>
      <c r="H1905" s="478"/>
      <c r="I1905" s="478"/>
      <c r="J1905" s="478"/>
      <c r="K1905" s="478"/>
      <c r="L1905" s="478"/>
      <c r="M1905" s="478"/>
      <c r="N1905" s="2817" t="s">
        <v>2551</v>
      </c>
      <c r="O1905" s="2668" t="str">
        <f>'Part IX A-Scoring Criteria'!O351</f>
        <v>Yes</v>
      </c>
      <c r="P1905" s="2668">
        <f>'Part IX A-Scoring Criteria'!P351</f>
        <v>0</v>
      </c>
      <c r="Q1905" s="478"/>
      <c r="R1905" s="478"/>
      <c r="S1905" s="478"/>
      <c r="T1905" s="478"/>
      <c r="U1905" s="478"/>
      <c r="V1905" s="478"/>
      <c r="W1905" s="478"/>
      <c r="X1905" s="478"/>
      <c r="Y1905" s="478"/>
      <c r="Z1905" s="478"/>
    </row>
    <row r="1906" spans="1:26">
      <c r="A1906" s="1156"/>
      <c r="B1906" s="2771" t="s">
        <v>3639</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2814</v>
      </c>
      <c r="D1908" s="2355"/>
      <c r="H1908" s="2876" t="s">
        <v>3507</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2724</v>
      </c>
    </row>
    <row r="1909" spans="1:26">
      <c r="A1909" s="2355"/>
      <c r="B1909" s="478" t="s">
        <v>2815</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3641</v>
      </c>
      <c r="C1910" s="478" t="str">
        <f>'Part I-Project Information'!$F$38</f>
        <v>Rome</v>
      </c>
      <c r="D1910" s="2355"/>
      <c r="E1910" s="478" t="s">
        <v>3506</v>
      </c>
      <c r="F1910" s="478" t="str">
        <f>'Part I-Project Information'!$J$39</f>
        <v>Floyd</v>
      </c>
      <c r="G1910" s="2355"/>
      <c r="H1910" s="2598" t="s">
        <v>455</v>
      </c>
      <c r="I1910" s="2598" t="str">
        <f>'Part I-Project Information'!$N$39</f>
        <v>Yes</v>
      </c>
      <c r="J1910" s="2355"/>
      <c r="K1910" s="2598" t="s">
        <v>3640</v>
      </c>
      <c r="L1910" s="2846" t="str">
        <f>'Part I-Project Information'!$O$38</f>
        <v>13115001600</v>
      </c>
      <c r="M1910" s="2846"/>
      <c r="N1910" s="2846"/>
      <c r="O1910" s="2846"/>
      <c r="P1910" s="2846"/>
      <c r="Q1910" s="2355"/>
      <c r="R1910" s="2355"/>
      <c r="S1910" s="2355"/>
      <c r="T1910" s="2355"/>
      <c r="U1910" s="2355"/>
      <c r="V1910" s="2355"/>
      <c r="W1910" s="2355"/>
      <c r="X1910" s="2355"/>
      <c r="Y1910" s="2355"/>
      <c r="Z1910" s="2355"/>
    </row>
    <row r="1911" spans="1:26" ht="15">
      <c r="A1911" s="2355"/>
      <c r="B1911" s="2767" t="s">
        <v>3779</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292.5">
      <c r="A1912" s="2662" t="str">
        <f>'Part IX A-Scoring Criteria'!A358</f>
        <v>Rome Redevleopment Authority has supplied the Applicant with the GICH letter for this community. A support letter as well as a targeted area letter have been included in this application.  Member of the GICH team is also one of our quarterback club.</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4150</v>
      </c>
      <c r="B1916" s="2750" t="s">
        <v>4102</v>
      </c>
      <c r="C1916" s="2748"/>
      <c r="D1916" s="2620"/>
      <c r="E1916" s="2620"/>
      <c r="F1916" s="478"/>
      <c r="G1916" s="478"/>
      <c r="H1916" s="2570" t="s">
        <v>2811</v>
      </c>
      <c r="I1916" s="2748"/>
      <c r="J1916" s="2570" t="str">
        <f>'Part I-Project Information'!$H$100</f>
        <v>Flexible</v>
      </c>
      <c r="K1916" s="2748"/>
      <c r="L1916" s="2711" t="str">
        <f>IF(OR($O1916=$M1916,$O1916=$M1923,$O1916=$M1941,$O1916=0,$O1916=""),"","* * Check Score! * *")</f>
        <v/>
      </c>
      <c r="M1916" s="2747">
        <v>4</v>
      </c>
      <c r="N1916" s="2554"/>
      <c r="O1916" s="2747">
        <f>'Part IX A-Scoring Criteria'!O362</f>
        <v>1</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2900</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45">
      <c r="A1918" s="1156"/>
      <c r="B1918" s="2703" t="s">
        <v>2451</v>
      </c>
      <c r="C1918" s="1156" t="s">
        <v>2845</v>
      </c>
      <c r="D1918" s="1156"/>
      <c r="E1918" s="2620"/>
      <c r="F1918" s="478"/>
      <c r="G1918" s="478"/>
      <c r="H1918" s="478"/>
      <c r="I1918" s="478"/>
      <c r="J1918" s="2748"/>
      <c r="K1918" s="2660"/>
      <c r="L1918" s="2737" t="str">
        <f>IF(OR(O1918="No",O1918="",O1919="No",O1919="",O1920="No",O1920="",O1921="No",O1921=""),"Unmet criterion results in no points!","")</f>
        <v>Unmet criterion results in no points!</v>
      </c>
      <c r="M1918" s="2737"/>
      <c r="N1918" s="2703" t="s">
        <v>2451</v>
      </c>
      <c r="O1918" s="2668" t="str">
        <f>'Part IX A-Scoring Criteria'!O364</f>
        <v>No</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3836</v>
      </c>
      <c r="D1919" s="1156"/>
      <c r="E1919" s="1156"/>
      <c r="F1919" s="1156"/>
      <c r="G1919" s="1156"/>
      <c r="H1919" s="1156"/>
      <c r="I1919" s="1156"/>
      <c r="J1919" s="1156"/>
      <c r="K1919" s="1156"/>
      <c r="L1919" s="2737"/>
      <c r="M1919" s="2737"/>
      <c r="N1919" s="2713" t="s">
        <v>2452</v>
      </c>
      <c r="O1919" s="2668" t="str">
        <f>'Part IX A-Scoring Criteria'!O365</f>
        <v>No</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3835</v>
      </c>
      <c r="D1920" s="1156"/>
      <c r="E1920" s="1156"/>
      <c r="F1920" s="1156"/>
      <c r="G1920" s="1156"/>
      <c r="H1920" s="1156"/>
      <c r="I1920" s="1156"/>
      <c r="J1920" s="1156"/>
      <c r="K1920" s="1156"/>
      <c r="L1920" s="2737"/>
      <c r="M1920" s="2737"/>
      <c r="N1920" s="2703" t="s">
        <v>2453</v>
      </c>
      <c r="O1920" s="2668" t="str">
        <f>'Part IX A-Scoring Criteria'!O366</f>
        <v>No</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4103</v>
      </c>
      <c r="D1921" s="2627"/>
      <c r="E1921" s="2627"/>
      <c r="F1921" s="2627"/>
      <c r="G1921" s="2627"/>
      <c r="H1921" s="2627"/>
      <c r="I1921" s="2627"/>
      <c r="J1921" s="2627"/>
      <c r="K1921" s="2627"/>
      <c r="L1921" s="2627"/>
      <c r="M1921" s="2627"/>
      <c r="N1921" s="2713" t="s">
        <v>2454</v>
      </c>
      <c r="O1921" s="2714" t="str">
        <f>'Part IX A-Scoring Criteria'!O367</f>
        <v>No</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4104</v>
      </c>
      <c r="L1923" s="2711" t="str">
        <f>IF(OR($O1923=$M1923,$O1923=0,$O1923=""),"","* * Check Score! * *")</f>
        <v/>
      </c>
      <c r="M1923" s="2557">
        <v>3</v>
      </c>
      <c r="N1923" s="2703" t="s">
        <v>1999</v>
      </c>
      <c r="O1923" s="2747">
        <f>'Part IX A-Scoring Criteria'!O369</f>
        <v>0</v>
      </c>
      <c r="P1923" s="2747">
        <f>'Part IX A-Scoring Criteria'!P369</f>
        <v>0</v>
      </c>
      <c r="Q1923" s="2787" t="str">
        <f>IF(OR($O1923=$M1923,$O1923=0,$O1923=""),"","*CHECK!*")</f>
        <v/>
      </c>
      <c r="R1923" s="2831" t="s">
        <v>2724</v>
      </c>
    </row>
    <row r="1924" spans="1:26" ht="12.75" customHeight="1">
      <c r="A1924" s="2878"/>
      <c r="B1924" s="2800" t="s">
        <v>2002</v>
      </c>
      <c r="C1924" s="2662" t="s">
        <v>4105</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3645</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3482</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2748</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3643</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4550</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3644</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3646</v>
      </c>
      <c r="C1934" s="478" t="s">
        <v>4187</v>
      </c>
      <c r="I1934" s="2703" t="s">
        <v>3646</v>
      </c>
      <c r="J1934" s="2615">
        <f>'Part IX A-Scoring Criteria'!J380</f>
        <v>0</v>
      </c>
      <c r="K1934" s="2615">
        <f>'Part IX A-Scoring Criteria'!K380</f>
        <v>0</v>
      </c>
      <c r="L1934" s="2703" t="s">
        <v>3646</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4873</v>
      </c>
      <c r="H1935" s="2695" t="s">
        <v>2645</v>
      </c>
      <c r="J1935" s="2615">
        <f>SUM(J1925:K1934)</f>
        <v>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0</v>
      </c>
      <c r="I1937" s="2557"/>
      <c r="J1937" s="2615">
        <f>'Part IV-A-Uses of Funds'!$G$132</f>
        <v>13480710.35</v>
      </c>
      <c r="K1937" s="2615"/>
      <c r="M1937" s="2348"/>
      <c r="N1937" s="2348"/>
      <c r="P1937" s="2348"/>
    </row>
    <row r="1938" spans="1:26" ht="12.75" customHeight="1">
      <c r="A1938" s="2653" t="s">
        <v>4874</v>
      </c>
      <c r="B1938" s="2653"/>
      <c r="C1938" s="2653"/>
      <c r="D1938" s="2653"/>
      <c r="E1938" s="2736" t="s">
        <v>2647</v>
      </c>
      <c r="H1938" s="2881">
        <f>'Part IX A-Scoring Criteria'!H384</f>
        <v>0</v>
      </c>
      <c r="I1938" s="2557"/>
      <c r="J1938" s="2882">
        <f>IF($J1937=0,0,$J1935/$J1937)</f>
        <v>0</v>
      </c>
      <c r="K1938" s="2882"/>
      <c r="M1938" s="2882">
        <f>IF($J1937=0,0,$M1935/$J1937)</f>
        <v>0</v>
      </c>
      <c r="N1938" s="2882"/>
      <c r="O1938" s="2882"/>
      <c r="P1938" s="2882"/>
    </row>
    <row r="1939" spans="1:26" ht="15">
      <c r="A1939" s="2653"/>
      <c r="B1939" s="2653"/>
      <c r="C1939" s="2653"/>
      <c r="D1939" s="2653"/>
      <c r="E1939" s="2725" t="s">
        <v>4300</v>
      </c>
      <c r="F1939" s="2748"/>
      <c r="G1939" s="2748"/>
      <c r="H1939" s="2690">
        <f>'Part IX A-Scoring Criteria'!H385</f>
        <v>0</v>
      </c>
      <c r="I1939" s="2557"/>
      <c r="J1939" s="2603">
        <f>IF(L1918="",IF(OR(AND($J1916="Flexible",$J1938&gt;=0.15),AND($J1916="Rural",$J1938&gt;=0.1)), 4,IF(AND($J1916="Flexible",$J1938&gt;=0.1), 3,IF(OR(AND($J1916="Flexible",$J1938&gt;=0.05),AND($J1916="Rural",$J1938&gt;=0.05)), 2,IF(OR(AND($J1916="Flexible",$J1938&gt;=0.02),AND($J1916="Rural",$J1938&gt;=0.02)),1,0)))),0)</f>
        <v>0</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3647</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1</v>
      </c>
      <c r="P1941" s="2747">
        <f>'Part IX A-Scoring Criteria'!P387</f>
        <v>0</v>
      </c>
      <c r="Q1941" s="2563" t="s">
        <v>443</v>
      </c>
      <c r="R1941" s="2831" t="s">
        <v>2724</v>
      </c>
      <c r="S1941" s="2766"/>
      <c r="T1941" s="2766"/>
      <c r="U1941" s="2766"/>
      <c r="V1941" s="2815"/>
      <c r="W1941" s="2815"/>
      <c r="X1941" s="2766"/>
      <c r="Y1941" s="2766"/>
      <c r="Z1941" s="2766"/>
    </row>
    <row r="1942" spans="1:26" ht="18.75" customHeight="1">
      <c r="A1942" s="2581"/>
      <c r="B1942" s="2713" t="s">
        <v>2451</v>
      </c>
      <c r="C1942" s="2662" t="s">
        <v>4106</v>
      </c>
      <c r="D1942" s="2662"/>
      <c r="E1942" s="2662"/>
      <c r="F1942" s="2662"/>
      <c r="G1942" s="2662"/>
      <c r="H1942" s="2662"/>
      <c r="I1942" s="2662"/>
      <c r="J1942" s="2662"/>
      <c r="K1942" s="2662"/>
      <c r="L1942" s="2662"/>
      <c r="M1942" s="2662"/>
      <c r="N1942" s="2713" t="s">
        <v>2451</v>
      </c>
      <c r="O1942" s="2714" t="str">
        <f>'Part IX A-Scoring Criteria'!O388</f>
        <v>Yes</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3828</v>
      </c>
      <c r="D1943" s="478"/>
      <c r="E1943" s="478"/>
      <c r="F1943" s="478"/>
      <c r="G1943" s="478"/>
      <c r="H1943" s="478"/>
      <c r="I1943" s="478"/>
      <c r="J1943" s="478"/>
      <c r="K1943" s="478"/>
      <c r="L1943" s="2748"/>
      <c r="M1943" s="478"/>
      <c r="N1943" s="2713" t="s">
        <v>2452</v>
      </c>
      <c r="O1943" s="2668" t="str">
        <f>'Part IX A-Scoring Criteria'!O389</f>
        <v>Yes</v>
      </c>
      <c r="P1943" s="2668">
        <f>'Part IX A-Scoring Criteria'!P389</f>
        <v>0</v>
      </c>
      <c r="Q1943" s="2748"/>
      <c r="R1943" s="2748"/>
      <c r="S1943" s="2748"/>
      <c r="T1943" s="2748"/>
      <c r="U1943" s="2748"/>
      <c r="V1943" s="2815"/>
      <c r="W1943" s="2815"/>
      <c r="X1943" s="2748"/>
      <c r="Y1943" s="2748"/>
      <c r="Z1943" s="2748"/>
    </row>
    <row r="1944" spans="1:26">
      <c r="B1944" s="2703" t="s">
        <v>2453</v>
      </c>
      <c r="C1944" s="1156" t="s">
        <v>4107</v>
      </c>
      <c r="N1944" s="2703" t="s">
        <v>2453</v>
      </c>
      <c r="O1944" s="2668" t="str">
        <f>'Part IX A-Scoring Criteria'!O390</f>
        <v>Yes</v>
      </c>
      <c r="P1944" s="2668">
        <f>'Part IX A-Scoring Criteria'!P390</f>
        <v>0</v>
      </c>
    </row>
    <row r="1945" spans="1:26">
      <c r="B1945" s="2767" t="s">
        <v>3779</v>
      </c>
      <c r="N1945" s="2550"/>
      <c r="O1945" s="2552"/>
      <c r="P1945" s="2552"/>
    </row>
    <row r="1946" spans="1:26" ht="157.5">
      <c r="A1946" s="2662" t="str">
        <f>'Part IX A-Scoring Criteria'!A392</f>
        <v>Altoview Terrace, LP will execute a 70 year ground lease at receipt of tax credit award.  See attached documents in site control.</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4148</v>
      </c>
      <c r="B1950" s="2748"/>
      <c r="C1950" s="2750" t="s">
        <v>2737</v>
      </c>
      <c r="D1950" s="2725"/>
      <c r="E1950" s="478"/>
      <c r="F1950" s="2748"/>
      <c r="G1950" s="2748"/>
      <c r="H1950" s="2748"/>
      <c r="I1950" s="2748"/>
      <c r="J1950" s="2797"/>
      <c r="K1950" s="2748"/>
      <c r="L1950" s="2748"/>
      <c r="M1950" s="2563">
        <v>3</v>
      </c>
      <c r="N1950" s="2554"/>
      <c r="O1950" s="2747">
        <f>'Part IX A-Scoring Criteria'!O396</f>
        <v>3</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3673</v>
      </c>
      <c r="C1951" s="2748"/>
      <c r="D1951" s="2355"/>
      <c r="E1951" s="2355"/>
      <c r="F1951" s="2355"/>
      <c r="G1951" s="2748"/>
      <c r="H1951" s="2748"/>
      <c r="I1951" s="2748"/>
      <c r="J1951" s="2598" t="s">
        <v>3839</v>
      </c>
      <c r="K1951" s="2748"/>
      <c r="L1951" s="2635">
        <f>'Part VI-Revenues &amp; Expenses'!$O$62*0.1</f>
        <v>6.6000000000000005</v>
      </c>
      <c r="M1951" s="2554">
        <v>2</v>
      </c>
      <c r="N1951" s="2703" t="s">
        <v>1999</v>
      </c>
      <c r="O1951" s="2845">
        <f>'Part IX A-Scoring Criteria'!O397</f>
        <v>0</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3838</v>
      </c>
      <c r="D1952" s="2662"/>
      <c r="E1952" s="2662"/>
      <c r="F1952" s="2662"/>
      <c r="G1952" s="2662"/>
      <c r="H1952" s="2662"/>
      <c r="I1952" s="2662"/>
      <c r="J1952" s="2598" t="s">
        <v>3841</v>
      </c>
      <c r="K1952" s="2748"/>
      <c r="L1952" s="2635">
        <f>'Part VI-Revenues &amp; Expenses'!$O$58</f>
        <v>66</v>
      </c>
      <c r="M1952" s="2587" t="str">
        <f>IF(L1954&lt;L1953,"Check 1BR LI count!","")</f>
        <v/>
      </c>
      <c r="N1952" s="2774" t="s">
        <v>2002</v>
      </c>
      <c r="O1952" s="2714">
        <f>'Part IX A-Scoring Criteria'!O398</f>
        <v>0</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3842</v>
      </c>
      <c r="K1953" s="2799"/>
      <c r="L1953" s="2635">
        <f>L1952*0.1</f>
        <v>6.6000000000000005</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3843</v>
      </c>
      <c r="K1954" s="2799"/>
      <c r="L1954" s="2635">
        <f>'Part VI-Revenues &amp; Expenses'!$K$58</f>
        <v>16</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3414</v>
      </c>
      <c r="D1955" s="2662"/>
      <c r="E1955" s="2662"/>
      <c r="F1955" s="2662"/>
      <c r="G1955" s="2662"/>
      <c r="H1955" s="2662"/>
      <c r="I1955" s="2662"/>
      <c r="J1955" s="2662"/>
      <c r="K1955" s="2662"/>
      <c r="L1955" s="2662"/>
      <c r="M1955" s="2662"/>
      <c r="N1955" s="2774" t="s">
        <v>2004</v>
      </c>
      <c r="O1955" s="2668">
        <f>'Part IX A-Scoring Criteria'!O401</f>
        <v>0</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3840</v>
      </c>
      <c r="D1956" s="2662"/>
      <c r="E1956" s="2662"/>
      <c r="F1956" s="2662"/>
      <c r="G1956" s="2662"/>
      <c r="H1956" s="2662"/>
      <c r="I1956" s="2662"/>
      <c r="J1956" s="2662"/>
      <c r="K1956" s="2662"/>
      <c r="L1956" s="2662"/>
      <c r="M1956" s="2662"/>
      <c r="N1956" s="2774" t="s">
        <v>2551</v>
      </c>
      <c r="O1956" s="2668">
        <f>'Part IX A-Scoring Criteria'!O402</f>
        <v>0</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3837</v>
      </c>
      <c r="D1957" s="2662"/>
      <c r="E1957" s="2662"/>
      <c r="F1957" s="2662"/>
      <c r="G1957" s="2662"/>
      <c r="H1957" s="2662"/>
      <c r="I1957" s="2662"/>
      <c r="J1957" s="2662"/>
      <c r="K1957" s="2662"/>
      <c r="L1957" s="2662"/>
      <c r="M1957" s="2662"/>
      <c r="N1957" s="2774" t="s">
        <v>1236</v>
      </c>
      <c r="O1957" s="2668">
        <f>'Part IX A-Scoring Criteria'!O403</f>
        <v>0</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2738</v>
      </c>
      <c r="C1959" s="2748"/>
      <c r="D1959" s="2598"/>
      <c r="E1959" s="2748"/>
      <c r="F1959" s="2748"/>
      <c r="G1959" s="478"/>
      <c r="H1959" s="2748"/>
      <c r="I1959" s="2748"/>
      <c r="J1959" s="2748"/>
      <c r="K1959" s="2748"/>
      <c r="L1959" s="2748"/>
      <c r="M1959" s="2554">
        <v>3</v>
      </c>
      <c r="N1959" s="2703" t="s">
        <v>2001</v>
      </c>
      <c r="O1959" s="2845">
        <f>'Part IX A-Scoring Criteria'!O405</f>
        <v>3</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3860</v>
      </c>
      <c r="D1960" s="2662"/>
      <c r="E1960" s="2662"/>
      <c r="F1960" s="2662"/>
      <c r="G1960" s="2662"/>
      <c r="H1960" s="2662"/>
      <c r="I1960" s="2662"/>
      <c r="J1960" s="2662"/>
      <c r="K1960" s="2662"/>
      <c r="L1960" s="2662"/>
      <c r="M1960" s="2662"/>
      <c r="N1960" s="2774" t="s">
        <v>2002</v>
      </c>
      <c r="O1960" s="2714" t="str">
        <f>'Part IX A-Scoring Criteria'!O406</f>
        <v>Agree</v>
      </c>
      <c r="P1960" s="2714">
        <f>'Part IX A-Scoring Criteria'!P406</f>
        <v>0</v>
      </c>
      <c r="Q1960" s="2805"/>
      <c r="R1960" s="2806"/>
      <c r="S1960" s="2799"/>
      <c r="T1960" s="2799"/>
      <c r="U1960" s="2799"/>
      <c r="V1960" s="2799"/>
      <c r="W1960" s="2799"/>
      <c r="X1960" s="2799"/>
      <c r="Y1960" s="2799"/>
      <c r="Z1960" s="2799"/>
    </row>
    <row r="1961" spans="1:26" ht="38.25">
      <c r="A1961" s="2702"/>
      <c r="B1961" s="2800"/>
      <c r="C1961" s="2722" t="s">
        <v>3678</v>
      </c>
      <c r="D1961" s="2665"/>
      <c r="E1961" s="2665"/>
      <c r="F1961" s="2665"/>
      <c r="G1961" s="2433" t="str">
        <f>'Part IX A-Scoring Criteria'!G407</f>
        <v>Northwest GA Housing Authority</v>
      </c>
      <c r="H1961" s="2433">
        <f>'Part IX A-Scoring Criteria'!H407</f>
        <v>0</v>
      </c>
      <c r="I1961" s="2433">
        <f>'Part IX A-Scoring Criteria'!I407</f>
        <v>0</v>
      </c>
      <c r="J1961" s="2883" t="s">
        <v>3679</v>
      </c>
      <c r="K1961" s="2799"/>
      <c r="L1961" s="2884" t="str">
        <f>'Part IX A-Scoring Criteria'!L407</f>
        <v>20 years</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3415</v>
      </c>
      <c r="D1962" s="2687"/>
      <c r="E1962" s="2687"/>
      <c r="F1962" s="2687"/>
      <c r="G1962" s="2687"/>
      <c r="H1962" s="2687"/>
      <c r="I1962" s="2687"/>
      <c r="J1962" s="2687" t="s">
        <v>3677</v>
      </c>
      <c r="K1962" s="2687"/>
      <c r="L1962" s="2635">
        <v>0</v>
      </c>
      <c r="M1962" s="2885">
        <f>IF('Part VI-Revenues &amp; Expenses'!$O$62=0,0,L1962/'Part VI-Revenues &amp; Expenses'!$O$62)</f>
        <v>0</v>
      </c>
      <c r="N1962" s="2774" t="s">
        <v>2004</v>
      </c>
      <c r="O1962" s="2714" t="str">
        <f>'Part IX A-Scoring Criteria'!O408</f>
        <v>Agree</v>
      </c>
      <c r="P1962" s="2714">
        <f>'Part IX A-Scoring Criteria'!P408</f>
        <v>0</v>
      </c>
      <c r="Q1962" s="2687"/>
      <c r="R1962" s="2687"/>
      <c r="S1962" s="2687"/>
      <c r="T1962" s="2687"/>
      <c r="U1962" s="2687"/>
      <c r="V1962" s="2687"/>
      <c r="W1962" s="2687"/>
      <c r="X1962" s="2687"/>
      <c r="Y1962" s="2687"/>
      <c r="Z1962" s="2687"/>
    </row>
    <row r="1963" spans="1:26" ht="15">
      <c r="A1963" s="2355"/>
      <c r="B1963" s="2767" t="s">
        <v>3779</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405">
      <c r="A1964" s="2662" t="str">
        <f>'Part IX A-Scoring Criteria'!A410</f>
        <v xml:space="preserve">We have set aside 15% (10) of the units for Integrated Supportive Housing Targeted Population Preference units. Eventhough there is RAD on all units, NWGHA is commiting project based vouchers for minimum of 10 years, to cover the resdients portion of the rent. The rent rate will be the same and these units are included in the breakdown of rents above. </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4151</v>
      </c>
      <c r="B1968" s="2750" t="s">
        <v>2739</v>
      </c>
      <c r="C1968" s="2748"/>
      <c r="D1968" s="2598"/>
      <c r="E1968" s="2748"/>
      <c r="F1968" s="2748"/>
      <c r="G1968" s="2797" t="s">
        <v>3411</v>
      </c>
      <c r="H1968" s="2748"/>
      <c r="I1968" s="2748"/>
      <c r="J1968" s="478" t="s">
        <v>3417</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3483</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2848</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4875</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2724</v>
      </c>
      <c r="S1972" s="2799"/>
      <c r="T1972" s="2799"/>
      <c r="U1972" s="2799"/>
      <c r="V1972" s="2799"/>
      <c r="W1972" s="2799"/>
      <c r="X1972" s="2799"/>
      <c r="Y1972" s="2799"/>
      <c r="Z1972" s="2799"/>
    </row>
    <row r="1973" spans="1:26" ht="15" customHeight="1">
      <c r="A1973" s="2805"/>
      <c r="B1973" s="2627" t="s">
        <v>4247</v>
      </c>
      <c r="C1973" s="2627"/>
      <c r="D1973" s="2627"/>
      <c r="E1973" s="2627"/>
      <c r="F1973" s="2627"/>
      <c r="G1973" s="2627"/>
      <c r="H1973" s="2627"/>
      <c r="I1973" s="2627"/>
      <c r="J1973" s="2627"/>
      <c r="K1973" s="2627"/>
      <c r="L1973" s="2627"/>
      <c r="M1973" s="2662" t="s">
        <v>4876</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2846</v>
      </c>
      <c r="N1975" s="2801"/>
      <c r="O1975" s="2887">
        <f>'Part VI-Revenues &amp; Expenses'!$O$62</f>
        <v>66</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2847</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4877</v>
      </c>
      <c r="B1979" s="2658" t="s">
        <v>3377</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2724</v>
      </c>
      <c r="S1979" s="2799"/>
      <c r="T1979" s="2799"/>
      <c r="U1979" s="2799"/>
      <c r="V1979" s="2799"/>
      <c r="W1979" s="2799"/>
      <c r="X1979" s="2799"/>
      <c r="Y1979" s="2799"/>
      <c r="Z1979" s="2799"/>
    </row>
    <row r="1980" spans="1:26" ht="15" customHeight="1">
      <c r="A1980" s="2889"/>
      <c r="B1980" s="2662" t="s">
        <v>4248</v>
      </c>
      <c r="C1980" s="2662"/>
      <c r="D1980" s="2662"/>
      <c r="E1980" s="2662"/>
      <c r="F1980" s="2662"/>
      <c r="G1980" s="2662"/>
      <c r="H1980" s="2662"/>
      <c r="I1980" s="2662"/>
      <c r="J1980" s="2662"/>
      <c r="K1980" s="2662"/>
      <c r="L1980" s="2662"/>
      <c r="M1980" s="2722" t="s">
        <v>2846</v>
      </c>
      <c r="N1980" s="2801"/>
      <c r="O1980" s="2887">
        <f>'Part VI-Revenues &amp; Expenses'!$O$62</f>
        <v>66</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2847</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3779</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112.5">
      <c r="A1983" s="2662" t="str">
        <f>'Part IX A-Scoring Criteria'!A429</f>
        <v>There are no qualifying builings on site that would accommodate Historic Preservation efforts.</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4152</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3681</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3682</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3683</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61</v>
      </c>
      <c r="P1995" s="2892">
        <f>P1562+P1597+P1611+P1621+P1648+P1665+P1707+P1743+P1782+P1824+P1840+P1848+P1870+P1878+P1891+P1900+P1916+P1950+P1968+P1987</f>
        <v>20</v>
      </c>
      <c r="Q1995" s="2355"/>
      <c r="R1995" s="2603">
        <f>'Part IX A-Scoring Criteria'!O441</f>
        <v>61</v>
      </c>
      <c r="S1995" s="2355"/>
      <c r="T1995" s="2355"/>
      <c r="U1995" s="2355"/>
      <c r="V1995" s="2355"/>
      <c r="W1995" s="2355"/>
      <c r="X1995" s="2355"/>
      <c r="Y1995" s="2355"/>
      <c r="Z1995" s="2355"/>
    </row>
    <row r="1996" spans="1:26" ht="15.75">
      <c r="A1996" s="2748"/>
      <c r="B1996" s="2890"/>
      <c r="C1996" s="2748"/>
      <c r="F1996" s="2746"/>
      <c r="G1996" s="2746"/>
      <c r="H1996" s="2570" t="s">
        <v>4242</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4243</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4251</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3713</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409.5">
      <c r="A2001" s="2662" t="str">
        <f>'Part IX A-Scoring Criteria'!A447</f>
        <v xml:space="preserve">II. Deeper Targeting- Applicant has delineated 20% at 50% on the Revenue &amp; Expenses Tab of this application. We have selected to earn points in the Deeper Targeting PBRA section due to the fact that 100% of the units will have RAD PBV through North West Georgia Housing Authority (Owner and Co-Developer).
NWGHA has applied for Exceptional Public Housing on this applicaiton. They are not applying for this with another applicaiton. We have uploaded all required documentation as required. </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4256</v>
      </c>
    </row>
    <row r="2010" spans="1:26" ht="16.5">
      <c r="A2010" s="2895" t="str">
        <f>'Part I-Project Information'!$F$34</f>
        <v>Altoview Terrace</v>
      </c>
    </row>
    <row r="2011" spans="1:26" ht="16.5">
      <c r="A2011" s="2895" t="str">
        <f>CONCATENATE('Part I-Project Information'!$F$38,", ", 'Part I-Project Information'!$J$39," County")</f>
        <v>Rome, Floyd County</v>
      </c>
    </row>
    <row r="2013" spans="1:26" ht="12.75" customHeight="1">
      <c r="A2013" s="234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xTgCUZNCM+r0ZEeaZcEsmrQ5/d/EvbnVsTl8IvNaRRN04cenlOcHxTneQzvdMJ6/xhhW75gaPYOaFOKc1MqCwQ==" saltValue="Tw7pVdRJBmv87wxHh7m31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40" zoomScaleNormal="140" zoomScalePageLayoutView="14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42578125" style="324" customWidth="1"/>
    <col min="25" max="16384" width="9.140625" style="324"/>
  </cols>
  <sheetData>
    <row r="1" spans="1:27" s="305" customFormat="1" ht="14.1" customHeight="1">
      <c r="A1" s="1693" t="str">
        <f>CONCATENATE("PART TWO - DEVELOPMENT TEAM INFORMATION","  -  ",'Part I-Project Information'!$O$6," ",'Part I-Project Information'!$F$34,", ",'Part I-Project Information'!F38,", ",'Part I-Project Information'!J39," County")</f>
        <v>PART TWO - DEVELOPMENT TEAM INFORMATION  -  2018-045 Altoview Terrace, Rome, Floyd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35" customHeight="1">
      <c r="A3" s="307" t="s">
        <v>622</v>
      </c>
      <c r="B3" s="311" t="s">
        <v>1872</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22" t="s">
        <v>4572</v>
      </c>
      <c r="I5" s="3523"/>
      <c r="J5" s="3523"/>
      <c r="K5" s="3523"/>
      <c r="L5" s="3523"/>
      <c r="M5" s="3523"/>
      <c r="N5" s="3524"/>
      <c r="O5" s="1566" t="s">
        <v>2005</v>
      </c>
      <c r="P5" s="1566"/>
      <c r="Q5" s="3522" t="s">
        <v>4558</v>
      </c>
      <c r="R5" s="3523"/>
      <c r="S5" s="3524"/>
      <c r="Y5" s="1163"/>
      <c r="Z5" s="1164"/>
      <c r="AA5" s="1577"/>
    </row>
    <row r="6" spans="1:27" s="305" customFormat="1" ht="11.25" customHeight="1">
      <c r="D6" s="348"/>
      <c r="E6" s="310" t="s">
        <v>1031</v>
      </c>
      <c r="F6" s="318"/>
      <c r="H6" s="3522" t="s">
        <v>4573</v>
      </c>
      <c r="I6" s="3523"/>
      <c r="J6" s="3523"/>
      <c r="K6" s="3523"/>
      <c r="L6" s="3523"/>
      <c r="M6" s="3523"/>
      <c r="N6" s="3524"/>
      <c r="O6" s="1566" t="s">
        <v>1760</v>
      </c>
      <c r="Q6" s="3522" t="s">
        <v>4734</v>
      </c>
      <c r="R6" s="3523"/>
      <c r="S6" s="3524"/>
      <c r="V6" s="1163"/>
      <c r="W6" s="1163"/>
      <c r="X6" s="1163"/>
      <c r="Y6" s="1163"/>
      <c r="Z6" s="1164"/>
      <c r="AA6" s="1577"/>
    </row>
    <row r="7" spans="1:27" s="305" customFormat="1" ht="11.25" customHeight="1">
      <c r="D7" s="348"/>
      <c r="E7" s="310" t="s">
        <v>624</v>
      </c>
      <c r="H7" s="3522" t="s">
        <v>2284</v>
      </c>
      <c r="I7" s="3523"/>
      <c r="J7" s="3524"/>
      <c r="K7" s="3525" t="s">
        <v>770</v>
      </c>
      <c r="L7" s="3522"/>
      <c r="M7" s="3523"/>
      <c r="N7" s="3524"/>
      <c r="O7" s="1566" t="s">
        <v>1734</v>
      </c>
      <c r="Q7" s="3526">
        <v>7063783940</v>
      </c>
      <c r="R7" s="3527"/>
      <c r="S7" s="3528"/>
    </row>
    <row r="8" spans="1:27" s="305" customFormat="1" ht="11.25" customHeight="1">
      <c r="D8" s="348"/>
      <c r="E8" s="310" t="s">
        <v>1812</v>
      </c>
      <c r="H8" s="3529" t="s">
        <v>856</v>
      </c>
      <c r="I8" s="1569" t="s">
        <v>2245</v>
      </c>
      <c r="J8" s="3530">
        <v>301610000</v>
      </c>
      <c r="K8" s="3524"/>
      <c r="L8" s="305" t="s">
        <v>3712</v>
      </c>
      <c r="M8" s="3531" t="s">
        <v>4574</v>
      </c>
      <c r="N8" s="3532"/>
      <c r="O8" s="1566" t="s">
        <v>1995</v>
      </c>
      <c r="Q8" s="3526">
        <v>7062524635</v>
      </c>
      <c r="R8" s="3527"/>
      <c r="S8" s="3528"/>
    </row>
    <row r="9" spans="1:27" s="305" customFormat="1" ht="11.25" customHeight="1">
      <c r="D9" s="348"/>
      <c r="E9" s="310" t="s">
        <v>4316</v>
      </c>
      <c r="H9" s="3526">
        <v>7063783940</v>
      </c>
      <c r="I9" s="3528"/>
      <c r="J9" s="3533"/>
      <c r="K9" s="1578" t="s">
        <v>2000</v>
      </c>
      <c r="L9" s="3534" t="s">
        <v>4561</v>
      </c>
      <c r="M9" s="3535"/>
      <c r="N9" s="3535"/>
      <c r="O9" s="3535"/>
      <c r="P9" s="3535"/>
      <c r="Q9" s="3535"/>
      <c r="R9" s="3535"/>
      <c r="S9" s="3536"/>
    </row>
    <row r="10" spans="1:27" s="305" customFormat="1" ht="11.25" customHeight="1">
      <c r="D10" s="348"/>
      <c r="E10" s="1417" t="s">
        <v>4315</v>
      </c>
      <c r="H10" s="342"/>
      <c r="K10" s="278"/>
      <c r="N10" s="380" t="s">
        <v>3587</v>
      </c>
      <c r="Q10" s="1578"/>
    </row>
    <row r="11" spans="1:27" s="305" customFormat="1" ht="4.3499999999999996"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37" t="s">
        <v>1296</v>
      </c>
      <c r="W12" s="3537"/>
      <c r="X12" s="3537"/>
      <c r="Y12" s="3537"/>
      <c r="Z12" s="3537"/>
    </row>
    <row r="13" spans="1:27" s="305" customFormat="1" ht="11.25" customHeight="1">
      <c r="C13" s="350" t="s">
        <v>2002</v>
      </c>
      <c r="D13" s="347" t="s">
        <v>2003</v>
      </c>
      <c r="H13" s="1577"/>
      <c r="I13" s="1577"/>
      <c r="J13" s="1577"/>
      <c r="N13" s="1165"/>
      <c r="W13" s="3538"/>
      <c r="X13" s="3538"/>
      <c r="Y13" s="3538"/>
      <c r="Z13" s="3538"/>
    </row>
    <row r="14" spans="1:27" s="305" customFormat="1" ht="11.25" customHeight="1">
      <c r="D14" s="307" t="s">
        <v>2132</v>
      </c>
      <c r="E14" s="305" t="s">
        <v>1870</v>
      </c>
      <c r="H14" s="3522" t="s">
        <v>4575</v>
      </c>
      <c r="I14" s="3523"/>
      <c r="J14" s="3523"/>
      <c r="K14" s="3523"/>
      <c r="L14" s="3523"/>
      <c r="M14" s="3523"/>
      <c r="N14" s="3524"/>
      <c r="O14" s="1566" t="s">
        <v>2005</v>
      </c>
      <c r="P14" s="1566"/>
      <c r="Q14" s="3539" t="s">
        <v>4558</v>
      </c>
      <c r="R14" s="3540"/>
      <c r="S14" s="3541"/>
    </row>
    <row r="15" spans="1:27" s="305" customFormat="1" ht="11.25" customHeight="1">
      <c r="D15" s="348"/>
      <c r="E15" s="310" t="s">
        <v>1031</v>
      </c>
      <c r="F15" s="318"/>
      <c r="H15" s="3539" t="s">
        <v>4573</v>
      </c>
      <c r="I15" s="3540"/>
      <c r="J15" s="3540"/>
      <c r="K15" s="3540"/>
      <c r="L15" s="3540"/>
      <c r="M15" s="3540"/>
      <c r="N15" s="3541"/>
      <c r="O15" s="1566" t="s">
        <v>1760</v>
      </c>
      <c r="Q15" s="3539" t="s">
        <v>4587</v>
      </c>
      <c r="R15" s="3540"/>
      <c r="S15" s="3541"/>
    </row>
    <row r="16" spans="1:27" s="305" customFormat="1" ht="11.25" customHeight="1">
      <c r="D16" s="348"/>
      <c r="E16" s="310" t="s">
        <v>624</v>
      </c>
      <c r="H16" s="3539" t="s">
        <v>2284</v>
      </c>
      <c r="I16" s="3540"/>
      <c r="J16" s="3541"/>
      <c r="K16" s="1568" t="s">
        <v>2722</v>
      </c>
      <c r="L16" s="3539" t="s">
        <v>4576</v>
      </c>
      <c r="M16" s="3540"/>
      <c r="N16" s="3541"/>
      <c r="O16" s="1566" t="s">
        <v>1734</v>
      </c>
      <c r="Q16" s="3542">
        <v>7063783940</v>
      </c>
      <c r="R16" s="3543"/>
      <c r="S16" s="3544"/>
    </row>
    <row r="17" spans="3:19" s="305" customFormat="1" ht="11.25" customHeight="1">
      <c r="D17" s="307"/>
      <c r="E17" s="310" t="s">
        <v>1812</v>
      </c>
      <c r="H17" s="3545" t="s">
        <v>856</v>
      </c>
      <c r="K17" s="1569" t="s">
        <v>2245</v>
      </c>
      <c r="L17" s="3546">
        <v>301610000</v>
      </c>
      <c r="M17" s="3547"/>
      <c r="O17" s="1566" t="s">
        <v>1995</v>
      </c>
      <c r="Q17" s="3542">
        <v>7062524635</v>
      </c>
      <c r="R17" s="3543"/>
      <c r="S17" s="3544"/>
    </row>
    <row r="18" spans="3:19" s="305" customFormat="1" ht="11.25" customHeight="1">
      <c r="D18" s="348"/>
      <c r="E18" s="310" t="s">
        <v>4316</v>
      </c>
      <c r="H18" s="3542">
        <v>7063783940</v>
      </c>
      <c r="I18" s="3544"/>
      <c r="J18" s="3548"/>
      <c r="K18" s="1578" t="s">
        <v>2000</v>
      </c>
      <c r="L18" s="3534" t="s">
        <v>4577</v>
      </c>
      <c r="M18" s="3535"/>
      <c r="N18" s="3535"/>
      <c r="O18" s="3535"/>
      <c r="P18" s="3535"/>
      <c r="Q18" s="3535"/>
      <c r="R18" s="3535"/>
      <c r="S18" s="3536"/>
    </row>
    <row r="19" spans="3:19" ht="4.3499999999999996" customHeight="1">
      <c r="D19" s="333"/>
      <c r="H19" s="3549"/>
      <c r="I19" s="3549"/>
      <c r="J19" s="3549"/>
      <c r="K19" s="1578"/>
      <c r="L19" s="3549"/>
      <c r="M19" s="3549"/>
      <c r="N19" s="1565"/>
      <c r="O19" s="1557"/>
      <c r="P19" s="1557"/>
      <c r="Q19" s="1578"/>
      <c r="R19" s="1557"/>
      <c r="S19" s="1557"/>
    </row>
    <row r="20" spans="3:19" s="305" customFormat="1" ht="11.25" customHeight="1">
      <c r="D20" s="307" t="s">
        <v>2133</v>
      </c>
      <c r="E20" s="305" t="s">
        <v>1871</v>
      </c>
      <c r="F20" s="1577"/>
      <c r="H20" s="3539"/>
      <c r="I20" s="3540"/>
      <c r="J20" s="3540"/>
      <c r="K20" s="3540"/>
      <c r="L20" s="3540"/>
      <c r="M20" s="3540"/>
      <c r="N20" s="3541"/>
      <c r="O20" s="1566" t="s">
        <v>2005</v>
      </c>
      <c r="P20" s="1566"/>
      <c r="Q20" s="3539"/>
      <c r="R20" s="3540"/>
      <c r="S20" s="3541"/>
    </row>
    <row r="21" spans="3:19" s="305" customFormat="1" ht="11.25" customHeight="1">
      <c r="D21" s="348"/>
      <c r="E21" s="310" t="s">
        <v>1031</v>
      </c>
      <c r="F21" s="318"/>
      <c r="H21" s="3539"/>
      <c r="I21" s="3540"/>
      <c r="J21" s="3540"/>
      <c r="K21" s="3540"/>
      <c r="L21" s="3540"/>
      <c r="M21" s="3540"/>
      <c r="N21" s="3541"/>
      <c r="O21" s="1566" t="s">
        <v>1760</v>
      </c>
      <c r="Q21" s="3539"/>
      <c r="R21" s="3540"/>
      <c r="S21" s="3541"/>
    </row>
    <row r="22" spans="3:19" s="305" customFormat="1" ht="11.25" customHeight="1">
      <c r="D22" s="348"/>
      <c r="E22" s="310" t="s">
        <v>624</v>
      </c>
      <c r="H22" s="3539"/>
      <c r="I22" s="3540"/>
      <c r="J22" s="3541"/>
      <c r="K22" s="1568" t="s">
        <v>2722</v>
      </c>
      <c r="L22" s="3539"/>
      <c r="M22" s="3540"/>
      <c r="N22" s="3541"/>
      <c r="O22" s="1566" t="s">
        <v>1734</v>
      </c>
      <c r="Q22" s="3542"/>
      <c r="R22" s="3543"/>
      <c r="S22" s="3544"/>
    </row>
    <row r="23" spans="3:19" s="305" customFormat="1" ht="11.25" customHeight="1">
      <c r="E23" s="310" t="s">
        <v>1812</v>
      </c>
      <c r="H23" s="3545"/>
      <c r="K23" s="1569" t="s">
        <v>2245</v>
      </c>
      <c r="L23" s="3546"/>
      <c r="M23" s="3547"/>
      <c r="O23" s="1566" t="s">
        <v>1995</v>
      </c>
      <c r="Q23" s="3542"/>
      <c r="R23" s="3543"/>
      <c r="S23" s="3544"/>
    </row>
    <row r="24" spans="3:19" s="305" customFormat="1" ht="11.25" customHeight="1">
      <c r="D24" s="348"/>
      <c r="E24" s="310" t="s">
        <v>4316</v>
      </c>
      <c r="H24" s="3542"/>
      <c r="I24" s="3544"/>
      <c r="J24" s="3548"/>
      <c r="K24" s="1578" t="s">
        <v>2000</v>
      </c>
      <c r="L24" s="3534"/>
      <c r="M24" s="3535"/>
      <c r="N24" s="3535"/>
      <c r="O24" s="3535"/>
      <c r="P24" s="3535"/>
      <c r="Q24" s="3535"/>
      <c r="R24" s="3535"/>
      <c r="S24" s="3536"/>
    </row>
    <row r="25" spans="3:19" s="305" customFormat="1" ht="4.3499999999999996" customHeight="1">
      <c r="D25" s="348"/>
      <c r="E25" s="1577"/>
      <c r="F25" s="1577"/>
      <c r="G25" s="1566"/>
      <c r="H25" s="3549"/>
      <c r="I25" s="3549"/>
      <c r="J25" s="3549"/>
      <c r="K25" s="1578"/>
      <c r="L25" s="3549"/>
      <c r="M25" s="3549"/>
      <c r="N25" s="1565"/>
      <c r="O25" s="1557"/>
      <c r="P25" s="1557"/>
      <c r="Q25" s="1578"/>
      <c r="R25" s="1557"/>
      <c r="S25" s="1557"/>
    </row>
    <row r="26" spans="3:19" s="305" customFormat="1" ht="11.25" customHeight="1">
      <c r="D26" s="307" t="s">
        <v>1747</v>
      </c>
      <c r="E26" s="305" t="s">
        <v>1871</v>
      </c>
      <c r="F26" s="1577"/>
      <c r="H26" s="3539"/>
      <c r="I26" s="3540"/>
      <c r="J26" s="3540"/>
      <c r="K26" s="3540"/>
      <c r="L26" s="3540"/>
      <c r="M26" s="3540"/>
      <c r="N26" s="3541"/>
      <c r="O26" s="1566" t="s">
        <v>2005</v>
      </c>
      <c r="P26" s="1566"/>
      <c r="Q26" s="3539"/>
      <c r="R26" s="3540"/>
      <c r="S26" s="3541"/>
    </row>
    <row r="27" spans="3:19" s="305" customFormat="1" ht="11.25" customHeight="1">
      <c r="D27" s="348"/>
      <c r="E27" s="310" t="s">
        <v>1031</v>
      </c>
      <c r="F27" s="318"/>
      <c r="H27" s="3539"/>
      <c r="I27" s="3540"/>
      <c r="J27" s="3540"/>
      <c r="K27" s="3540"/>
      <c r="L27" s="3540"/>
      <c r="M27" s="3540"/>
      <c r="N27" s="3541"/>
      <c r="O27" s="1566" t="s">
        <v>1760</v>
      </c>
      <c r="Q27" s="3539"/>
      <c r="R27" s="3540"/>
      <c r="S27" s="3541"/>
    </row>
    <row r="28" spans="3:19" s="305" customFormat="1" ht="11.25" customHeight="1">
      <c r="D28" s="348"/>
      <c r="E28" s="310" t="s">
        <v>624</v>
      </c>
      <c r="H28" s="3539"/>
      <c r="I28" s="3540"/>
      <c r="J28" s="3541"/>
      <c r="K28" s="1568" t="s">
        <v>2722</v>
      </c>
      <c r="L28" s="3539"/>
      <c r="M28" s="3540"/>
      <c r="N28" s="3541"/>
      <c r="O28" s="1566" t="s">
        <v>1734</v>
      </c>
      <c r="Q28" s="3542"/>
      <c r="R28" s="3543"/>
      <c r="S28" s="3544"/>
    </row>
    <row r="29" spans="3:19" s="305" customFormat="1" ht="11.25" customHeight="1">
      <c r="E29" s="310" t="s">
        <v>1812</v>
      </c>
      <c r="H29" s="3545"/>
      <c r="K29" s="1569" t="s">
        <v>2245</v>
      </c>
      <c r="L29" s="3546"/>
      <c r="M29" s="3547"/>
      <c r="O29" s="1566" t="s">
        <v>1995</v>
      </c>
      <c r="Q29" s="3542"/>
      <c r="R29" s="3543"/>
      <c r="S29" s="3544"/>
    </row>
    <row r="30" spans="3:19" s="305" customFormat="1" ht="11.25" customHeight="1">
      <c r="D30" s="348"/>
      <c r="E30" s="310" t="s">
        <v>4316</v>
      </c>
      <c r="H30" s="3542"/>
      <c r="I30" s="3544"/>
      <c r="J30" s="3548"/>
      <c r="K30" s="1578" t="s">
        <v>2000</v>
      </c>
      <c r="L30" s="3534"/>
      <c r="M30" s="3535"/>
      <c r="N30" s="3535"/>
      <c r="O30" s="3535"/>
      <c r="P30" s="3535"/>
      <c r="Q30" s="3535"/>
      <c r="R30" s="3535"/>
      <c r="S30" s="3536"/>
    </row>
    <row r="31" spans="3:19" ht="4.3499999999999996" customHeight="1"/>
    <row r="32" spans="3:19" s="305" customFormat="1" ht="11.25" customHeight="1">
      <c r="C32" s="350" t="s">
        <v>2004</v>
      </c>
      <c r="D32" s="347" t="s">
        <v>1873</v>
      </c>
      <c r="H32" s="1577"/>
      <c r="I32" s="1577"/>
      <c r="J32" s="1577"/>
      <c r="K32" s="1417" t="s">
        <v>4315</v>
      </c>
      <c r="L32" s="1577"/>
      <c r="M32" s="1577"/>
    </row>
    <row r="33" spans="3:19" s="305" customFormat="1" ht="11.25" customHeight="1">
      <c r="D33" s="307" t="s">
        <v>2132</v>
      </c>
      <c r="E33" s="305" t="s">
        <v>758</v>
      </c>
      <c r="H33" s="3539" t="s">
        <v>4579</v>
      </c>
      <c r="I33" s="3540"/>
      <c r="J33" s="3540"/>
      <c r="K33" s="3540"/>
      <c r="L33" s="3540"/>
      <c r="M33" s="3540"/>
      <c r="N33" s="3541"/>
      <c r="O33" s="1566" t="s">
        <v>2005</v>
      </c>
      <c r="P33" s="1566"/>
      <c r="Q33" s="3539" t="s">
        <v>4580</v>
      </c>
      <c r="R33" s="3540"/>
      <c r="S33" s="3541"/>
    </row>
    <row r="34" spans="3:19" s="305" customFormat="1" ht="11.25" customHeight="1">
      <c r="D34" s="348"/>
      <c r="E34" s="310" t="s">
        <v>1031</v>
      </c>
      <c r="F34" s="318"/>
      <c r="H34" s="3522" t="s">
        <v>4581</v>
      </c>
      <c r="I34" s="3523"/>
      <c r="J34" s="3523"/>
      <c r="K34" s="3523"/>
      <c r="L34" s="3523"/>
      <c r="M34" s="3523"/>
      <c r="N34" s="3524"/>
      <c r="O34" s="1566" t="s">
        <v>1760</v>
      </c>
      <c r="Q34" s="3539" t="s">
        <v>4582</v>
      </c>
      <c r="R34" s="3540"/>
      <c r="S34" s="3541"/>
    </row>
    <row r="35" spans="3:19" s="305" customFormat="1" ht="11.25" customHeight="1">
      <c r="D35" s="348"/>
      <c r="E35" s="310" t="s">
        <v>624</v>
      </c>
      <c r="H35" s="3539" t="s">
        <v>4583</v>
      </c>
      <c r="I35" s="3540"/>
      <c r="J35" s="3541"/>
      <c r="K35" s="1568" t="s">
        <v>2722</v>
      </c>
      <c r="L35" s="3539" t="s">
        <v>4584</v>
      </c>
      <c r="M35" s="3540"/>
      <c r="N35" s="3541"/>
      <c r="O35" s="1566" t="s">
        <v>1734</v>
      </c>
      <c r="Q35" s="3542">
        <v>6179145367</v>
      </c>
      <c r="R35" s="3543"/>
      <c r="S35" s="3544"/>
    </row>
    <row r="36" spans="3:19" s="305" customFormat="1" ht="11.25" customHeight="1">
      <c r="E36" s="310" t="s">
        <v>1812</v>
      </c>
      <c r="H36" s="3545" t="s">
        <v>867</v>
      </c>
      <c r="K36" s="1569" t="s">
        <v>2245</v>
      </c>
      <c r="L36" s="3546">
        <v>21080000</v>
      </c>
      <c r="M36" s="3547"/>
      <c r="O36" s="1566" t="s">
        <v>1995</v>
      </c>
      <c r="Q36" s="3542"/>
      <c r="R36" s="3543"/>
      <c r="S36" s="3544"/>
    </row>
    <row r="37" spans="3:19" s="305" customFormat="1" ht="11.25" customHeight="1">
      <c r="D37" s="348"/>
      <c r="E37" s="310" t="s">
        <v>4316</v>
      </c>
      <c r="H37" s="3542">
        <v>6176248625</v>
      </c>
      <c r="I37" s="3544"/>
      <c r="J37" s="3548"/>
      <c r="K37" s="1578" t="s">
        <v>2000</v>
      </c>
      <c r="L37" s="3534" t="s">
        <v>4585</v>
      </c>
      <c r="M37" s="3535"/>
      <c r="N37" s="3535"/>
      <c r="O37" s="3535"/>
      <c r="P37" s="3535"/>
      <c r="Q37" s="3535"/>
      <c r="R37" s="3535"/>
      <c r="S37" s="3536"/>
    </row>
    <row r="38" spans="3:19" ht="4.3499999999999996" customHeight="1">
      <c r="H38" s="3549"/>
      <c r="I38" s="3549"/>
      <c r="J38" s="3549"/>
      <c r="K38" s="1578"/>
      <c r="L38" s="3549"/>
      <c r="M38" s="3549"/>
      <c r="N38" s="1565"/>
      <c r="O38" s="1557"/>
      <c r="P38" s="1557"/>
      <c r="Q38" s="1578"/>
      <c r="R38" s="1557"/>
      <c r="S38" s="1557"/>
    </row>
    <row r="39" spans="3:19" s="305" customFormat="1" ht="11.25" customHeight="1">
      <c r="D39" s="307" t="s">
        <v>2133</v>
      </c>
      <c r="E39" s="305" t="s">
        <v>759</v>
      </c>
      <c r="F39" s="307"/>
      <c r="H39" s="3539" t="s">
        <v>4579</v>
      </c>
      <c r="I39" s="3540"/>
      <c r="J39" s="3540"/>
      <c r="K39" s="3540"/>
      <c r="L39" s="3540"/>
      <c r="M39" s="3540"/>
      <c r="N39" s="3541"/>
      <c r="O39" s="1566" t="s">
        <v>2005</v>
      </c>
      <c r="P39" s="1566"/>
      <c r="Q39" s="3539" t="s">
        <v>4580</v>
      </c>
      <c r="R39" s="3540"/>
      <c r="S39" s="3541"/>
    </row>
    <row r="40" spans="3:19" s="305" customFormat="1" ht="11.25" customHeight="1">
      <c r="D40" s="348"/>
      <c r="E40" s="310" t="s">
        <v>1031</v>
      </c>
      <c r="F40" s="318"/>
      <c r="H40" s="3522" t="s">
        <v>4581</v>
      </c>
      <c r="I40" s="3523"/>
      <c r="J40" s="3523"/>
      <c r="K40" s="3523"/>
      <c r="L40" s="3523"/>
      <c r="M40" s="3523"/>
      <c r="N40" s="3524"/>
      <c r="O40" s="1566" t="s">
        <v>1760</v>
      </c>
      <c r="Q40" s="3539" t="s">
        <v>4582</v>
      </c>
      <c r="R40" s="3540"/>
      <c r="S40" s="3541"/>
    </row>
    <row r="41" spans="3:19" s="305" customFormat="1" ht="11.25" customHeight="1">
      <c r="D41" s="348"/>
      <c r="E41" s="310" t="s">
        <v>624</v>
      </c>
      <c r="H41" s="3539" t="s">
        <v>4583</v>
      </c>
      <c r="I41" s="3540"/>
      <c r="J41" s="3541"/>
      <c r="K41" s="1568" t="s">
        <v>2722</v>
      </c>
      <c r="L41" s="3539" t="s">
        <v>4584</v>
      </c>
      <c r="M41" s="3540"/>
      <c r="N41" s="3541"/>
      <c r="O41" s="1566" t="s">
        <v>1734</v>
      </c>
      <c r="Q41" s="3542">
        <v>6179145367</v>
      </c>
      <c r="R41" s="3543"/>
      <c r="S41" s="3544"/>
    </row>
    <row r="42" spans="3:19" s="305" customFormat="1" ht="11.25" customHeight="1">
      <c r="D42" s="307"/>
      <c r="E42" s="310" t="s">
        <v>1812</v>
      </c>
      <c r="H42" s="3545" t="s">
        <v>867</v>
      </c>
      <c r="K42" s="1569" t="s">
        <v>2245</v>
      </c>
      <c r="L42" s="3546">
        <v>21080000</v>
      </c>
      <c r="M42" s="3547"/>
      <c r="O42" s="1566" t="s">
        <v>1995</v>
      </c>
      <c r="Q42" s="3542"/>
      <c r="R42" s="3543"/>
      <c r="S42" s="3544"/>
    </row>
    <row r="43" spans="3:19" s="305" customFormat="1" ht="11.25" customHeight="1">
      <c r="D43" s="348"/>
      <c r="E43" s="310" t="s">
        <v>4316</v>
      </c>
      <c r="H43" s="3542">
        <v>6176248625</v>
      </c>
      <c r="I43" s="3544"/>
      <c r="J43" s="3548"/>
      <c r="K43" s="1578" t="s">
        <v>2000</v>
      </c>
      <c r="L43" s="3534" t="s">
        <v>4585</v>
      </c>
      <c r="M43" s="3535"/>
      <c r="N43" s="3535"/>
      <c r="O43" s="3535"/>
      <c r="P43" s="3535"/>
      <c r="Q43" s="3535"/>
      <c r="R43" s="3535"/>
      <c r="S43" s="3536"/>
    </row>
    <row r="44" spans="3:19" s="305" customFormat="1" ht="4.3499999999999996" customHeight="1">
      <c r="D44" s="348"/>
      <c r="E44" s="310"/>
      <c r="F44" s="307"/>
      <c r="H44" s="342"/>
      <c r="I44" s="342"/>
      <c r="J44" s="1558"/>
      <c r="K44" s="1578"/>
      <c r="L44" s="342"/>
      <c r="M44" s="342"/>
      <c r="N44" s="1578"/>
      <c r="O44" s="342"/>
      <c r="P44" s="342"/>
      <c r="Q44" s="1578"/>
      <c r="R44" s="342"/>
      <c r="S44" s="342"/>
    </row>
    <row r="45" spans="3:19" s="305" customFormat="1" ht="11.25" customHeight="1">
      <c r="C45" s="351" t="s">
        <v>2551</v>
      </c>
      <c r="D45" s="347" t="s">
        <v>657</v>
      </c>
      <c r="H45" s="1577"/>
      <c r="I45" s="1577"/>
      <c r="J45" s="1577"/>
      <c r="K45" s="1417" t="s">
        <v>4315</v>
      </c>
      <c r="L45" s="1577"/>
      <c r="M45" s="1577"/>
    </row>
    <row r="46" spans="3:19" s="305" customFormat="1" ht="11.25" customHeight="1">
      <c r="E46" s="305" t="s">
        <v>93</v>
      </c>
      <c r="H46" s="3539"/>
      <c r="I46" s="3540"/>
      <c r="J46" s="3540"/>
      <c r="K46" s="3540"/>
      <c r="L46" s="3540"/>
      <c r="M46" s="3540"/>
      <c r="N46" s="3541"/>
      <c r="O46" s="1566" t="s">
        <v>2005</v>
      </c>
      <c r="P46" s="1566"/>
      <c r="Q46" s="3539"/>
      <c r="R46" s="3540"/>
      <c r="S46" s="3541"/>
    </row>
    <row r="47" spans="3:19" s="305" customFormat="1" ht="11.25" customHeight="1">
      <c r="D47" s="348"/>
      <c r="E47" s="310" t="s">
        <v>1031</v>
      </c>
      <c r="F47" s="318"/>
      <c r="H47" s="3539"/>
      <c r="I47" s="3540"/>
      <c r="J47" s="3540"/>
      <c r="K47" s="3540"/>
      <c r="L47" s="3540"/>
      <c r="M47" s="3540"/>
      <c r="N47" s="3541"/>
      <c r="O47" s="1566" t="s">
        <v>1760</v>
      </c>
      <c r="Q47" s="3539"/>
      <c r="R47" s="3540"/>
      <c r="S47" s="3541"/>
    </row>
    <row r="48" spans="3:19" s="305" customFormat="1" ht="11.25" customHeight="1">
      <c r="D48" s="348"/>
      <c r="E48" s="310" t="s">
        <v>624</v>
      </c>
      <c r="H48" s="3539"/>
      <c r="I48" s="3540"/>
      <c r="J48" s="3541"/>
      <c r="K48" s="1568" t="s">
        <v>2722</v>
      </c>
      <c r="L48" s="3539"/>
      <c r="M48" s="3540"/>
      <c r="N48" s="3541"/>
      <c r="O48" s="1566" t="s">
        <v>1734</v>
      </c>
      <c r="Q48" s="3542"/>
      <c r="R48" s="3543"/>
      <c r="S48" s="3544"/>
    </row>
    <row r="49" spans="1:19" s="305" customFormat="1" ht="11.25" customHeight="1">
      <c r="E49" s="310" t="s">
        <v>1812</v>
      </c>
      <c r="H49" s="3545"/>
      <c r="K49" s="1569" t="s">
        <v>2245</v>
      </c>
      <c r="L49" s="3546"/>
      <c r="M49" s="3547"/>
      <c r="O49" s="1566" t="s">
        <v>1995</v>
      </c>
      <c r="Q49" s="3542"/>
      <c r="R49" s="3543"/>
      <c r="S49" s="3544"/>
    </row>
    <row r="50" spans="1:19" s="305" customFormat="1" ht="11.25" customHeight="1">
      <c r="D50" s="348"/>
      <c r="E50" s="310" t="s">
        <v>4316</v>
      </c>
      <c r="H50" s="3542"/>
      <c r="I50" s="3544"/>
      <c r="J50" s="3548"/>
      <c r="K50" s="1578" t="s">
        <v>2000</v>
      </c>
      <c r="L50" s="3534"/>
      <c r="M50" s="3535"/>
      <c r="N50" s="3535"/>
      <c r="O50" s="3535"/>
      <c r="P50" s="3535"/>
      <c r="Q50" s="3535"/>
      <c r="R50" s="3535"/>
      <c r="S50" s="3536"/>
    </row>
    <row r="51" spans="1:19" ht="6.75" customHeight="1"/>
    <row r="52" spans="1:19" s="305" customFormat="1" ht="13.35" customHeight="1">
      <c r="A52" s="307" t="s">
        <v>748</v>
      </c>
      <c r="B52" s="307" t="s">
        <v>658</v>
      </c>
      <c r="F52" s="307"/>
      <c r="G52" s="1578"/>
      <c r="H52" s="1578"/>
      <c r="I52" s="1578"/>
      <c r="J52" s="1577"/>
      <c r="K52" s="1417" t="s">
        <v>4315</v>
      </c>
      <c r="L52" s="1577"/>
      <c r="M52" s="1577"/>
      <c r="N52" s="1577"/>
      <c r="O52" s="1577"/>
      <c r="P52" s="1577"/>
      <c r="Q52" s="1577"/>
      <c r="R52" s="1577"/>
      <c r="S52" s="1577"/>
    </row>
    <row r="53" spans="1:19" s="305" customFormat="1" ht="3" customHeight="1">
      <c r="A53" s="307"/>
      <c r="B53" s="307"/>
      <c r="F53" s="307"/>
      <c r="G53" s="1578"/>
      <c r="H53" s="3550"/>
      <c r="I53" s="3550"/>
      <c r="J53" s="3550"/>
      <c r="K53" s="1565"/>
      <c r="L53" s="3550"/>
      <c r="M53" s="3550"/>
      <c r="N53" s="1565"/>
      <c r="O53" s="1557"/>
      <c r="P53" s="1557"/>
      <c r="Q53" s="1578"/>
      <c r="R53" s="1557"/>
      <c r="S53" s="1557"/>
    </row>
    <row r="54" spans="1:19" s="305" customFormat="1" ht="11.25" customHeight="1">
      <c r="B54" s="307" t="s">
        <v>1999</v>
      </c>
      <c r="C54" s="307" t="s">
        <v>284</v>
      </c>
      <c r="H54" s="3539" t="s">
        <v>4655</v>
      </c>
      <c r="I54" s="3540"/>
      <c r="J54" s="3540"/>
      <c r="K54" s="3540"/>
      <c r="L54" s="3540"/>
      <c r="M54" s="3540"/>
      <c r="N54" s="3541"/>
      <c r="O54" s="1566" t="s">
        <v>2005</v>
      </c>
      <c r="P54" s="1566"/>
      <c r="Q54" s="3539" t="s">
        <v>4555</v>
      </c>
      <c r="R54" s="3540"/>
      <c r="S54" s="3541"/>
    </row>
    <row r="55" spans="1:19" s="305" customFormat="1" ht="11.25" customHeight="1">
      <c r="D55" s="348"/>
      <c r="E55" s="310" t="s">
        <v>1031</v>
      </c>
      <c r="F55" s="318"/>
      <c r="H55" s="3539" t="s">
        <v>4586</v>
      </c>
      <c r="I55" s="3540"/>
      <c r="J55" s="3540"/>
      <c r="K55" s="3540"/>
      <c r="L55" s="3540"/>
      <c r="M55" s="3540"/>
      <c r="N55" s="3541"/>
      <c r="O55" s="1566" t="s">
        <v>1760</v>
      </c>
      <c r="Q55" s="3539" t="s">
        <v>4587</v>
      </c>
      <c r="R55" s="3540"/>
      <c r="S55" s="3541"/>
    </row>
    <row r="56" spans="1:19" s="305" customFormat="1" ht="11.25" customHeight="1">
      <c r="D56" s="348"/>
      <c r="E56" s="310" t="s">
        <v>624</v>
      </c>
      <c r="H56" s="3539" t="s">
        <v>1217</v>
      </c>
      <c r="I56" s="3540"/>
      <c r="J56" s="3541"/>
      <c r="K56" s="1568" t="s">
        <v>2722</v>
      </c>
      <c r="L56" s="3539" t="s">
        <v>4578</v>
      </c>
      <c r="M56" s="3540"/>
      <c r="N56" s="3541"/>
      <c r="O56" s="1566" t="s">
        <v>1734</v>
      </c>
      <c r="Q56" s="3542">
        <v>4042731892</v>
      </c>
      <c r="R56" s="3543"/>
      <c r="S56" s="3544"/>
    </row>
    <row r="57" spans="1:19" s="305" customFormat="1" ht="11.25" customHeight="1">
      <c r="E57" s="310" t="s">
        <v>1812</v>
      </c>
      <c r="H57" s="3545" t="s">
        <v>856</v>
      </c>
      <c r="K57" s="1569" t="s">
        <v>2245</v>
      </c>
      <c r="L57" s="3546">
        <v>303050000</v>
      </c>
      <c r="M57" s="3547"/>
      <c r="O57" s="1566" t="s">
        <v>1995</v>
      </c>
      <c r="Q57" s="3542">
        <v>4042731892</v>
      </c>
      <c r="R57" s="3543"/>
      <c r="S57" s="3544"/>
    </row>
    <row r="58" spans="1:19" s="305" customFormat="1" ht="11.25" customHeight="1">
      <c r="D58" s="348"/>
      <c r="E58" s="310" t="s">
        <v>4316</v>
      </c>
      <c r="H58" s="3542">
        <v>4042504093</v>
      </c>
      <c r="I58" s="3544"/>
      <c r="J58" s="3548">
        <v>703</v>
      </c>
      <c r="K58" s="1578" t="s">
        <v>2000</v>
      </c>
      <c r="L58" s="3534" t="s">
        <v>4557</v>
      </c>
      <c r="M58" s="3535"/>
      <c r="N58" s="3535"/>
      <c r="O58" s="3535"/>
      <c r="P58" s="3535"/>
      <c r="Q58" s="3535"/>
      <c r="R58" s="3535"/>
      <c r="S58" s="3536"/>
    </row>
    <row r="59" spans="1:19" s="305" customFormat="1" ht="6.6" customHeight="1">
      <c r="D59" s="348"/>
      <c r="E59" s="1577"/>
      <c r="F59" s="1577"/>
      <c r="G59" s="1566"/>
      <c r="H59" s="3549"/>
      <c r="I59" s="3549"/>
      <c r="J59" s="3549"/>
      <c r="K59" s="1578"/>
      <c r="L59" s="3549"/>
      <c r="M59" s="3549"/>
      <c r="N59" s="1565"/>
      <c r="O59" s="1557"/>
      <c r="P59" s="1557"/>
      <c r="Q59" s="1578"/>
      <c r="R59" s="1557"/>
      <c r="S59" s="1557"/>
    </row>
    <row r="60" spans="1:19" s="305" customFormat="1" ht="11.25" customHeight="1">
      <c r="B60" s="307" t="s">
        <v>2001</v>
      </c>
      <c r="C60" s="307" t="s">
        <v>285</v>
      </c>
      <c r="H60" s="3539" t="s">
        <v>735</v>
      </c>
      <c r="I60" s="3540"/>
      <c r="J60" s="3540"/>
      <c r="K60" s="3540"/>
      <c r="L60" s="3540"/>
      <c r="M60" s="3540"/>
      <c r="N60" s="3541"/>
      <c r="O60" s="1566" t="s">
        <v>2005</v>
      </c>
      <c r="P60" s="1566"/>
      <c r="Q60" s="3539" t="s">
        <v>4558</v>
      </c>
      <c r="R60" s="3540"/>
      <c r="S60" s="3541"/>
    </row>
    <row r="61" spans="1:19" s="305" customFormat="1" ht="11.25" customHeight="1">
      <c r="D61" s="348"/>
      <c r="E61" s="310" t="s">
        <v>1031</v>
      </c>
      <c r="F61" s="318"/>
      <c r="H61" s="3539" t="s">
        <v>4573</v>
      </c>
      <c r="I61" s="3540"/>
      <c r="J61" s="3540"/>
      <c r="K61" s="3540"/>
      <c r="L61" s="3540"/>
      <c r="M61" s="3540"/>
      <c r="N61" s="3541"/>
      <c r="O61" s="1566" t="s">
        <v>1760</v>
      </c>
      <c r="Q61" s="3539" t="s">
        <v>4559</v>
      </c>
      <c r="R61" s="3540"/>
      <c r="S61" s="3541"/>
    </row>
    <row r="62" spans="1:19" s="305" customFormat="1" ht="11.25" customHeight="1">
      <c r="D62" s="348"/>
      <c r="E62" s="310" t="s">
        <v>624</v>
      </c>
      <c r="H62" s="3539" t="s">
        <v>2284</v>
      </c>
      <c r="I62" s="3540"/>
      <c r="J62" s="3541"/>
      <c r="K62" s="1568" t="s">
        <v>2722</v>
      </c>
      <c r="L62" s="3539" t="s">
        <v>4588</v>
      </c>
      <c r="M62" s="3540"/>
      <c r="N62" s="3541"/>
      <c r="O62" s="1566" t="s">
        <v>1734</v>
      </c>
      <c r="Q62" s="3542">
        <v>7063783940</v>
      </c>
      <c r="R62" s="3543"/>
      <c r="S62" s="3544"/>
    </row>
    <row r="63" spans="1:19" s="305" customFormat="1" ht="11.25" customHeight="1">
      <c r="E63" s="310" t="s">
        <v>1812</v>
      </c>
      <c r="H63" s="3545" t="s">
        <v>856</v>
      </c>
      <c r="K63" s="1569" t="s">
        <v>2245</v>
      </c>
      <c r="L63" s="3546">
        <v>301650000</v>
      </c>
      <c r="M63" s="3547"/>
      <c r="O63" s="1566" t="s">
        <v>1995</v>
      </c>
      <c r="Q63" s="3542">
        <v>7062524635</v>
      </c>
      <c r="R63" s="3543"/>
      <c r="S63" s="3544"/>
    </row>
    <row r="64" spans="1:19" s="305" customFormat="1" ht="11.25" customHeight="1">
      <c r="D64" s="348"/>
      <c r="E64" s="310" t="s">
        <v>4316</v>
      </c>
      <c r="H64" s="3542">
        <v>7063783940</v>
      </c>
      <c r="I64" s="3544"/>
      <c r="J64" s="3548"/>
      <c r="K64" s="1578" t="s">
        <v>2000</v>
      </c>
      <c r="L64" s="3534" t="s">
        <v>4561</v>
      </c>
      <c r="M64" s="3535"/>
      <c r="N64" s="3535"/>
      <c r="O64" s="3535"/>
      <c r="P64" s="3535"/>
      <c r="Q64" s="3535"/>
      <c r="R64" s="3535"/>
      <c r="S64" s="3536"/>
    </row>
    <row r="65" spans="1:19" s="305" customFormat="1" ht="6.6" customHeight="1">
      <c r="D65" s="348"/>
      <c r="E65" s="1577"/>
      <c r="F65" s="1577"/>
      <c r="G65" s="1566"/>
      <c r="H65" s="3549"/>
      <c r="I65" s="3549"/>
      <c r="J65" s="3549"/>
      <c r="K65" s="1578"/>
      <c r="L65" s="3549"/>
      <c r="M65" s="3549"/>
      <c r="N65" s="1565"/>
      <c r="O65" s="1557"/>
      <c r="P65" s="1557"/>
      <c r="Q65" s="1578"/>
      <c r="R65" s="1557"/>
      <c r="S65" s="1557"/>
    </row>
    <row r="66" spans="1:19" s="305" customFormat="1" ht="11.25" customHeight="1">
      <c r="B66" s="307" t="s">
        <v>757</v>
      </c>
      <c r="C66" s="307" t="s">
        <v>1540</v>
      </c>
      <c r="H66" s="3539"/>
      <c r="I66" s="3540"/>
      <c r="J66" s="3540"/>
      <c r="K66" s="3540"/>
      <c r="L66" s="3540"/>
      <c r="M66" s="3540"/>
      <c r="N66" s="3541"/>
      <c r="O66" s="1566" t="s">
        <v>2005</v>
      </c>
      <c r="P66" s="1566"/>
      <c r="Q66" s="3539"/>
      <c r="R66" s="3540"/>
      <c r="S66" s="3541"/>
    </row>
    <row r="67" spans="1:19" s="305" customFormat="1" ht="11.25" customHeight="1">
      <c r="D67" s="348"/>
      <c r="E67" s="310" t="s">
        <v>1031</v>
      </c>
      <c r="F67" s="318"/>
      <c r="H67" s="3539"/>
      <c r="I67" s="3540"/>
      <c r="J67" s="3540"/>
      <c r="K67" s="3540"/>
      <c r="L67" s="3540"/>
      <c r="M67" s="3540"/>
      <c r="N67" s="3541"/>
      <c r="O67" s="1566" t="s">
        <v>1760</v>
      </c>
      <c r="Q67" s="3539"/>
      <c r="R67" s="3540"/>
      <c r="S67" s="3541"/>
    </row>
    <row r="68" spans="1:19" s="305" customFormat="1" ht="11.25" customHeight="1">
      <c r="D68" s="348"/>
      <c r="E68" s="310" t="s">
        <v>624</v>
      </c>
      <c r="H68" s="3539"/>
      <c r="I68" s="3540"/>
      <c r="J68" s="3541"/>
      <c r="K68" s="1568" t="s">
        <v>2722</v>
      </c>
      <c r="L68" s="3539"/>
      <c r="M68" s="3540"/>
      <c r="N68" s="3541"/>
      <c r="O68" s="1566" t="s">
        <v>1734</v>
      </c>
      <c r="Q68" s="3542"/>
      <c r="R68" s="3543"/>
      <c r="S68" s="3544"/>
    </row>
    <row r="69" spans="1:19" s="305" customFormat="1" ht="11.25" customHeight="1">
      <c r="E69" s="310" t="s">
        <v>1812</v>
      </c>
      <c r="H69" s="3545"/>
      <c r="K69" s="1569" t="s">
        <v>2245</v>
      </c>
      <c r="L69" s="3546"/>
      <c r="M69" s="3547"/>
      <c r="O69" s="1566" t="s">
        <v>1995</v>
      </c>
      <c r="Q69" s="3542"/>
      <c r="R69" s="3543"/>
      <c r="S69" s="3544"/>
    </row>
    <row r="70" spans="1:19" s="305" customFormat="1" ht="11.25" customHeight="1">
      <c r="D70" s="348"/>
      <c r="E70" s="310" t="s">
        <v>4316</v>
      </c>
      <c r="H70" s="3542"/>
      <c r="I70" s="3544"/>
      <c r="J70" s="3548"/>
      <c r="K70" s="1578" t="s">
        <v>2000</v>
      </c>
      <c r="L70" s="3534"/>
      <c r="M70" s="3535"/>
      <c r="N70" s="3535"/>
      <c r="O70" s="3535"/>
      <c r="P70" s="3535"/>
      <c r="Q70" s="3535"/>
      <c r="R70" s="3535"/>
      <c r="S70" s="3536"/>
    </row>
    <row r="71" spans="1:19" ht="6.6" customHeight="1">
      <c r="H71" s="3549"/>
      <c r="I71" s="3549"/>
      <c r="J71" s="3549"/>
      <c r="K71" s="1578"/>
      <c r="L71" s="3549"/>
      <c r="M71" s="3549"/>
      <c r="N71" s="1565"/>
      <c r="O71" s="1557"/>
      <c r="P71" s="1557"/>
      <c r="Q71" s="1578"/>
      <c r="R71" s="1557"/>
      <c r="S71" s="1557"/>
    </row>
    <row r="72" spans="1:19" s="305" customFormat="1" ht="11.25" customHeight="1">
      <c r="B72" s="307" t="s">
        <v>2131</v>
      </c>
      <c r="C72" s="307" t="s">
        <v>286</v>
      </c>
      <c r="H72" s="3539"/>
      <c r="I72" s="3540"/>
      <c r="J72" s="3540"/>
      <c r="K72" s="3540"/>
      <c r="L72" s="3540"/>
      <c r="M72" s="3540"/>
      <c r="N72" s="3541"/>
      <c r="O72" s="1566" t="s">
        <v>2005</v>
      </c>
      <c r="P72" s="1566"/>
      <c r="Q72" s="3539"/>
      <c r="R72" s="3540"/>
      <c r="S72" s="3541"/>
    </row>
    <row r="73" spans="1:19" s="305" customFormat="1" ht="11.25" customHeight="1">
      <c r="D73" s="348"/>
      <c r="E73" s="310" t="s">
        <v>1031</v>
      </c>
      <c r="F73" s="318"/>
      <c r="H73" s="3539"/>
      <c r="I73" s="3540"/>
      <c r="J73" s="3540"/>
      <c r="K73" s="3540"/>
      <c r="L73" s="3540"/>
      <c r="M73" s="3540"/>
      <c r="N73" s="3541"/>
      <c r="O73" s="1566" t="s">
        <v>1760</v>
      </c>
      <c r="Q73" s="3539"/>
      <c r="R73" s="3540"/>
      <c r="S73" s="3541"/>
    </row>
    <row r="74" spans="1:19" s="305" customFormat="1" ht="11.25" customHeight="1">
      <c r="D74" s="348"/>
      <c r="E74" s="310" t="s">
        <v>624</v>
      </c>
      <c r="H74" s="3539"/>
      <c r="I74" s="3540"/>
      <c r="J74" s="3541"/>
      <c r="K74" s="1568" t="s">
        <v>2722</v>
      </c>
      <c r="L74" s="3539"/>
      <c r="M74" s="3540"/>
      <c r="N74" s="3541"/>
      <c r="O74" s="1566" t="s">
        <v>1734</v>
      </c>
      <c r="Q74" s="3542"/>
      <c r="R74" s="3543"/>
      <c r="S74" s="3544"/>
    </row>
    <row r="75" spans="1:19" s="305" customFormat="1" ht="11.25" customHeight="1">
      <c r="E75" s="310" t="s">
        <v>1812</v>
      </c>
      <c r="H75" s="3545"/>
      <c r="K75" s="1569" t="s">
        <v>2245</v>
      </c>
      <c r="L75" s="3546"/>
      <c r="M75" s="3547"/>
      <c r="O75" s="1566" t="s">
        <v>1995</v>
      </c>
      <c r="Q75" s="3542"/>
      <c r="R75" s="3543"/>
      <c r="S75" s="3544"/>
    </row>
    <row r="76" spans="1:19" s="305" customFormat="1" ht="11.25" customHeight="1">
      <c r="D76" s="348"/>
      <c r="E76" s="310" t="s">
        <v>4316</v>
      </c>
      <c r="H76" s="3542"/>
      <c r="I76" s="3544"/>
      <c r="J76" s="3548"/>
      <c r="K76" s="1578" t="s">
        <v>2000</v>
      </c>
      <c r="L76" s="3534"/>
      <c r="M76" s="3535"/>
      <c r="N76" s="3535"/>
      <c r="O76" s="3535"/>
      <c r="P76" s="3535"/>
      <c r="Q76" s="3535"/>
      <c r="R76" s="3535"/>
      <c r="S76" s="3536"/>
    </row>
    <row r="77" spans="1:19" ht="6.75" customHeight="1"/>
    <row r="78" spans="1:19" s="310" customFormat="1" ht="13.35" customHeight="1">
      <c r="A78" s="311" t="s">
        <v>750</v>
      </c>
      <c r="B78" s="311" t="s">
        <v>287</v>
      </c>
      <c r="D78" s="311"/>
      <c r="E78" s="1566"/>
      <c r="F78" s="277"/>
      <c r="G78" s="277"/>
      <c r="H78" s="277"/>
      <c r="I78" s="277"/>
      <c r="J78" s="277"/>
      <c r="K78" s="1417" t="s">
        <v>4315</v>
      </c>
      <c r="L78" s="277"/>
      <c r="M78" s="277"/>
    </row>
    <row r="79" spans="1:19" s="310" customFormat="1" ht="3" customHeight="1">
      <c r="A79" s="311"/>
      <c r="B79" s="311"/>
      <c r="D79" s="311"/>
      <c r="E79" s="1566"/>
      <c r="F79" s="277"/>
      <c r="G79" s="277"/>
      <c r="H79" s="3550"/>
      <c r="I79" s="3550"/>
      <c r="J79" s="3550"/>
      <c r="K79" s="1565"/>
      <c r="L79" s="3550"/>
      <c r="M79" s="3550"/>
      <c r="N79" s="1565"/>
      <c r="O79" s="1557"/>
      <c r="P79" s="1557"/>
      <c r="Q79" s="1578"/>
      <c r="R79" s="1557"/>
      <c r="S79" s="1557"/>
    </row>
    <row r="80" spans="1:19" s="305" customFormat="1" ht="11.25" customHeight="1">
      <c r="B80" s="307" t="s">
        <v>1999</v>
      </c>
      <c r="C80" s="307" t="s">
        <v>288</v>
      </c>
      <c r="H80" s="3539"/>
      <c r="I80" s="3540"/>
      <c r="J80" s="3540"/>
      <c r="K80" s="3540"/>
      <c r="L80" s="3540"/>
      <c r="M80" s="3540"/>
      <c r="N80" s="3541"/>
      <c r="O80" s="1566" t="s">
        <v>2005</v>
      </c>
      <c r="P80" s="1566"/>
      <c r="Q80" s="3539"/>
      <c r="R80" s="3540"/>
      <c r="S80" s="3541"/>
    </row>
    <row r="81" spans="2:19" s="305" customFormat="1" ht="11.25" customHeight="1">
      <c r="D81" s="348"/>
      <c r="E81" s="310" t="s">
        <v>1031</v>
      </c>
      <c r="F81" s="318"/>
      <c r="H81" s="3539"/>
      <c r="I81" s="3540"/>
      <c r="J81" s="3540"/>
      <c r="K81" s="3540"/>
      <c r="L81" s="3540"/>
      <c r="M81" s="3540"/>
      <c r="N81" s="3541"/>
      <c r="O81" s="1566" t="s">
        <v>1760</v>
      </c>
      <c r="Q81" s="3539"/>
      <c r="R81" s="3540"/>
      <c r="S81" s="3541"/>
    </row>
    <row r="82" spans="2:19" s="305" customFormat="1" ht="11.25" customHeight="1">
      <c r="D82" s="348"/>
      <c r="E82" s="310" t="s">
        <v>624</v>
      </c>
      <c r="H82" s="3539"/>
      <c r="I82" s="3540"/>
      <c r="J82" s="3541"/>
      <c r="K82" s="1568" t="s">
        <v>2722</v>
      </c>
      <c r="L82" s="3539"/>
      <c r="M82" s="3540"/>
      <c r="N82" s="3541"/>
      <c r="O82" s="1566" t="s">
        <v>1734</v>
      </c>
      <c r="Q82" s="3542"/>
      <c r="R82" s="3543"/>
      <c r="S82" s="3544"/>
    </row>
    <row r="83" spans="2:19" s="305" customFormat="1" ht="11.25" customHeight="1">
      <c r="E83" s="310" t="s">
        <v>1812</v>
      </c>
      <c r="H83" s="3545"/>
      <c r="K83" s="1569" t="s">
        <v>2245</v>
      </c>
      <c r="L83" s="3546"/>
      <c r="M83" s="3547"/>
      <c r="O83" s="1566" t="s">
        <v>1995</v>
      </c>
      <c r="Q83" s="3542"/>
      <c r="R83" s="3543"/>
      <c r="S83" s="3544"/>
    </row>
    <row r="84" spans="2:19" s="305" customFormat="1" ht="11.25" customHeight="1">
      <c r="D84" s="348"/>
      <c r="E84" s="310" t="s">
        <v>4316</v>
      </c>
      <c r="H84" s="3542"/>
      <c r="I84" s="3544"/>
      <c r="J84" s="3548"/>
      <c r="K84" s="1578" t="s">
        <v>2000</v>
      </c>
      <c r="L84" s="3534"/>
      <c r="M84" s="3535"/>
      <c r="N84" s="3535"/>
      <c r="O84" s="3535"/>
      <c r="P84" s="3535"/>
      <c r="Q84" s="3535"/>
      <c r="R84" s="3535"/>
      <c r="S84" s="3536"/>
    </row>
    <row r="85" spans="2:19" ht="6.6" customHeight="1">
      <c r="H85" s="3549"/>
      <c r="I85" s="3549"/>
      <c r="J85" s="3549"/>
      <c r="K85" s="1578"/>
      <c r="L85" s="3549"/>
      <c r="M85" s="3549"/>
      <c r="N85" s="1565"/>
      <c r="O85" s="1557"/>
      <c r="P85" s="1557"/>
      <c r="Q85" s="1578"/>
      <c r="R85" s="1557"/>
      <c r="S85" s="1557"/>
    </row>
    <row r="86" spans="2:19" s="305" customFormat="1" ht="11.25" customHeight="1">
      <c r="B86" s="307" t="s">
        <v>2001</v>
      </c>
      <c r="C86" s="307" t="s">
        <v>289</v>
      </c>
      <c r="H86" s="3539" t="s">
        <v>4589</v>
      </c>
      <c r="I86" s="3540"/>
      <c r="J86" s="3540"/>
      <c r="K86" s="3540"/>
      <c r="L86" s="3540"/>
      <c r="M86" s="3540"/>
      <c r="N86" s="3541"/>
      <c r="O86" s="1566" t="s">
        <v>2005</v>
      </c>
      <c r="P86" s="1566"/>
      <c r="Q86" s="3539" t="s">
        <v>4590</v>
      </c>
      <c r="R86" s="3540"/>
      <c r="S86" s="3541"/>
    </row>
    <row r="87" spans="2:19" s="305" customFormat="1" ht="11.25" customHeight="1">
      <c r="D87" s="348"/>
      <c r="E87" s="310" t="s">
        <v>1031</v>
      </c>
      <c r="F87" s="318"/>
      <c r="H87" s="3539" t="s">
        <v>4591</v>
      </c>
      <c r="I87" s="3540"/>
      <c r="J87" s="3540"/>
      <c r="K87" s="3540"/>
      <c r="L87" s="3540"/>
      <c r="M87" s="3540"/>
      <c r="N87" s="3541"/>
      <c r="O87" s="1566" t="s">
        <v>1760</v>
      </c>
      <c r="Q87" s="3539" t="s">
        <v>4587</v>
      </c>
      <c r="R87" s="3540"/>
      <c r="S87" s="3541"/>
    </row>
    <row r="88" spans="2:19" s="305" customFormat="1" ht="11.25" customHeight="1">
      <c r="D88" s="348"/>
      <c r="E88" s="310" t="s">
        <v>624</v>
      </c>
      <c r="H88" s="3539" t="s">
        <v>1709</v>
      </c>
      <c r="I88" s="3540"/>
      <c r="J88" s="3541"/>
      <c r="K88" s="1568" t="s">
        <v>2722</v>
      </c>
      <c r="L88" s="3539" t="s">
        <v>4592</v>
      </c>
      <c r="M88" s="3540"/>
      <c r="N88" s="3541"/>
      <c r="O88" s="1566" t="s">
        <v>1734</v>
      </c>
      <c r="Q88" s="3542">
        <v>2293789997</v>
      </c>
      <c r="R88" s="3543"/>
      <c r="S88" s="3544"/>
    </row>
    <row r="89" spans="2:19" s="305" customFormat="1" ht="11.25" customHeight="1">
      <c r="E89" s="310" t="s">
        <v>1812</v>
      </c>
      <c r="H89" s="3545" t="s">
        <v>856</v>
      </c>
      <c r="K89" s="1569" t="s">
        <v>2245</v>
      </c>
      <c r="L89" s="3546">
        <v>316022135</v>
      </c>
      <c r="M89" s="3547"/>
      <c r="O89" s="1566" t="s">
        <v>1995</v>
      </c>
      <c r="Q89" s="3542">
        <v>2295619997</v>
      </c>
      <c r="R89" s="3543"/>
      <c r="S89" s="3544"/>
    </row>
    <row r="90" spans="2:19" s="305" customFormat="1" ht="11.25" customHeight="1">
      <c r="D90" s="348"/>
      <c r="E90" s="310" t="s">
        <v>4316</v>
      </c>
      <c r="H90" s="3542">
        <v>2295066876</v>
      </c>
      <c r="I90" s="3544"/>
      <c r="J90" s="3548"/>
      <c r="K90" s="1578" t="s">
        <v>2000</v>
      </c>
      <c r="L90" s="3534" t="s">
        <v>4593</v>
      </c>
      <c r="M90" s="3535"/>
      <c r="N90" s="3535"/>
      <c r="O90" s="3535"/>
      <c r="P90" s="3535"/>
      <c r="Q90" s="3535"/>
      <c r="R90" s="3535"/>
      <c r="S90" s="3536"/>
    </row>
    <row r="91" spans="2:19" ht="6.6" customHeight="1">
      <c r="H91" s="3549"/>
      <c r="I91" s="3549"/>
      <c r="J91" s="3549"/>
      <c r="K91" s="1578"/>
      <c r="L91" s="3549"/>
      <c r="M91" s="3549"/>
      <c r="N91" s="1565"/>
      <c r="O91" s="1557"/>
      <c r="P91" s="1557"/>
      <c r="Q91" s="1578"/>
      <c r="R91" s="1557"/>
      <c r="S91" s="1557"/>
    </row>
    <row r="92" spans="2:19" s="305" customFormat="1" ht="11.25" customHeight="1">
      <c r="B92" s="307" t="s">
        <v>757</v>
      </c>
      <c r="C92" s="307" t="s">
        <v>290</v>
      </c>
      <c r="F92" s="324"/>
      <c r="H92" s="3539" t="s">
        <v>735</v>
      </c>
      <c r="I92" s="3540"/>
      <c r="J92" s="3540"/>
      <c r="K92" s="3540"/>
      <c r="L92" s="3540"/>
      <c r="M92" s="3540"/>
      <c r="N92" s="3541"/>
      <c r="O92" s="1566" t="s">
        <v>2005</v>
      </c>
      <c r="P92" s="1566"/>
      <c r="Q92" s="3539" t="s">
        <v>4558</v>
      </c>
      <c r="R92" s="3540"/>
      <c r="S92" s="3541"/>
    </row>
    <row r="93" spans="2:19" s="305" customFormat="1" ht="11.25" customHeight="1">
      <c r="D93" s="348"/>
      <c r="E93" s="310" t="s">
        <v>1031</v>
      </c>
      <c r="F93" s="318"/>
      <c r="H93" s="3539" t="s">
        <v>4573</v>
      </c>
      <c r="I93" s="3540"/>
      <c r="J93" s="3540"/>
      <c r="K93" s="3540"/>
      <c r="L93" s="3540"/>
      <c r="M93" s="3540"/>
      <c r="N93" s="3541"/>
      <c r="O93" s="1566" t="s">
        <v>1760</v>
      </c>
      <c r="Q93" s="3539" t="s">
        <v>4559</v>
      </c>
      <c r="R93" s="3540"/>
      <c r="S93" s="3541"/>
    </row>
    <row r="94" spans="2:19" s="305" customFormat="1" ht="11.25" customHeight="1">
      <c r="D94" s="348"/>
      <c r="E94" s="310" t="s">
        <v>624</v>
      </c>
      <c r="H94" s="3539" t="s">
        <v>2284</v>
      </c>
      <c r="I94" s="3540"/>
      <c r="J94" s="3541"/>
      <c r="K94" s="1568" t="s">
        <v>2722</v>
      </c>
      <c r="L94" s="3539" t="s">
        <v>4588</v>
      </c>
      <c r="M94" s="3540"/>
      <c r="N94" s="3541"/>
      <c r="O94" s="1566" t="s">
        <v>1734</v>
      </c>
      <c r="Q94" s="3542">
        <v>7063783940</v>
      </c>
      <c r="R94" s="3543"/>
      <c r="S94" s="3544"/>
    </row>
    <row r="95" spans="2:19" s="305" customFormat="1" ht="11.25" customHeight="1">
      <c r="D95" s="348"/>
      <c r="E95" s="310" t="s">
        <v>1812</v>
      </c>
      <c r="H95" s="3545" t="s">
        <v>856</v>
      </c>
      <c r="K95" s="1569" t="s">
        <v>2245</v>
      </c>
      <c r="L95" s="3546">
        <v>301650000</v>
      </c>
      <c r="M95" s="3547"/>
      <c r="O95" s="1566" t="s">
        <v>1995</v>
      </c>
      <c r="Q95" s="3542">
        <v>7062524635</v>
      </c>
      <c r="R95" s="3543"/>
      <c r="S95" s="3544"/>
    </row>
    <row r="96" spans="2:19" s="305" customFormat="1" ht="11.25" customHeight="1">
      <c r="D96" s="348"/>
      <c r="E96" s="310" t="s">
        <v>4316</v>
      </c>
      <c r="H96" s="3542">
        <v>7063783940</v>
      </c>
      <c r="I96" s="3544"/>
      <c r="J96" s="3548"/>
      <c r="K96" s="1578" t="s">
        <v>2000</v>
      </c>
      <c r="L96" s="3534" t="s">
        <v>4561</v>
      </c>
      <c r="M96" s="3535"/>
      <c r="N96" s="3535"/>
      <c r="O96" s="3535"/>
      <c r="P96" s="3535"/>
      <c r="Q96" s="3535"/>
      <c r="R96" s="3535"/>
      <c r="S96" s="3536"/>
    </row>
    <row r="97" spans="2:19" ht="6.6" customHeight="1">
      <c r="H97" s="3549"/>
      <c r="I97" s="3549"/>
      <c r="J97" s="3549"/>
      <c r="K97" s="1578"/>
      <c r="L97" s="3549"/>
      <c r="M97" s="3549"/>
      <c r="N97" s="1565"/>
      <c r="O97" s="1557"/>
      <c r="P97" s="1557"/>
      <c r="Q97" s="1578"/>
      <c r="R97" s="1557"/>
      <c r="S97" s="1557"/>
    </row>
    <row r="98" spans="2:19" s="305" customFormat="1" ht="11.25" customHeight="1">
      <c r="B98" s="307" t="s">
        <v>2131</v>
      </c>
      <c r="C98" s="307" t="s">
        <v>291</v>
      </c>
      <c r="H98" s="3522" t="s">
        <v>4594</v>
      </c>
      <c r="I98" s="3523"/>
      <c r="J98" s="3523"/>
      <c r="K98" s="3523"/>
      <c r="L98" s="3523"/>
      <c r="M98" s="3523"/>
      <c r="N98" s="3524"/>
      <c r="O98" s="1566" t="s">
        <v>2005</v>
      </c>
      <c r="P98" s="1566"/>
      <c r="Q98" s="3522" t="s">
        <v>4596</v>
      </c>
      <c r="R98" s="3523"/>
      <c r="S98" s="3524"/>
    </row>
    <row r="99" spans="2:19" s="305" customFormat="1" ht="11.25" customHeight="1">
      <c r="D99" s="348"/>
      <c r="E99" s="310" t="s">
        <v>1031</v>
      </c>
      <c r="F99" s="318"/>
      <c r="H99" s="3522" t="s">
        <v>4595</v>
      </c>
      <c r="I99" s="3523"/>
      <c r="J99" s="3523"/>
      <c r="K99" s="3523"/>
      <c r="L99" s="3523"/>
      <c r="M99" s="3523"/>
      <c r="N99" s="3524"/>
      <c r="O99" s="1566" t="s">
        <v>1760</v>
      </c>
      <c r="Q99" s="3539" t="s">
        <v>4597</v>
      </c>
      <c r="R99" s="3540"/>
      <c r="S99" s="3541"/>
    </row>
    <row r="100" spans="2:19" s="305" customFormat="1" ht="11.25" customHeight="1">
      <c r="D100" s="348"/>
      <c r="E100" s="310" t="s">
        <v>624</v>
      </c>
      <c r="H100" s="3539" t="s">
        <v>4599</v>
      </c>
      <c r="I100" s="3540"/>
      <c r="J100" s="3541"/>
      <c r="K100" s="1568" t="s">
        <v>2722</v>
      </c>
      <c r="L100" s="3522" t="s">
        <v>4598</v>
      </c>
      <c r="M100" s="3523"/>
      <c r="N100" s="3524"/>
      <c r="O100" s="1566" t="s">
        <v>1734</v>
      </c>
      <c r="Q100" s="3542">
        <v>7062950567</v>
      </c>
      <c r="R100" s="3543"/>
      <c r="S100" s="3544"/>
    </row>
    <row r="101" spans="2:19" s="305" customFormat="1" ht="11.25" customHeight="1">
      <c r="D101" s="348"/>
      <c r="E101" s="310" t="s">
        <v>1812</v>
      </c>
      <c r="H101" s="3545" t="s">
        <v>856</v>
      </c>
      <c r="K101" s="1569" t="s">
        <v>2245</v>
      </c>
      <c r="L101" s="3546">
        <v>301625007</v>
      </c>
      <c r="M101" s="3547"/>
      <c r="O101" s="1566" t="s">
        <v>1995</v>
      </c>
      <c r="Q101" s="3542"/>
      <c r="R101" s="3543"/>
      <c r="S101" s="3544"/>
    </row>
    <row r="102" spans="2:19" ht="11.25" customHeight="1">
      <c r="E102" s="310" t="s">
        <v>4316</v>
      </c>
      <c r="F102" s="305"/>
      <c r="G102" s="305"/>
      <c r="H102" s="3526">
        <v>7062918853</v>
      </c>
      <c r="I102" s="3528"/>
      <c r="J102" s="3548"/>
      <c r="K102" s="1578" t="s">
        <v>2000</v>
      </c>
      <c r="L102" s="3534" t="s">
        <v>4600</v>
      </c>
      <c r="M102" s="3535"/>
      <c r="N102" s="3535"/>
      <c r="O102" s="3535"/>
      <c r="P102" s="3535"/>
      <c r="Q102" s="3535"/>
      <c r="R102" s="3535"/>
      <c r="S102" s="3536"/>
    </row>
    <row r="103" spans="2:19" ht="6" customHeight="1">
      <c r="E103" s="310"/>
      <c r="F103" s="305"/>
      <c r="G103" s="1577"/>
      <c r="H103" s="3550"/>
      <c r="I103" s="3550"/>
      <c r="J103" s="3550"/>
      <c r="K103" s="1565"/>
      <c r="L103" s="3550"/>
      <c r="M103" s="3550"/>
      <c r="N103" s="1565"/>
      <c r="O103" s="1557"/>
      <c r="P103" s="1557"/>
      <c r="Q103" s="1578"/>
      <c r="R103" s="1557"/>
      <c r="S103" s="1557"/>
    </row>
    <row r="104" spans="2:19" s="305" customFormat="1" ht="11.25" customHeight="1">
      <c r="B104" s="307" t="s">
        <v>1748</v>
      </c>
      <c r="C104" s="307" t="s">
        <v>292</v>
      </c>
      <c r="H104" s="3522" t="s">
        <v>4601</v>
      </c>
      <c r="I104" s="3523"/>
      <c r="J104" s="3523"/>
      <c r="K104" s="3523"/>
      <c r="L104" s="3523"/>
      <c r="M104" s="3523"/>
      <c r="N104" s="3524"/>
      <c r="O104" s="1566" t="s">
        <v>2005</v>
      </c>
      <c r="P104" s="1566"/>
      <c r="Q104" s="3522" t="s">
        <v>4603</v>
      </c>
      <c r="R104" s="3523"/>
      <c r="S104" s="3524"/>
    </row>
    <row r="105" spans="2:19" s="305" customFormat="1" ht="11.25" customHeight="1">
      <c r="D105" s="348"/>
      <c r="E105" s="310" t="s">
        <v>1031</v>
      </c>
      <c r="F105" s="318"/>
      <c r="H105" s="3522" t="s">
        <v>4602</v>
      </c>
      <c r="I105" s="3523"/>
      <c r="J105" s="3523"/>
      <c r="K105" s="3523"/>
      <c r="L105" s="3523"/>
      <c r="M105" s="3523"/>
      <c r="N105" s="3524"/>
      <c r="O105" s="1566" t="s">
        <v>1760</v>
      </c>
      <c r="Q105" s="3539" t="s">
        <v>4606</v>
      </c>
      <c r="R105" s="3540"/>
      <c r="S105" s="3541"/>
    </row>
    <row r="106" spans="2:19" s="305" customFormat="1" ht="11.25" customHeight="1">
      <c r="D106" s="348"/>
      <c r="E106" s="310" t="s">
        <v>624</v>
      </c>
      <c r="H106" s="3539" t="s">
        <v>1217</v>
      </c>
      <c r="I106" s="3540"/>
      <c r="J106" s="3541"/>
      <c r="K106" s="1568" t="s">
        <v>2722</v>
      </c>
      <c r="L106" s="3522" t="s">
        <v>4604</v>
      </c>
      <c r="M106" s="3523"/>
      <c r="N106" s="3524"/>
      <c r="O106" s="1566" t="s">
        <v>1734</v>
      </c>
      <c r="Q106" s="3526">
        <v>4048988244</v>
      </c>
      <c r="R106" s="3527"/>
      <c r="S106" s="3528"/>
    </row>
    <row r="107" spans="2:19" s="305" customFormat="1" ht="11.25" customHeight="1">
      <c r="D107" s="348"/>
      <c r="E107" s="310" t="s">
        <v>1812</v>
      </c>
      <c r="H107" s="3545" t="s">
        <v>856</v>
      </c>
      <c r="K107" s="1569" t="s">
        <v>2245</v>
      </c>
      <c r="L107" s="3546">
        <v>303286132</v>
      </c>
      <c r="M107" s="3547"/>
      <c r="O107" s="1566" t="s">
        <v>1995</v>
      </c>
      <c r="Q107" s="3526">
        <v>6783620453</v>
      </c>
      <c r="R107" s="3527"/>
      <c r="S107" s="3528"/>
    </row>
    <row r="108" spans="2:19" ht="11.25" customHeight="1">
      <c r="E108" s="310" t="s">
        <v>4316</v>
      </c>
      <c r="F108" s="305"/>
      <c r="G108" s="305"/>
      <c r="H108" s="3542">
        <v>4048988244</v>
      </c>
      <c r="I108" s="3544"/>
      <c r="J108" s="3548"/>
      <c r="K108" s="1578" t="s">
        <v>2000</v>
      </c>
      <c r="L108" s="3534" t="s">
        <v>4605</v>
      </c>
      <c r="M108" s="3535"/>
      <c r="N108" s="3535"/>
      <c r="O108" s="3535"/>
      <c r="P108" s="3535"/>
      <c r="Q108" s="3535"/>
      <c r="R108" s="3535"/>
      <c r="S108" s="3536"/>
    </row>
    <row r="109" spans="2:19" ht="6.6" customHeight="1">
      <c r="E109" s="310"/>
      <c r="F109" s="305"/>
      <c r="G109" s="1577"/>
      <c r="H109" s="3549"/>
      <c r="I109" s="3549"/>
      <c r="J109" s="3549"/>
      <c r="K109" s="1578"/>
      <c r="L109" s="3549"/>
      <c r="M109" s="3549"/>
      <c r="N109" s="1565"/>
      <c r="O109" s="1557"/>
      <c r="P109" s="1557"/>
      <c r="Q109" s="1578"/>
      <c r="R109" s="1557"/>
      <c r="S109" s="1557"/>
    </row>
    <row r="110" spans="2:19" s="305" customFormat="1" ht="11.25" customHeight="1">
      <c r="B110" s="307" t="s">
        <v>1749</v>
      </c>
      <c r="C110" s="307" t="s">
        <v>293</v>
      </c>
      <c r="H110" s="3522" t="s">
        <v>4607</v>
      </c>
      <c r="I110" s="3523"/>
      <c r="J110" s="3523"/>
      <c r="K110" s="3523"/>
      <c r="L110" s="3523"/>
      <c r="M110" s="3523"/>
      <c r="N110" s="3524"/>
      <c r="O110" s="1566" t="s">
        <v>2005</v>
      </c>
      <c r="P110" s="1566"/>
      <c r="Q110" s="3522" t="s">
        <v>4611</v>
      </c>
      <c r="R110" s="3523"/>
      <c r="S110" s="3524"/>
    </row>
    <row r="111" spans="2:19" s="305" customFormat="1" ht="11.25" customHeight="1">
      <c r="D111" s="348"/>
      <c r="E111" s="310" t="s">
        <v>1031</v>
      </c>
      <c r="F111" s="318"/>
      <c r="H111" s="3522" t="s">
        <v>4608</v>
      </c>
      <c r="I111" s="3523"/>
      <c r="J111" s="3523"/>
      <c r="K111" s="3523"/>
      <c r="L111" s="3523"/>
      <c r="M111" s="3523"/>
      <c r="N111" s="3524"/>
      <c r="O111" s="1566" t="s">
        <v>1760</v>
      </c>
      <c r="Q111" s="3522" t="s">
        <v>2490</v>
      </c>
      <c r="R111" s="3523"/>
      <c r="S111" s="3524"/>
    </row>
    <row r="112" spans="2:19" s="305" customFormat="1" ht="11.25" customHeight="1">
      <c r="D112" s="348"/>
      <c r="E112" s="310" t="s">
        <v>624</v>
      </c>
      <c r="H112" s="3522" t="s">
        <v>1032</v>
      </c>
      <c r="I112" s="3523"/>
      <c r="J112" s="3524"/>
      <c r="K112" s="1568" t="s">
        <v>2722</v>
      </c>
      <c r="L112" s="3522" t="s">
        <v>4609</v>
      </c>
      <c r="M112" s="3523"/>
      <c r="N112" s="3524"/>
      <c r="O112" s="1566" t="s">
        <v>1734</v>
      </c>
      <c r="Q112" s="3526">
        <v>7705008727</v>
      </c>
      <c r="R112" s="3527"/>
      <c r="S112" s="3528"/>
    </row>
    <row r="113" spans="1:22" s="305" customFormat="1" ht="11.25" customHeight="1">
      <c r="D113" s="352"/>
      <c r="E113" s="310" t="s">
        <v>1812</v>
      </c>
      <c r="H113" s="3545" t="s">
        <v>856</v>
      </c>
      <c r="K113" s="1569" t="s">
        <v>2245</v>
      </c>
      <c r="L113" s="3546">
        <v>301210000</v>
      </c>
      <c r="M113" s="3547"/>
      <c r="O113" s="1566" t="s">
        <v>1995</v>
      </c>
      <c r="Q113" s="3526">
        <v>7705008727</v>
      </c>
      <c r="R113" s="3527"/>
      <c r="S113" s="3528"/>
    </row>
    <row r="114" spans="1:22" s="305" customFormat="1" ht="11.25" customHeight="1">
      <c r="D114" s="352"/>
      <c r="E114" s="310" t="s">
        <v>4316</v>
      </c>
      <c r="H114" s="3526">
        <v>7705008727</v>
      </c>
      <c r="I114" s="3528"/>
      <c r="J114" s="3548"/>
      <c r="K114" s="1578" t="s">
        <v>2000</v>
      </c>
      <c r="L114" s="3534" t="s">
        <v>4610</v>
      </c>
      <c r="M114" s="3535"/>
      <c r="N114" s="3535"/>
      <c r="O114" s="3535"/>
      <c r="P114" s="3535"/>
      <c r="Q114" s="3535"/>
      <c r="R114" s="3535"/>
      <c r="S114" s="3536"/>
    </row>
    <row r="115" spans="1:22" ht="3" customHeight="1"/>
    <row r="116" spans="1:22" s="305" customFormat="1" ht="12" customHeight="1">
      <c r="A116" s="307" t="s">
        <v>1805</v>
      </c>
      <c r="B116" s="307" t="s">
        <v>2620</v>
      </c>
      <c r="F116" s="307"/>
      <c r="G116" s="1578"/>
      <c r="H116" s="1578"/>
      <c r="I116" s="1578"/>
      <c r="J116" s="1578"/>
      <c r="K116" s="1578"/>
      <c r="L116" s="1578"/>
      <c r="M116" s="1578"/>
      <c r="N116" s="1578"/>
      <c r="O116" s="1578"/>
      <c r="P116" s="1578"/>
      <c r="Q116" s="1568"/>
    </row>
    <row r="117" spans="1:22" s="305" customFormat="1" ht="11.25" customHeight="1">
      <c r="B117" s="307" t="s">
        <v>1999</v>
      </c>
      <c r="C117" s="307" t="s">
        <v>3600</v>
      </c>
      <c r="H117" s="3522" t="s">
        <v>4612</v>
      </c>
      <c r="I117" s="3551"/>
      <c r="J117" s="3552"/>
      <c r="K117" s="1578" t="s">
        <v>2490</v>
      </c>
      <c r="L117" s="3539"/>
      <c r="M117" s="3540"/>
      <c r="N117" s="3541"/>
      <c r="O117" s="310" t="s">
        <v>3601</v>
      </c>
      <c r="Q117" s="3539"/>
      <c r="R117" s="3540"/>
      <c r="S117" s="3541"/>
    </row>
    <row r="118" spans="1:22" s="305" customFormat="1" ht="11.25" customHeight="1">
      <c r="D118" s="348"/>
      <c r="E118" s="310" t="s">
        <v>1031</v>
      </c>
      <c r="F118" s="318"/>
      <c r="H118" s="3539"/>
      <c r="I118" s="3540"/>
      <c r="J118" s="3540"/>
      <c r="K118" s="3540"/>
      <c r="L118" s="3540"/>
      <c r="M118" s="3540"/>
      <c r="N118" s="3541"/>
      <c r="O118" s="310" t="s">
        <v>624</v>
      </c>
      <c r="Q118" s="3539"/>
      <c r="R118" s="3540"/>
      <c r="S118" s="3541"/>
    </row>
    <row r="119" spans="1:22" s="305" customFormat="1" ht="11.25" customHeight="1">
      <c r="D119" s="348"/>
      <c r="E119" s="310" t="s">
        <v>1812</v>
      </c>
      <c r="H119" s="3545"/>
      <c r="I119" s="1569" t="s">
        <v>2245</v>
      </c>
      <c r="J119" s="3553"/>
      <c r="K119" s="3541"/>
      <c r="L119" s="1578" t="s">
        <v>2000</v>
      </c>
      <c r="M119" s="3534"/>
      <c r="N119" s="3535"/>
      <c r="O119" s="3535"/>
      <c r="P119" s="3535"/>
      <c r="Q119" s="3535"/>
      <c r="R119" s="3535"/>
      <c r="S119" s="3536"/>
    </row>
    <row r="120" spans="1:22" ht="12" customHeight="1">
      <c r="B120" s="307" t="s">
        <v>2001</v>
      </c>
      <c r="C120" s="307" t="s">
        <v>2852</v>
      </c>
      <c r="H120" s="1556"/>
      <c r="I120" s="1556"/>
      <c r="J120" s="1556"/>
      <c r="K120" s="1556"/>
      <c r="L120" s="1556"/>
      <c r="M120" s="1556"/>
      <c r="N120" s="1556"/>
      <c r="O120" s="1556"/>
      <c r="P120" s="1556"/>
      <c r="Q120" s="1556"/>
      <c r="R120" s="1556"/>
      <c r="S120" s="1556"/>
    </row>
    <row r="121" spans="1:22" ht="11.25" customHeight="1">
      <c r="A121" s="1690" t="s">
        <v>3910</v>
      </c>
      <c r="B121" s="1690"/>
      <c r="C121" s="1690"/>
      <c r="D121" s="1690"/>
      <c r="E121" s="1691"/>
      <c r="F121" s="3554" t="s">
        <v>2527</v>
      </c>
      <c r="G121" s="3555" t="s">
        <v>3500</v>
      </c>
      <c r="H121" s="3556"/>
      <c r="I121" s="3556"/>
      <c r="J121" s="3556"/>
      <c r="K121" s="3556"/>
      <c r="L121" s="3556"/>
      <c r="M121" s="3556"/>
      <c r="N121" s="3556"/>
      <c r="O121" s="3556"/>
      <c r="P121" s="3556"/>
      <c r="Q121" s="3556"/>
      <c r="R121" s="3556"/>
      <c r="S121" s="3557"/>
    </row>
    <row r="122" spans="1:22" s="305" customFormat="1" ht="31.5" customHeight="1">
      <c r="B122" s="521"/>
      <c r="C122" s="1195" t="s">
        <v>2002</v>
      </c>
      <c r="D122" s="1660" t="s">
        <v>2853</v>
      </c>
      <c r="E122" s="1692"/>
      <c r="F122" s="3558" t="s">
        <v>3009</v>
      </c>
      <c r="G122" s="3049" t="s">
        <v>4613</v>
      </c>
      <c r="H122" s="3050"/>
      <c r="I122" s="3050"/>
      <c r="J122" s="3050"/>
      <c r="K122" s="3050"/>
      <c r="L122" s="3050"/>
      <c r="M122" s="3050"/>
      <c r="N122" s="3050"/>
      <c r="O122" s="3050"/>
      <c r="P122" s="3050"/>
      <c r="Q122" s="3050"/>
      <c r="R122" s="3050"/>
      <c r="S122" s="3051"/>
      <c r="U122" s="1696" t="s">
        <v>2047</v>
      </c>
      <c r="V122" s="1696"/>
    </row>
    <row r="123" spans="1:22" s="305" customFormat="1" ht="31.5" customHeight="1">
      <c r="B123" s="521"/>
      <c r="C123" s="647" t="s">
        <v>2004</v>
      </c>
      <c r="D123" s="1631" t="s">
        <v>2919</v>
      </c>
      <c r="E123" s="1689"/>
      <c r="F123" s="3559" t="s">
        <v>3009</v>
      </c>
      <c r="G123" s="3052" t="s">
        <v>4614</v>
      </c>
      <c r="H123" s="3053"/>
      <c r="I123" s="3053"/>
      <c r="J123" s="3053"/>
      <c r="K123" s="3053"/>
      <c r="L123" s="3053"/>
      <c r="M123" s="3053"/>
      <c r="N123" s="3053"/>
      <c r="O123" s="3053"/>
      <c r="P123" s="3053"/>
      <c r="Q123" s="3053"/>
      <c r="R123" s="3053"/>
      <c r="S123" s="3054"/>
      <c r="U123" s="1696"/>
      <c r="V123" s="1696"/>
    </row>
    <row r="124" spans="1:22" s="305" customFormat="1" ht="31.5" customHeight="1">
      <c r="B124" s="521"/>
      <c r="C124" s="647" t="s">
        <v>2551</v>
      </c>
      <c r="D124" s="1631" t="s">
        <v>2895</v>
      </c>
      <c r="E124" s="1689"/>
      <c r="F124" s="3559" t="s">
        <v>3009</v>
      </c>
      <c r="G124" s="3052" t="s">
        <v>4744</v>
      </c>
      <c r="H124" s="3053"/>
      <c r="I124" s="3053"/>
      <c r="J124" s="3053"/>
      <c r="K124" s="3053"/>
      <c r="L124" s="3053"/>
      <c r="M124" s="3053"/>
      <c r="N124" s="3053"/>
      <c r="O124" s="3053"/>
      <c r="P124" s="3053"/>
      <c r="Q124" s="3053"/>
      <c r="R124" s="3053"/>
      <c r="S124" s="3054"/>
      <c r="U124" s="1696"/>
      <c r="V124" s="1696"/>
    </row>
    <row r="125" spans="1:22" s="305" customFormat="1" ht="31.5" customHeight="1">
      <c r="B125" s="521"/>
      <c r="C125" s="647" t="s">
        <v>1236</v>
      </c>
      <c r="D125" s="1631" t="s">
        <v>2854</v>
      </c>
      <c r="E125" s="1689"/>
      <c r="F125" s="3559"/>
      <c r="G125" s="3052"/>
      <c r="H125" s="3053"/>
      <c r="I125" s="3053"/>
      <c r="J125" s="3053"/>
      <c r="K125" s="3053"/>
      <c r="L125" s="3053"/>
      <c r="M125" s="3053"/>
      <c r="N125" s="3053"/>
      <c r="O125" s="3053"/>
      <c r="P125" s="3053"/>
      <c r="Q125" s="3053"/>
      <c r="R125" s="3053"/>
      <c r="S125" s="3054"/>
      <c r="U125" s="1696"/>
      <c r="V125" s="1696"/>
    </row>
    <row r="126" spans="1:22" s="305" customFormat="1" ht="31.5" customHeight="1">
      <c r="B126" s="521"/>
      <c r="C126" s="647" t="s">
        <v>1237</v>
      </c>
      <c r="D126" s="1631" t="s">
        <v>3487</v>
      </c>
      <c r="E126" s="1689"/>
      <c r="F126" s="3559"/>
      <c r="G126" s="3052"/>
      <c r="H126" s="3053"/>
      <c r="I126" s="3053"/>
      <c r="J126" s="3053"/>
      <c r="K126" s="3053"/>
      <c r="L126" s="3053"/>
      <c r="M126" s="3053"/>
      <c r="N126" s="3053"/>
      <c r="O126" s="3053"/>
      <c r="P126" s="3053"/>
      <c r="Q126" s="3053"/>
      <c r="R126" s="3053"/>
      <c r="S126" s="3054"/>
      <c r="U126" s="1696"/>
      <c r="V126" s="1696"/>
    </row>
    <row r="127" spans="1:22" s="305" customFormat="1" ht="31.5" customHeight="1">
      <c r="B127" s="521"/>
      <c r="C127" s="647" t="s">
        <v>1896</v>
      </c>
      <c r="D127" s="1631" t="s">
        <v>3488</v>
      </c>
      <c r="E127" s="1689"/>
      <c r="F127" s="3559"/>
      <c r="G127" s="3052"/>
      <c r="H127" s="3053"/>
      <c r="I127" s="3053"/>
      <c r="J127" s="3053"/>
      <c r="K127" s="3053"/>
      <c r="L127" s="3053"/>
      <c r="M127" s="3053"/>
      <c r="N127" s="3053"/>
      <c r="O127" s="3053"/>
      <c r="P127" s="3053"/>
      <c r="Q127" s="3053"/>
      <c r="R127" s="3053"/>
      <c r="S127" s="3054"/>
      <c r="U127" s="1696"/>
      <c r="V127" s="1696"/>
    </row>
    <row r="128" spans="1:22" s="305" customFormat="1" ht="31.5" customHeight="1">
      <c r="B128" s="521"/>
      <c r="C128" s="647" t="s">
        <v>508</v>
      </c>
      <c r="D128" s="1631" t="s">
        <v>2855</v>
      </c>
      <c r="E128" s="1689"/>
      <c r="F128" s="3559"/>
      <c r="G128" s="3052"/>
      <c r="H128" s="3053"/>
      <c r="I128" s="3053"/>
      <c r="J128" s="3053"/>
      <c r="K128" s="3053"/>
      <c r="L128" s="3053"/>
      <c r="M128" s="3053"/>
      <c r="N128" s="3053"/>
      <c r="O128" s="3053"/>
      <c r="P128" s="3053"/>
      <c r="Q128" s="3053"/>
      <c r="R128" s="3053"/>
      <c r="S128" s="3054"/>
    </row>
    <row r="129" spans="1:22" s="305" customFormat="1" ht="31.5" customHeight="1">
      <c r="B129" s="521"/>
      <c r="C129" s="647" t="s">
        <v>509</v>
      </c>
      <c r="D129" s="3560" t="s">
        <v>3909</v>
      </c>
      <c r="E129" s="3561"/>
      <c r="F129" s="3562"/>
      <c r="G129" s="3055"/>
      <c r="H129" s="3056"/>
      <c r="I129" s="3056"/>
      <c r="J129" s="3056"/>
      <c r="K129" s="3056"/>
      <c r="L129" s="3056"/>
      <c r="M129" s="3056"/>
      <c r="N129" s="3056"/>
      <c r="O129" s="3056"/>
      <c r="P129" s="3056"/>
      <c r="Q129" s="3056"/>
      <c r="R129" s="3056"/>
      <c r="S129" s="3057"/>
    </row>
    <row r="130" spans="1:22" s="305" customFormat="1" ht="13.35" customHeight="1">
      <c r="A130" s="307" t="s">
        <v>1807</v>
      </c>
      <c r="B130" s="307" t="s">
        <v>2864</v>
      </c>
      <c r="F130" s="307"/>
      <c r="G130" s="1578"/>
      <c r="H130" s="1578"/>
      <c r="I130" s="1578"/>
      <c r="J130" s="1578"/>
      <c r="K130" s="1578"/>
      <c r="L130" s="1578"/>
      <c r="M130" s="1578"/>
      <c r="N130" s="1578"/>
      <c r="O130" s="1578"/>
      <c r="P130" s="1578"/>
      <c r="Q130" s="1568"/>
    </row>
    <row r="131" spans="1:22" s="305" customFormat="1" ht="2.25" customHeight="1">
      <c r="A131" s="307"/>
      <c r="B131" s="307"/>
      <c r="F131" s="307"/>
      <c r="G131" s="1578"/>
      <c r="H131" s="1578"/>
      <c r="I131" s="1578"/>
      <c r="J131" s="1578"/>
      <c r="K131" s="1578"/>
      <c r="L131" s="1578"/>
      <c r="M131" s="1578"/>
      <c r="N131" s="1578"/>
      <c r="O131" s="1578"/>
      <c r="P131" s="1578"/>
      <c r="Q131" s="1568"/>
    </row>
    <row r="132" spans="1:22" ht="13.35" customHeight="1">
      <c r="B132" s="307" t="s">
        <v>757</v>
      </c>
      <c r="C132" s="307" t="s">
        <v>2856</v>
      </c>
    </row>
    <row r="133" spans="1:22" s="305" customFormat="1" ht="13.5" customHeight="1">
      <c r="A133" s="1659" t="s">
        <v>646</v>
      </c>
      <c r="B133" s="1660"/>
      <c r="C133" s="1660"/>
      <c r="D133" s="1660"/>
      <c r="E133" s="1664" t="s">
        <v>3468</v>
      </c>
      <c r="F133" s="1665"/>
      <c r="G133" s="1665"/>
      <c r="H133" s="1665"/>
      <c r="I133" s="1666"/>
      <c r="J133" s="1670" t="s">
        <v>3469</v>
      </c>
      <c r="K133" s="1673" t="s">
        <v>2926</v>
      </c>
      <c r="L133" s="1673" t="s">
        <v>2927</v>
      </c>
      <c r="M133" s="1676" t="s">
        <v>3479</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3744</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2925</v>
      </c>
      <c r="O137" s="1636"/>
      <c r="P137" s="1636"/>
      <c r="Q137" s="1636"/>
      <c r="R137" s="1636"/>
      <c r="S137" s="1688"/>
    </row>
    <row r="138" spans="1:22" s="305" customFormat="1" ht="24" customHeight="1">
      <c r="A138" s="1656" t="s">
        <v>3463</v>
      </c>
      <c r="B138" s="1657"/>
      <c r="C138" s="1657"/>
      <c r="D138" s="1658"/>
      <c r="E138" s="3049"/>
      <c r="F138" s="3050"/>
      <c r="G138" s="3050"/>
      <c r="H138" s="3050"/>
      <c r="I138" s="3563" t="s">
        <v>3012</v>
      </c>
      <c r="J138" s="3558" t="s">
        <v>3012</v>
      </c>
      <c r="K138" s="3564" t="s">
        <v>4574</v>
      </c>
      <c r="L138" s="3565">
        <v>1E-4</v>
      </c>
      <c r="M138" s="3566" t="s">
        <v>3012</v>
      </c>
      <c r="N138" s="3567"/>
      <c r="O138" s="3050"/>
      <c r="P138" s="3050"/>
      <c r="Q138" s="3050"/>
      <c r="R138" s="3050"/>
      <c r="S138" s="3051"/>
    </row>
    <row r="139" spans="1:22" s="305" customFormat="1" ht="24" customHeight="1">
      <c r="A139" s="1650" t="s">
        <v>3464</v>
      </c>
      <c r="B139" s="1651"/>
      <c r="C139" s="1651"/>
      <c r="D139" s="1652"/>
      <c r="E139" s="3052"/>
      <c r="F139" s="3053"/>
      <c r="G139" s="3053"/>
      <c r="H139" s="3053"/>
      <c r="I139" s="3568"/>
      <c r="J139" s="3559"/>
      <c r="K139" s="3569"/>
      <c r="L139" s="3570"/>
      <c r="M139" s="3571"/>
      <c r="N139" s="3572"/>
      <c r="O139" s="3053"/>
      <c r="P139" s="3053"/>
      <c r="Q139" s="3053"/>
      <c r="R139" s="3053"/>
      <c r="S139" s="3054"/>
      <c r="U139" s="1696" t="s">
        <v>2047</v>
      </c>
      <c r="V139" s="1696"/>
    </row>
    <row r="140" spans="1:22" s="305" customFormat="1" ht="24" customHeight="1">
      <c r="A140" s="1650" t="s">
        <v>3465</v>
      </c>
      <c r="B140" s="1651"/>
      <c r="C140" s="1651"/>
      <c r="D140" s="1652"/>
      <c r="E140" s="3052"/>
      <c r="F140" s="3053"/>
      <c r="G140" s="3053"/>
      <c r="H140" s="3053"/>
      <c r="I140" s="3568"/>
      <c r="J140" s="3559"/>
      <c r="K140" s="3569"/>
      <c r="L140" s="3570"/>
      <c r="M140" s="3571"/>
      <c r="N140" s="3572"/>
      <c r="O140" s="3053"/>
      <c r="P140" s="3053"/>
      <c r="Q140" s="3053"/>
      <c r="R140" s="3053"/>
      <c r="S140" s="3054"/>
      <c r="U140" s="1696"/>
      <c r="V140" s="1696"/>
    </row>
    <row r="141" spans="1:22" s="305" customFormat="1" ht="24" customHeight="1">
      <c r="A141" s="1650" t="s">
        <v>3466</v>
      </c>
      <c r="B141" s="1651"/>
      <c r="C141" s="1651"/>
      <c r="D141" s="1652"/>
      <c r="E141" s="3052"/>
      <c r="F141" s="3053"/>
      <c r="G141" s="3053"/>
      <c r="H141" s="3053"/>
      <c r="I141" s="3568" t="s">
        <v>3012</v>
      </c>
      <c r="J141" s="3559" t="s">
        <v>3012</v>
      </c>
      <c r="K141" s="3569" t="s">
        <v>4574</v>
      </c>
      <c r="L141" s="3570">
        <v>0.99980000000000002</v>
      </c>
      <c r="M141" s="3571" t="s">
        <v>3012</v>
      </c>
      <c r="N141" s="3572"/>
      <c r="O141" s="3053"/>
      <c r="P141" s="3053"/>
      <c r="Q141" s="3053"/>
      <c r="R141" s="3053"/>
      <c r="S141" s="3054"/>
      <c r="U141" s="1696"/>
      <c r="V141" s="1696"/>
    </row>
    <row r="142" spans="1:22" s="305" customFormat="1" ht="24" customHeight="1">
      <c r="A142" s="1650" t="s">
        <v>3467</v>
      </c>
      <c r="B142" s="1651"/>
      <c r="C142" s="1651"/>
      <c r="D142" s="1652"/>
      <c r="E142" s="3052"/>
      <c r="F142" s="3053"/>
      <c r="G142" s="3053"/>
      <c r="H142" s="3053"/>
      <c r="I142" s="3568" t="s">
        <v>3012</v>
      </c>
      <c r="J142" s="3559" t="s">
        <v>3012</v>
      </c>
      <c r="K142" s="3569" t="s">
        <v>4574</v>
      </c>
      <c r="L142" s="3570">
        <v>1E-4</v>
      </c>
      <c r="M142" s="3571" t="s">
        <v>3012</v>
      </c>
      <c r="N142" s="3572"/>
      <c r="O142" s="3053"/>
      <c r="P142" s="3053"/>
      <c r="Q142" s="3053"/>
      <c r="R142" s="3053"/>
      <c r="S142" s="3054"/>
      <c r="U142" s="1696"/>
      <c r="V142" s="1696"/>
    </row>
    <row r="143" spans="1:22" s="305" customFormat="1" ht="24" customHeight="1">
      <c r="A143" s="1650" t="s">
        <v>2912</v>
      </c>
      <c r="B143" s="1651"/>
      <c r="C143" s="1651"/>
      <c r="D143" s="1652"/>
      <c r="E143" s="3052"/>
      <c r="F143" s="3053"/>
      <c r="G143" s="3053"/>
      <c r="H143" s="3053"/>
      <c r="I143" s="3568"/>
      <c r="J143" s="3559"/>
      <c r="K143" s="3569"/>
      <c r="L143" s="3570"/>
      <c r="M143" s="3571"/>
      <c r="N143" s="3572"/>
      <c r="O143" s="3053"/>
      <c r="P143" s="3053"/>
      <c r="Q143" s="3053"/>
      <c r="R143" s="3053"/>
      <c r="S143" s="3054"/>
      <c r="U143" s="1696"/>
      <c r="V143" s="1696"/>
    </row>
    <row r="144" spans="1:22" s="305" customFormat="1" ht="24" customHeight="1">
      <c r="A144" s="1650" t="s">
        <v>659</v>
      </c>
      <c r="B144" s="1651"/>
      <c r="C144" s="1651"/>
      <c r="D144" s="1652"/>
      <c r="E144" s="3052"/>
      <c r="F144" s="3053"/>
      <c r="G144" s="3053"/>
      <c r="H144" s="3053"/>
      <c r="I144" s="3568" t="s">
        <v>3012</v>
      </c>
      <c r="J144" s="3559" t="s">
        <v>3012</v>
      </c>
      <c r="K144" s="3569" t="s">
        <v>4574</v>
      </c>
      <c r="L144" s="3570" t="s">
        <v>3186</v>
      </c>
      <c r="M144" s="3571" t="s">
        <v>3012</v>
      </c>
      <c r="N144" s="3572"/>
      <c r="O144" s="3053"/>
      <c r="P144" s="3053"/>
      <c r="Q144" s="3053"/>
      <c r="R144" s="3053"/>
      <c r="S144" s="3054"/>
      <c r="U144" s="1696"/>
      <c r="V144" s="1696"/>
    </row>
    <row r="145" spans="1:24" s="305" customFormat="1" ht="24" customHeight="1">
      <c r="A145" s="1650" t="s">
        <v>2913</v>
      </c>
      <c r="B145" s="1651"/>
      <c r="C145" s="1651"/>
      <c r="D145" s="1652"/>
      <c r="E145" s="3052"/>
      <c r="F145" s="3053"/>
      <c r="G145" s="3053"/>
      <c r="H145" s="3053"/>
      <c r="I145" s="3568" t="s">
        <v>3012</v>
      </c>
      <c r="J145" s="3559" t="s">
        <v>3012</v>
      </c>
      <c r="K145" s="3569" t="s">
        <v>4574</v>
      </c>
      <c r="L145" s="3570" t="s">
        <v>3186</v>
      </c>
      <c r="M145" s="3571" t="s">
        <v>3012</v>
      </c>
      <c r="N145" s="3572"/>
      <c r="O145" s="3053"/>
      <c r="P145" s="3053"/>
      <c r="Q145" s="3053"/>
      <c r="R145" s="3053"/>
      <c r="S145" s="3054"/>
    </row>
    <row r="146" spans="1:24" s="305" customFormat="1" ht="24" customHeight="1">
      <c r="A146" s="1650" t="s">
        <v>2914</v>
      </c>
      <c r="B146" s="1651"/>
      <c r="C146" s="1651"/>
      <c r="D146" s="1652"/>
      <c r="E146" s="3052"/>
      <c r="F146" s="3053"/>
      <c r="G146" s="3053"/>
      <c r="H146" s="3053"/>
      <c r="I146" s="3568"/>
      <c r="J146" s="3559"/>
      <c r="K146" s="3569"/>
      <c r="L146" s="3570"/>
      <c r="M146" s="3571"/>
      <c r="N146" s="3572"/>
      <c r="O146" s="3053"/>
      <c r="P146" s="3053"/>
      <c r="Q146" s="3053"/>
      <c r="R146" s="3053"/>
      <c r="S146" s="3054"/>
    </row>
    <row r="147" spans="1:24" s="305" customFormat="1" ht="24" customHeight="1">
      <c r="A147" s="1650" t="s">
        <v>2916</v>
      </c>
      <c r="B147" s="1651"/>
      <c r="C147" s="1651"/>
      <c r="D147" s="1652"/>
      <c r="E147" s="3052"/>
      <c r="F147" s="3053"/>
      <c r="G147" s="3053"/>
      <c r="H147" s="3053"/>
      <c r="I147" s="3568"/>
      <c r="J147" s="3559"/>
      <c r="K147" s="3569"/>
      <c r="L147" s="3570"/>
      <c r="M147" s="3571"/>
      <c r="N147" s="3572"/>
      <c r="O147" s="3053"/>
      <c r="P147" s="3053"/>
      <c r="Q147" s="3053"/>
      <c r="R147" s="3053"/>
      <c r="S147" s="3054"/>
    </row>
    <row r="148" spans="1:24" s="305" customFormat="1" ht="24" customHeight="1">
      <c r="A148" s="1650" t="s">
        <v>2915</v>
      </c>
      <c r="B148" s="1651"/>
      <c r="C148" s="1651"/>
      <c r="D148" s="1652"/>
      <c r="E148" s="3052"/>
      <c r="F148" s="3053"/>
      <c r="G148" s="3053"/>
      <c r="H148" s="3053"/>
      <c r="I148" s="3568"/>
      <c r="J148" s="3559"/>
      <c r="K148" s="3569"/>
      <c r="L148" s="3570"/>
      <c r="M148" s="3571"/>
      <c r="N148" s="3572"/>
      <c r="O148" s="3053"/>
      <c r="P148" s="3053"/>
      <c r="Q148" s="3053"/>
      <c r="R148" s="3053"/>
      <c r="S148" s="3054"/>
    </row>
    <row r="149" spans="1:24" s="305" customFormat="1" ht="24" customHeight="1">
      <c r="A149" s="1650" t="s">
        <v>1541</v>
      </c>
      <c r="B149" s="1651"/>
      <c r="C149" s="1651"/>
      <c r="D149" s="1652"/>
      <c r="E149" s="3052"/>
      <c r="F149" s="3053"/>
      <c r="G149" s="3053"/>
      <c r="H149" s="3053"/>
      <c r="I149" s="3568"/>
      <c r="J149" s="3559"/>
      <c r="K149" s="3569"/>
      <c r="L149" s="3570"/>
      <c r="M149" s="3571"/>
      <c r="N149" s="3572"/>
      <c r="O149" s="3053"/>
      <c r="P149" s="3053"/>
      <c r="Q149" s="3053"/>
      <c r="R149" s="3053"/>
      <c r="S149" s="3054"/>
    </row>
    <row r="150" spans="1:24" s="305" customFormat="1" ht="24" customHeight="1">
      <c r="A150" s="1653" t="s">
        <v>2917</v>
      </c>
      <c r="B150" s="1654"/>
      <c r="C150" s="1654"/>
      <c r="D150" s="1655"/>
      <c r="E150" s="3055"/>
      <c r="F150" s="3056"/>
      <c r="G150" s="3056"/>
      <c r="H150" s="3056"/>
      <c r="I150" s="3573"/>
      <c r="J150" s="3562"/>
      <c r="K150" s="3574"/>
      <c r="L150" s="3575"/>
      <c r="M150" s="3576"/>
      <c r="N150" s="3577"/>
      <c r="O150" s="3056"/>
      <c r="P150" s="3056"/>
      <c r="Q150" s="3056"/>
      <c r="R150" s="3056"/>
      <c r="S150" s="3057"/>
    </row>
    <row r="151" spans="1:24" s="1577" customFormat="1" ht="12" customHeight="1">
      <c r="G151" s="316"/>
      <c r="H151" s="316"/>
      <c r="I151" s="316"/>
      <c r="J151" s="1578"/>
      <c r="K151" s="331" t="s">
        <v>544</v>
      </c>
      <c r="L151" s="577">
        <f>SUM(L138:S150)</f>
        <v>1</v>
      </c>
      <c r="M151" s="1578"/>
      <c r="P151" s="314"/>
    </row>
    <row r="152" spans="1:24" ht="11.25" customHeight="1">
      <c r="A152" s="333" t="s">
        <v>535</v>
      </c>
      <c r="B152" s="347"/>
      <c r="C152" s="333" t="s">
        <v>577</v>
      </c>
      <c r="N152" s="333" t="s">
        <v>535</v>
      </c>
      <c r="O152" s="333" t="s">
        <v>80</v>
      </c>
    </row>
    <row r="153" spans="1:24" ht="60" customHeight="1">
      <c r="A153" s="3578" t="s">
        <v>4743</v>
      </c>
      <c r="B153" s="3579"/>
      <c r="C153" s="3579"/>
      <c r="D153" s="3579"/>
      <c r="E153" s="3579"/>
      <c r="F153" s="3579"/>
      <c r="G153" s="3579"/>
      <c r="H153" s="3579"/>
      <c r="I153" s="3579"/>
      <c r="J153" s="3579"/>
      <c r="K153" s="3579"/>
      <c r="L153" s="3579"/>
      <c r="M153" s="3580"/>
      <c r="N153" s="3581"/>
      <c r="O153" s="3582"/>
      <c r="P153" s="3582"/>
      <c r="Q153" s="3582"/>
      <c r="R153" s="3582"/>
      <c r="S153" s="3583"/>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84" t="s">
        <v>1812</v>
      </c>
    </row>
    <row r="159" spans="1:24" s="305" customFormat="1" ht="12" customHeight="1">
      <c r="A159" s="348"/>
      <c r="B159" s="324"/>
      <c r="C159" s="324"/>
      <c r="D159" s="324"/>
      <c r="E159" s="324"/>
      <c r="F159" s="324"/>
      <c r="G159" s="324"/>
      <c r="H159" s="324"/>
      <c r="I159" s="324"/>
      <c r="J159" s="324"/>
      <c r="K159" s="324"/>
      <c r="L159" s="324"/>
      <c r="M159" s="324"/>
      <c r="N159" s="324"/>
      <c r="O159" s="324"/>
      <c r="P159" s="3585" t="s">
        <v>846</v>
      </c>
    </row>
    <row r="160" spans="1:24" s="305" customFormat="1" ht="12" customHeight="1">
      <c r="A160" s="348"/>
      <c r="B160" s="324"/>
      <c r="C160" s="324"/>
      <c r="D160" s="324"/>
      <c r="E160" s="324"/>
      <c r="F160" s="324"/>
      <c r="G160" s="324"/>
      <c r="H160" s="324"/>
      <c r="I160" s="324"/>
      <c r="J160" s="324"/>
      <c r="K160" s="324"/>
      <c r="L160" s="324"/>
      <c r="M160" s="324"/>
      <c r="N160" s="324"/>
      <c r="O160" s="324"/>
      <c r="P160" s="3585" t="s">
        <v>847</v>
      </c>
    </row>
    <row r="161" spans="1:16" s="305" customFormat="1" ht="12" customHeight="1">
      <c r="A161" s="348"/>
      <c r="B161" s="324"/>
      <c r="C161" s="324"/>
      <c r="D161" s="324"/>
      <c r="E161" s="324"/>
      <c r="F161" s="324"/>
      <c r="G161" s="324"/>
      <c r="H161" s="324"/>
      <c r="I161" s="324"/>
      <c r="J161" s="324"/>
      <c r="K161" s="324"/>
      <c r="L161" s="324"/>
      <c r="M161" s="324"/>
      <c r="N161" s="324"/>
      <c r="O161" s="324"/>
      <c r="P161" s="3585" t="s">
        <v>848</v>
      </c>
    </row>
    <row r="162" spans="1:16" s="305" customFormat="1" ht="12" customHeight="1">
      <c r="A162" s="501"/>
      <c r="B162" s="324"/>
      <c r="C162" s="324"/>
      <c r="D162" s="324"/>
      <c r="E162" s="324"/>
      <c r="F162" s="324"/>
      <c r="G162" s="324"/>
      <c r="H162" s="324"/>
      <c r="I162" s="324"/>
      <c r="J162" s="324"/>
      <c r="K162" s="324"/>
      <c r="L162" s="324"/>
      <c r="M162" s="324"/>
      <c r="N162" s="324"/>
      <c r="O162" s="324"/>
      <c r="P162" s="3585" t="s">
        <v>849</v>
      </c>
    </row>
    <row r="163" spans="1:16" s="305" customFormat="1" ht="12" customHeight="1">
      <c r="B163" s="324"/>
      <c r="C163" s="324"/>
      <c r="D163" s="324"/>
      <c r="E163" s="324"/>
      <c r="F163" s="324"/>
      <c r="G163" s="324"/>
      <c r="H163" s="324"/>
      <c r="I163" s="324"/>
      <c r="J163" s="324"/>
      <c r="K163" s="324"/>
      <c r="L163" s="324"/>
      <c r="M163" s="324"/>
      <c r="N163" s="324"/>
      <c r="O163" s="324"/>
      <c r="P163" s="3585" t="s">
        <v>850</v>
      </c>
    </row>
    <row r="164" spans="1:16" s="305" customFormat="1" ht="12" customHeight="1">
      <c r="B164" s="324"/>
      <c r="C164" s="324"/>
      <c r="D164" s="324"/>
      <c r="E164" s="324"/>
      <c r="F164" s="324"/>
      <c r="G164" s="324"/>
      <c r="H164" s="324"/>
      <c r="I164" s="324"/>
      <c r="J164" s="324"/>
      <c r="K164" s="324"/>
      <c r="L164" s="324"/>
      <c r="M164" s="324"/>
      <c r="N164" s="324"/>
      <c r="O164" s="324"/>
      <c r="P164" s="3585" t="s">
        <v>851</v>
      </c>
    </row>
    <row r="165" spans="1:16" s="305" customFormat="1" ht="12" customHeight="1">
      <c r="B165" s="324"/>
      <c r="C165" s="324"/>
      <c r="D165" s="324"/>
      <c r="E165" s="324"/>
      <c r="F165" s="324"/>
      <c r="G165" s="324"/>
      <c r="H165" s="324"/>
      <c r="I165" s="324"/>
      <c r="J165" s="324"/>
      <c r="K165" s="324"/>
      <c r="L165" s="324"/>
      <c r="M165" s="324"/>
      <c r="N165" s="324"/>
      <c r="O165" s="324"/>
      <c r="P165" s="3585" t="s">
        <v>852</v>
      </c>
    </row>
    <row r="166" spans="1:16" s="305" customFormat="1" ht="12" customHeight="1">
      <c r="B166" s="324"/>
      <c r="C166" s="324"/>
      <c r="D166" s="324"/>
      <c r="E166" s="324"/>
      <c r="F166" s="324"/>
      <c r="G166" s="324"/>
      <c r="H166" s="324"/>
      <c r="I166" s="324"/>
      <c r="J166" s="324"/>
      <c r="K166" s="324"/>
      <c r="L166" s="324"/>
      <c r="M166" s="324"/>
      <c r="N166" s="324"/>
      <c r="O166" s="324"/>
      <c r="P166" s="3585" t="s">
        <v>853</v>
      </c>
    </row>
    <row r="167" spans="1:16" ht="12" customHeight="1">
      <c r="P167" s="3585" t="s">
        <v>854</v>
      </c>
    </row>
    <row r="168" spans="1:16" ht="12" customHeight="1">
      <c r="A168" s="333"/>
      <c r="P168" s="3585" t="s">
        <v>855</v>
      </c>
    </row>
    <row r="169" spans="1:16" ht="12" customHeight="1">
      <c r="P169" s="3585" t="s">
        <v>856</v>
      </c>
    </row>
    <row r="170" spans="1:16" ht="12" customHeight="1">
      <c r="P170" s="3585" t="s">
        <v>857</v>
      </c>
    </row>
    <row r="171" spans="1:16" ht="12" customHeight="1">
      <c r="P171" s="3585" t="s">
        <v>858</v>
      </c>
    </row>
    <row r="172" spans="1:16" ht="12" customHeight="1">
      <c r="P172" s="3585" t="s">
        <v>859</v>
      </c>
    </row>
    <row r="173" spans="1:16" ht="12" customHeight="1">
      <c r="P173" s="3585" t="s">
        <v>860</v>
      </c>
    </row>
    <row r="174" spans="1:16" ht="12" customHeight="1">
      <c r="P174" s="3585" t="s">
        <v>861</v>
      </c>
    </row>
    <row r="175" spans="1:16" ht="12" customHeight="1">
      <c r="P175" s="3585" t="s">
        <v>862</v>
      </c>
    </row>
    <row r="176" spans="1:16" ht="12" customHeight="1">
      <c r="P176" s="3585" t="s">
        <v>863</v>
      </c>
    </row>
    <row r="177" spans="16:16" ht="12" customHeight="1">
      <c r="P177" s="3585" t="s">
        <v>864</v>
      </c>
    </row>
    <row r="178" spans="16:16" ht="12" customHeight="1">
      <c r="P178" s="3585" t="s">
        <v>865</v>
      </c>
    </row>
    <row r="179" spans="16:16" ht="12" customHeight="1">
      <c r="P179" s="3585" t="s">
        <v>866</v>
      </c>
    </row>
    <row r="180" spans="16:16" ht="12" customHeight="1">
      <c r="P180" s="3585" t="s">
        <v>867</v>
      </c>
    </row>
    <row r="181" spans="16:16" ht="12" customHeight="1">
      <c r="P181" s="3585" t="s">
        <v>868</v>
      </c>
    </row>
    <row r="182" spans="16:16" ht="12" customHeight="1">
      <c r="P182" s="3585" t="s">
        <v>869</v>
      </c>
    </row>
    <row r="183" spans="16:16" ht="12" customHeight="1">
      <c r="P183" s="3585" t="s">
        <v>870</v>
      </c>
    </row>
    <row r="184" spans="16:16" ht="12" customHeight="1">
      <c r="P184" s="3585" t="s">
        <v>1353</v>
      </c>
    </row>
    <row r="185" spans="16:16" ht="12" customHeight="1">
      <c r="P185" s="3585" t="s">
        <v>1354</v>
      </c>
    </row>
    <row r="186" spans="16:16" ht="12" customHeight="1">
      <c r="P186" s="3585" t="s">
        <v>1355</v>
      </c>
    </row>
    <row r="187" spans="16:16" ht="12" customHeight="1">
      <c r="P187" s="3585" t="s">
        <v>1356</v>
      </c>
    </row>
    <row r="188" spans="16:16" ht="12" customHeight="1">
      <c r="P188" s="3585" t="s">
        <v>1357</v>
      </c>
    </row>
    <row r="189" spans="16:16" ht="13.5">
      <c r="P189" s="3585" t="s">
        <v>1358</v>
      </c>
    </row>
    <row r="190" spans="16:16" ht="12" customHeight="1">
      <c r="P190" s="3585" t="s">
        <v>1359</v>
      </c>
    </row>
    <row r="191" spans="16:16" ht="12" customHeight="1">
      <c r="P191" s="3585" t="s">
        <v>1360</v>
      </c>
    </row>
    <row r="192" spans="16:16" ht="12" customHeight="1">
      <c r="P192" s="3585" t="s">
        <v>1361</v>
      </c>
    </row>
    <row r="193" spans="16:16" ht="12" customHeight="1">
      <c r="P193" s="3585" t="s">
        <v>1362</v>
      </c>
    </row>
    <row r="194" spans="16:16" ht="12" customHeight="1">
      <c r="P194" s="3585" t="s">
        <v>1363</v>
      </c>
    </row>
    <row r="195" spans="16:16" ht="12" customHeight="1">
      <c r="P195" s="3585" t="s">
        <v>1364</v>
      </c>
    </row>
    <row r="196" spans="16:16" ht="12" customHeight="1">
      <c r="P196" s="3585" t="s">
        <v>1365</v>
      </c>
    </row>
    <row r="197" spans="16:16" ht="12" customHeight="1">
      <c r="P197" s="3585" t="s">
        <v>1366</v>
      </c>
    </row>
    <row r="198" spans="16:16" ht="12" customHeight="1">
      <c r="P198" s="3585" t="s">
        <v>1367</v>
      </c>
    </row>
    <row r="199" spans="16:16" ht="12" customHeight="1">
      <c r="P199" s="3585" t="s">
        <v>1368</v>
      </c>
    </row>
    <row r="200" spans="16:16" ht="12" customHeight="1">
      <c r="P200" s="3585" t="s">
        <v>1369</v>
      </c>
    </row>
    <row r="201" spans="16:16" ht="12" customHeight="1">
      <c r="P201" s="3585" t="s">
        <v>1370</v>
      </c>
    </row>
    <row r="202" spans="16:16" ht="12" customHeight="1">
      <c r="P202" s="3585" t="s">
        <v>1371</v>
      </c>
    </row>
    <row r="203" spans="16:16" ht="12" customHeight="1">
      <c r="P203" s="3585" t="s">
        <v>1372</v>
      </c>
    </row>
    <row r="204" spans="16:16" ht="12" customHeight="1">
      <c r="P204" s="3585" t="s">
        <v>1373</v>
      </c>
    </row>
    <row r="205" spans="16:16" ht="12" customHeight="1">
      <c r="P205" s="3585" t="s">
        <v>1374</v>
      </c>
    </row>
    <row r="206" spans="16:16" ht="12" customHeight="1">
      <c r="P206" s="3585" t="s">
        <v>1375</v>
      </c>
    </row>
    <row r="207" spans="16:16" ht="12" customHeight="1">
      <c r="P207" s="3585" t="s">
        <v>1376</v>
      </c>
    </row>
    <row r="208" spans="16:16" ht="12" customHeight="1">
      <c r="P208" s="3585" t="s">
        <v>1377</v>
      </c>
    </row>
    <row r="209" spans="16:16" ht="12" customHeight="1">
      <c r="P209" s="3585" t="s">
        <v>1378</v>
      </c>
    </row>
  </sheetData>
  <sheetProtection algorithmName="SHA-512" hashValue="AzYNE57HVVduF9Q/g9vFvEVXBBEyfdUH4R99eK2gonEJtpY4l2wQpj/Ih3UQl7Ce5Mu0OP/AGmfK74zPdMkk5g==" saltValue="e3Gg4IUlZ1Mrl3K44iucb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5" zoomScale="120" zoomScaleNormal="120" zoomScalePageLayoutView="120" workbookViewId="0">
      <selection activeCell="A2" sqref="A1:XFD1048576"/>
    </sheetView>
  </sheetViews>
  <sheetFormatPr defaultColWidth="9.140625" defaultRowHeight="13.5"/>
  <cols>
    <col min="1" max="1" width="4.28515625" style="354" customWidth="1"/>
    <col min="2" max="17" width="8.140625" style="354" customWidth="1"/>
    <col min="18" max="18" width="3.28515625" style="354" customWidth="1"/>
    <col min="19" max="19" width="13.42578125" style="354" customWidth="1"/>
    <col min="20" max="20" width="98.7109375" style="354" customWidth="1"/>
    <col min="21" max="16384" width="9.140625" style="354"/>
  </cols>
  <sheetData>
    <row r="1" spans="1:20" s="278" customFormat="1" ht="14.1" customHeight="1">
      <c r="A1" s="1693" t="str">
        <f>CONCATENATE("PART THREE - SOURCES OF FUNDS","  -  ",'Part I-Project Information'!$O$6," ",'Part I-Project Information'!$F$34,", ",'Part I-Project Information'!$F$38,", ",'Part I-Project Information'!$J$39," County")</f>
        <v>PART THREE - SOURCES OF FUNDS  -  2018-045 Altoview Terrace, Rome, Floyd County</v>
      </c>
      <c r="B1" s="1694"/>
      <c r="C1" s="1694"/>
      <c r="D1" s="1694"/>
      <c r="E1" s="1694"/>
      <c r="F1" s="1694"/>
      <c r="G1" s="1694"/>
      <c r="H1" s="1694"/>
      <c r="I1" s="1694"/>
      <c r="J1" s="1694"/>
      <c r="K1" s="1694"/>
      <c r="L1" s="1694"/>
      <c r="M1" s="1694"/>
      <c r="N1" s="1694"/>
      <c r="O1" s="1694"/>
      <c r="P1" s="1694"/>
      <c r="Q1" s="1695"/>
      <c r="S1" s="1736" t="str">
        <f>$A$1</f>
        <v>PART THREE - SOURCES OF FUNDS  -  2018-045 Altoview Terrace, Rome, Floyd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35" customHeight="1">
      <c r="A3" s="307" t="s">
        <v>622</v>
      </c>
      <c r="B3" s="327" t="s">
        <v>2507</v>
      </c>
      <c r="C3" s="305"/>
      <c r="D3" s="1577"/>
      <c r="E3" s="1577"/>
      <c r="F3" s="1577"/>
      <c r="G3" s="1577"/>
      <c r="J3" s="1577"/>
      <c r="P3" s="1555" t="s">
        <v>4551</v>
      </c>
      <c r="S3" s="355" t="str">
        <f>B3</f>
        <v>GOVERNMENT FUNDING SOURCES  (check all that apply)</v>
      </c>
    </row>
    <row r="4" spans="1:20" s="278" customFormat="1" ht="15.75" customHeight="1">
      <c r="A4" s="333"/>
      <c r="B4" s="501"/>
      <c r="C4" s="327"/>
      <c r="D4" s="1577"/>
      <c r="E4" s="1577"/>
      <c r="F4" s="1577"/>
      <c r="G4" s="1577"/>
      <c r="S4" s="1724" t="s">
        <v>2700</v>
      </c>
      <c r="T4" s="1724"/>
    </row>
    <row r="5" spans="1:20" s="278" customFormat="1" ht="16.5" customHeight="1">
      <c r="A5" s="501"/>
      <c r="B5" s="3431" t="s">
        <v>3009</v>
      </c>
      <c r="C5" s="1566" t="s">
        <v>2426</v>
      </c>
      <c r="D5" s="305"/>
      <c r="H5" s="3431" t="s">
        <v>3012</v>
      </c>
      <c r="I5" s="1566" t="s">
        <v>1549</v>
      </c>
      <c r="L5" s="3431" t="s">
        <v>3012</v>
      </c>
      <c r="M5" s="305" t="s">
        <v>3917</v>
      </c>
      <c r="S5" s="3432"/>
      <c r="T5" s="3433"/>
    </row>
    <row r="6" spans="1:20" s="278" customFormat="1" ht="16.5" customHeight="1">
      <c r="A6" s="501"/>
      <c r="B6" s="3434" t="s">
        <v>3012</v>
      </c>
      <c r="C6" s="1566" t="s">
        <v>555</v>
      </c>
      <c r="D6" s="305"/>
      <c r="H6" s="3434" t="s">
        <v>3012</v>
      </c>
      <c r="I6" s="1566" t="s">
        <v>554</v>
      </c>
      <c r="L6" s="3434" t="s">
        <v>3012</v>
      </c>
      <c r="M6" s="1566" t="s">
        <v>2618</v>
      </c>
      <c r="S6" s="3435"/>
      <c r="T6" s="3436"/>
    </row>
    <row r="7" spans="1:20" s="278" customFormat="1" ht="16.5" customHeight="1">
      <c r="A7" s="305"/>
      <c r="B7" s="3434" t="s">
        <v>3012</v>
      </c>
      <c r="C7" s="1566" t="s">
        <v>3914</v>
      </c>
      <c r="F7" s="3437"/>
      <c r="G7" s="3438"/>
      <c r="H7" s="3434" t="s">
        <v>3012</v>
      </c>
      <c r="I7" s="1566" t="s">
        <v>3704</v>
      </c>
      <c r="L7" s="3434" t="s">
        <v>3012</v>
      </c>
      <c r="M7" s="1566" t="s">
        <v>2619</v>
      </c>
      <c r="S7" s="3435"/>
      <c r="T7" s="3436"/>
    </row>
    <row r="8" spans="1:20" s="278" customFormat="1" ht="16.5" customHeight="1">
      <c r="A8" s="501"/>
      <c r="B8" s="3434" t="s">
        <v>3012</v>
      </c>
      <c r="C8" s="1566" t="s">
        <v>1816</v>
      </c>
      <c r="D8" s="305"/>
      <c r="H8" s="3434" t="s">
        <v>3012</v>
      </c>
      <c r="I8" s="305" t="s">
        <v>2627</v>
      </c>
      <c r="L8" s="3434" t="s">
        <v>3012</v>
      </c>
      <c r="M8" s="310" t="s">
        <v>3709</v>
      </c>
      <c r="S8" s="3439"/>
      <c r="T8" s="3440"/>
    </row>
    <row r="9" spans="1:20" s="278" customFormat="1" ht="16.5" customHeight="1">
      <c r="A9" s="501"/>
      <c r="B9" s="3434" t="s">
        <v>3012</v>
      </c>
      <c r="C9" s="1566" t="s">
        <v>556</v>
      </c>
      <c r="H9" s="3434" t="s">
        <v>3012</v>
      </c>
      <c r="I9" s="305" t="s">
        <v>2625</v>
      </c>
      <c r="L9" s="3434" t="s">
        <v>3012</v>
      </c>
      <c r="M9" s="310" t="s">
        <v>2626</v>
      </c>
      <c r="S9" s="3432"/>
      <c r="T9" s="3433"/>
    </row>
    <row r="10" spans="1:20" s="278" customFormat="1" ht="16.5" customHeight="1">
      <c r="A10" s="501"/>
      <c r="B10" s="3434" t="s">
        <v>3012</v>
      </c>
      <c r="C10" s="310" t="s">
        <v>3915</v>
      </c>
      <c r="G10" s="649"/>
      <c r="H10" s="3434" t="s">
        <v>3012</v>
      </c>
      <c r="I10" s="305" t="s">
        <v>3745</v>
      </c>
      <c r="J10" s="1035"/>
      <c r="K10" s="1035"/>
      <c r="L10" s="3434" t="s">
        <v>3009</v>
      </c>
      <c r="M10" s="310" t="s">
        <v>3747</v>
      </c>
      <c r="O10" s="3441" t="s">
        <v>4615</v>
      </c>
      <c r="P10" s="3442"/>
      <c r="Q10" s="3443"/>
      <c r="S10" s="3435"/>
      <c r="T10" s="3436"/>
    </row>
    <row r="11" spans="1:20" s="278" customFormat="1" ht="16.5" customHeight="1">
      <c r="A11" s="501"/>
      <c r="B11" s="3434" t="s">
        <v>3012</v>
      </c>
      <c r="C11" s="1566" t="s">
        <v>3748</v>
      </c>
      <c r="D11" s="305"/>
      <c r="E11" s="3444"/>
      <c r="F11" s="3445"/>
      <c r="H11" s="3434" t="s">
        <v>3012</v>
      </c>
      <c r="I11" s="305" t="s">
        <v>3750</v>
      </c>
      <c r="L11" s="3446" t="s">
        <v>3012</v>
      </c>
      <c r="M11" s="305" t="s">
        <v>3643</v>
      </c>
      <c r="S11" s="3435"/>
      <c r="T11" s="3436"/>
    </row>
    <row r="12" spans="1:20" s="278" customFormat="1" ht="16.5" customHeight="1">
      <c r="A12" s="501"/>
      <c r="B12" s="3446" t="s">
        <v>3012</v>
      </c>
      <c r="C12" s="1566" t="s">
        <v>3749</v>
      </c>
      <c r="E12" s="3447"/>
      <c r="F12" s="3448"/>
      <c r="H12" s="3434" t="s">
        <v>3012</v>
      </c>
      <c r="I12" s="521" t="s">
        <v>2813</v>
      </c>
      <c r="J12" s="521"/>
      <c r="K12" s="521"/>
      <c r="L12" s="3449" t="s">
        <v>3012</v>
      </c>
      <c r="M12" s="3450" t="s">
        <v>3711</v>
      </c>
      <c r="N12" s="3451"/>
      <c r="O12" s="3451"/>
      <c r="P12" s="3451"/>
      <c r="Q12" s="3452"/>
      <c r="S12" s="3439"/>
      <c r="T12" s="3440"/>
    </row>
    <row r="13" spans="1:20" s="278" customFormat="1" ht="16.5" customHeight="1">
      <c r="A13" s="501"/>
      <c r="C13" s="278" t="s">
        <v>3746</v>
      </c>
      <c r="E13" s="3441" t="s">
        <v>3470</v>
      </c>
      <c r="F13" s="3442"/>
      <c r="G13" s="3443"/>
      <c r="H13" s="3446" t="s">
        <v>3012</v>
      </c>
      <c r="I13" s="310" t="s">
        <v>3916</v>
      </c>
      <c r="J13" s="521"/>
      <c r="K13" s="521"/>
      <c r="M13" s="3453" t="s">
        <v>3722</v>
      </c>
      <c r="N13" s="3454"/>
      <c r="O13" s="3454"/>
      <c r="P13" s="3454"/>
      <c r="Q13" s="3455"/>
    </row>
    <row r="14" spans="1:20" s="278" customFormat="1" ht="17.100000000000001" customHeight="1">
      <c r="A14" s="501"/>
      <c r="B14" s="278" t="s">
        <v>3710</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7"/>
      <c r="E16" s="305"/>
      <c r="F16" s="305"/>
      <c r="G16" s="305"/>
      <c r="H16" s="278"/>
      <c r="L16" s="305"/>
      <c r="M16" s="1577"/>
      <c r="N16" s="1624"/>
      <c r="O16" s="1624"/>
      <c r="P16" s="305"/>
      <c r="Q16" s="305"/>
      <c r="S16" s="355" t="str">
        <f>B16</f>
        <v>CONSTRUCTION FINANCING</v>
      </c>
    </row>
    <row r="17" spans="1:20" s="355" customFormat="1" ht="14.1" customHeight="1">
      <c r="A17" s="307"/>
      <c r="B17" s="277"/>
      <c r="C17" s="305"/>
      <c r="K17" s="305"/>
      <c r="L17" s="305"/>
      <c r="M17" s="1577"/>
      <c r="N17" s="1568"/>
      <c r="O17" s="1568"/>
      <c r="P17" s="305"/>
      <c r="Q17" s="305"/>
    </row>
    <row r="18" spans="1:20" s="278" customFormat="1" ht="17.100000000000001" customHeight="1">
      <c r="A18" s="305"/>
      <c r="B18" s="1566"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75"/>
      <c r="F19" s="1575"/>
      <c r="G19" s="1575"/>
      <c r="H19" s="3456" t="s">
        <v>4616</v>
      </c>
      <c r="I19" s="3457"/>
      <c r="J19" s="3457"/>
      <c r="K19" s="3458"/>
      <c r="L19" s="3459">
        <v>9130000</v>
      </c>
      <c r="M19" s="3357"/>
      <c r="N19" s="3460">
        <v>5.9499999999999997E-2</v>
      </c>
      <c r="O19" s="3461"/>
      <c r="P19" s="3462">
        <v>24</v>
      </c>
      <c r="Q19" s="3463"/>
      <c r="S19" s="3432"/>
      <c r="T19" s="3433"/>
    </row>
    <row r="20" spans="1:20" s="278" customFormat="1" ht="16.5" customHeight="1">
      <c r="A20" s="305"/>
      <c r="B20" s="1707" t="s">
        <v>1604</v>
      </c>
      <c r="C20" s="1708"/>
      <c r="D20" s="1708"/>
      <c r="E20" s="1577"/>
      <c r="F20" s="1577"/>
      <c r="G20" s="1577"/>
      <c r="H20" s="3464"/>
      <c r="I20" s="3465"/>
      <c r="J20" s="3465"/>
      <c r="K20" s="3466"/>
      <c r="L20" s="3361"/>
      <c r="M20" s="3362"/>
      <c r="N20" s="3467"/>
      <c r="O20" s="3468"/>
      <c r="P20" s="3469"/>
      <c r="Q20" s="3470"/>
      <c r="S20" s="3435"/>
      <c r="T20" s="3436"/>
    </row>
    <row r="21" spans="1:20" s="278" customFormat="1" ht="16.5" customHeight="1">
      <c r="A21" s="305"/>
      <c r="B21" s="1733" t="s">
        <v>1605</v>
      </c>
      <c r="C21" s="1734"/>
      <c r="D21" s="1734"/>
      <c r="E21" s="1574"/>
      <c r="F21" s="1574"/>
      <c r="G21" s="1574"/>
      <c r="H21" s="3471"/>
      <c r="I21" s="3472"/>
      <c r="J21" s="3472"/>
      <c r="K21" s="3473"/>
      <c r="L21" s="3391"/>
      <c r="M21" s="3392"/>
      <c r="N21" s="3474"/>
      <c r="O21" s="3475"/>
      <c r="P21" s="3476"/>
      <c r="Q21" s="3477"/>
      <c r="S21" s="3435"/>
      <c r="T21" s="3436"/>
    </row>
    <row r="22" spans="1:20" s="278" customFormat="1" ht="16.5" customHeight="1">
      <c r="A22" s="305"/>
      <c r="B22" s="1725" t="s">
        <v>2231</v>
      </c>
      <c r="C22" s="1726"/>
      <c r="D22" s="1726"/>
      <c r="E22" s="1577"/>
      <c r="F22" s="1577"/>
      <c r="G22" s="1577"/>
      <c r="H22" s="3478"/>
      <c r="I22" s="3479"/>
      <c r="J22" s="3479"/>
      <c r="K22" s="3480"/>
      <c r="L22" s="3481"/>
      <c r="M22" s="3482"/>
      <c r="N22" s="1727"/>
      <c r="O22" s="1728"/>
      <c r="P22" s="1722"/>
      <c r="Q22" s="1722"/>
      <c r="S22" s="3435"/>
      <c r="T22" s="3436"/>
    </row>
    <row r="23" spans="1:20" s="278" customFormat="1" ht="16.5" customHeight="1">
      <c r="A23" s="305"/>
      <c r="B23" s="1707" t="s">
        <v>809</v>
      </c>
      <c r="C23" s="1708"/>
      <c r="D23" s="1708"/>
      <c r="E23" s="1577"/>
      <c r="H23" s="3464"/>
      <c r="I23" s="3465"/>
      <c r="J23" s="3465"/>
      <c r="K23" s="3466"/>
      <c r="L23" s="3361"/>
      <c r="M23" s="3362"/>
      <c r="N23" s="1727"/>
      <c r="O23" s="1728"/>
      <c r="P23" s="1722"/>
      <c r="Q23" s="1722"/>
      <c r="S23" s="3435"/>
      <c r="T23" s="3436"/>
    </row>
    <row r="24" spans="1:20" s="278" customFormat="1" ht="16.5" customHeight="1">
      <c r="A24" s="305"/>
      <c r="B24" s="1707" t="s">
        <v>647</v>
      </c>
      <c r="C24" s="1708"/>
      <c r="D24" s="1708"/>
      <c r="E24" s="1577"/>
      <c r="H24" s="3464"/>
      <c r="I24" s="3465"/>
      <c r="J24" s="3465"/>
      <c r="K24" s="3466"/>
      <c r="L24" s="3361"/>
      <c r="M24" s="3362"/>
      <c r="N24" s="1727"/>
      <c r="O24" s="1728"/>
      <c r="P24" s="1722"/>
      <c r="Q24" s="1722"/>
      <c r="S24" s="3435"/>
      <c r="T24" s="3436"/>
    </row>
    <row r="25" spans="1:20" s="278" customFormat="1" ht="16.5" customHeight="1">
      <c r="A25" s="305"/>
      <c r="B25" s="1707" t="s">
        <v>810</v>
      </c>
      <c r="C25" s="1708"/>
      <c r="D25" s="1708"/>
      <c r="E25" s="1577"/>
      <c r="H25" s="3464" t="s">
        <v>4617</v>
      </c>
      <c r="I25" s="3465"/>
      <c r="J25" s="3465"/>
      <c r="K25" s="3466"/>
      <c r="L25" s="3361">
        <v>1994801</v>
      </c>
      <c r="M25" s="3362"/>
      <c r="N25" s="305"/>
      <c r="O25" s="305"/>
      <c r="P25" s="305"/>
      <c r="Q25" s="305"/>
      <c r="S25" s="3439"/>
      <c r="T25" s="3440"/>
    </row>
    <row r="26" spans="1:20" s="278" customFormat="1" ht="16.5" customHeight="1">
      <c r="A26" s="305"/>
      <c r="B26" s="1707" t="s">
        <v>811</v>
      </c>
      <c r="C26" s="1708"/>
      <c r="D26" s="1708"/>
      <c r="E26" s="1577"/>
      <c r="H26" s="3464" t="s">
        <v>4617</v>
      </c>
      <c r="I26" s="3465"/>
      <c r="J26" s="3465"/>
      <c r="K26" s="3466"/>
      <c r="L26" s="3361">
        <v>1329867</v>
      </c>
      <c r="M26" s="3362"/>
      <c r="N26" s="305"/>
      <c r="Q26" s="305"/>
      <c r="S26" s="3432"/>
      <c r="T26" s="3433"/>
    </row>
    <row r="27" spans="1:20" s="278" customFormat="1" ht="16.5" customHeight="1">
      <c r="A27" s="305"/>
      <c r="B27" s="1576" t="s">
        <v>244</v>
      </c>
      <c r="C27" s="1577"/>
      <c r="D27" s="3483"/>
      <c r="E27" s="3483"/>
      <c r="F27" s="3483"/>
      <c r="G27" s="3483"/>
      <c r="H27" s="3464"/>
      <c r="I27" s="3465"/>
      <c r="J27" s="3465"/>
      <c r="K27" s="3466"/>
      <c r="L27" s="3361">
        <v>0</v>
      </c>
      <c r="M27" s="3362"/>
      <c r="N27" s="305"/>
      <c r="Q27" s="305"/>
      <c r="S27" s="3435"/>
      <c r="T27" s="3436"/>
    </row>
    <row r="28" spans="1:20" s="278" customFormat="1" ht="16.5" customHeight="1">
      <c r="A28" s="305"/>
      <c r="B28" s="1576" t="s">
        <v>244</v>
      </c>
      <c r="C28" s="1577"/>
      <c r="D28" s="3484"/>
      <c r="E28" s="3484"/>
      <c r="F28" s="3484"/>
      <c r="G28" s="3484"/>
      <c r="H28" s="3464"/>
      <c r="I28" s="3465"/>
      <c r="J28" s="3465"/>
      <c r="K28" s="3466"/>
      <c r="L28" s="3361"/>
      <c r="M28" s="3362"/>
      <c r="N28" s="305"/>
      <c r="S28" s="3435"/>
      <c r="T28" s="3436"/>
    </row>
    <row r="29" spans="1:20" s="278" customFormat="1" ht="16.5" customHeight="1">
      <c r="A29" s="305"/>
      <c r="B29" s="1573" t="s">
        <v>244</v>
      </c>
      <c r="C29" s="1574"/>
      <c r="D29" s="3485"/>
      <c r="E29" s="3485"/>
      <c r="F29" s="3485"/>
      <c r="G29" s="3485"/>
      <c r="H29" s="3471"/>
      <c r="I29" s="3472"/>
      <c r="J29" s="3472"/>
      <c r="K29" s="3473"/>
      <c r="L29" s="3391"/>
      <c r="M29" s="3392"/>
      <c r="N29" s="305"/>
      <c r="S29" s="3435"/>
      <c r="T29" s="3436"/>
    </row>
    <row r="30" spans="1:20" s="278" customFormat="1" ht="16.5" customHeight="1">
      <c r="A30" s="305"/>
      <c r="B30" s="277" t="s">
        <v>1310</v>
      </c>
      <c r="C30" s="305"/>
      <c r="D30" s="305"/>
      <c r="E30" s="305"/>
      <c r="F30" s="305"/>
      <c r="G30" s="305"/>
      <c r="H30" s="305"/>
      <c r="I30" s="305"/>
      <c r="L30" s="1729">
        <f>SUM(L19:L29)</f>
        <v>12454668</v>
      </c>
      <c r="M30" s="1730"/>
      <c r="N30" s="324"/>
      <c r="S30" s="3435"/>
      <c r="T30" s="3436"/>
    </row>
    <row r="31" spans="1:20" s="278" customFormat="1" ht="16.5" customHeight="1">
      <c r="A31" s="305"/>
      <c r="B31" s="1566" t="s">
        <v>1311</v>
      </c>
      <c r="C31" s="305"/>
      <c r="D31" s="305"/>
      <c r="E31" s="305"/>
      <c r="F31" s="305"/>
      <c r="G31" s="305"/>
      <c r="H31" s="305"/>
      <c r="I31" s="305"/>
      <c r="L31" s="348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12263401.35</v>
      </c>
      <c r="M31" s="3487"/>
      <c r="N31" s="900"/>
      <c r="S31" s="3435"/>
      <c r="T31" s="3436"/>
    </row>
    <row r="32" spans="1:20" s="278" customFormat="1" ht="16.5" customHeight="1">
      <c r="A32" s="305"/>
      <c r="B32" s="310" t="s">
        <v>2173</v>
      </c>
      <c r="C32" s="305"/>
      <c r="D32" s="305"/>
      <c r="E32" s="305"/>
      <c r="F32" s="305"/>
      <c r="G32" s="305"/>
      <c r="H32" s="305"/>
      <c r="I32" s="305"/>
      <c r="L32" s="1731">
        <f>L30-L31</f>
        <v>191266.65000000037</v>
      </c>
      <c r="M32" s="1732"/>
      <c r="N32" s="900"/>
      <c r="S32" s="3439"/>
      <c r="T32" s="3440"/>
    </row>
    <row r="33" spans="1:20" ht="9.6" customHeight="1">
      <c r="A33" s="333"/>
      <c r="B33" s="277"/>
      <c r="C33" s="324"/>
      <c r="D33" s="324"/>
      <c r="E33" s="324"/>
      <c r="F33" s="324"/>
      <c r="G33" s="324"/>
      <c r="H33" s="324"/>
      <c r="I33" s="324"/>
      <c r="J33" s="324"/>
      <c r="K33" s="324"/>
      <c r="L33" s="324"/>
      <c r="M33" s="1578"/>
      <c r="N33" s="1578"/>
    </row>
    <row r="34" spans="1:20" ht="9.6" customHeight="1">
      <c r="A34" s="307" t="s">
        <v>750</v>
      </c>
      <c r="B34" s="277" t="s">
        <v>808</v>
      </c>
      <c r="C34" s="324"/>
      <c r="D34" s="324"/>
      <c r="E34" s="324"/>
      <c r="F34" s="324"/>
      <c r="G34" s="324"/>
      <c r="H34" s="324"/>
      <c r="I34" s="324"/>
      <c r="J34" s="324"/>
      <c r="K34" s="324"/>
      <c r="L34" s="324"/>
      <c r="M34" s="1578"/>
      <c r="N34" s="1578"/>
      <c r="O34" s="324"/>
      <c r="S34" s="355" t="str">
        <f>B34</f>
        <v>PERMANENT FINANCING</v>
      </c>
    </row>
    <row r="35" spans="1:20" s="278" customFormat="1" ht="13.35" customHeight="1">
      <c r="A35" s="305"/>
      <c r="B35" s="305"/>
      <c r="C35" s="305"/>
      <c r="D35" s="305"/>
      <c r="E35" s="305"/>
      <c r="F35" s="1578"/>
      <c r="G35" s="1578"/>
      <c r="H35" s="1722"/>
      <c r="I35" s="1722"/>
      <c r="K35" s="381" t="s">
        <v>2115</v>
      </c>
      <c r="L35" s="1578" t="s">
        <v>1307</v>
      </c>
      <c r="M35" s="1578" t="s">
        <v>1312</v>
      </c>
      <c r="N35" s="1723" t="s">
        <v>35</v>
      </c>
      <c r="O35" s="1723"/>
      <c r="P35" s="1578"/>
      <c r="Q35" s="307"/>
      <c r="S35" s="355"/>
    </row>
    <row r="36" spans="1:20" s="278" customFormat="1" ht="13.35" customHeight="1">
      <c r="A36" s="305"/>
      <c r="B36" s="1571" t="s">
        <v>1885</v>
      </c>
      <c r="C36" s="1574"/>
      <c r="D36" s="1574"/>
      <c r="E36" s="1620" t="s">
        <v>1309</v>
      </c>
      <c r="F36" s="1620"/>
      <c r="G36" s="1620"/>
      <c r="H36" s="1620"/>
      <c r="I36" s="1637" t="s">
        <v>493</v>
      </c>
      <c r="J36" s="1637"/>
      <c r="K36" s="1565" t="s">
        <v>1819</v>
      </c>
      <c r="L36" s="1565" t="s">
        <v>2230</v>
      </c>
      <c r="M36" s="1565" t="s">
        <v>2230</v>
      </c>
      <c r="N36" s="3488"/>
      <c r="O36" s="3488"/>
      <c r="P36" s="1637" t="s">
        <v>75</v>
      </c>
      <c r="Q36" s="1637"/>
      <c r="S36" s="1724" t="s">
        <v>2700</v>
      </c>
      <c r="T36" s="1724"/>
    </row>
    <row r="37" spans="1:20" s="278" customFormat="1" ht="14.25" customHeight="1">
      <c r="A37" s="305"/>
      <c r="B37" s="1725" t="s">
        <v>2631</v>
      </c>
      <c r="C37" s="1726"/>
      <c r="D37" s="1726"/>
      <c r="E37" s="3456"/>
      <c r="F37" s="3457"/>
      <c r="G37" s="3457"/>
      <c r="H37" s="3458"/>
      <c r="I37" s="3489"/>
      <c r="J37" s="3490"/>
      <c r="K37" s="3491"/>
      <c r="L37" s="3431"/>
      <c r="M37" s="3431"/>
      <c r="N37" s="3492" t="str">
        <f t="shared" ref="N37:N41" si="0">IF(OR(I37&lt;=0,I37=""),"",IF(P37="Amortizing",-PMT(K37/12,M37*12,I37,0,0)*12,""))</f>
        <v/>
      </c>
      <c r="O37" s="3492"/>
      <c r="P37" s="3493"/>
      <c r="Q37" s="3493"/>
      <c r="S37" s="3432"/>
      <c r="T37" s="3433"/>
    </row>
    <row r="38" spans="1:20" s="278" customFormat="1" ht="14.25" customHeight="1">
      <c r="A38" s="305"/>
      <c r="B38" s="1707" t="s">
        <v>2632</v>
      </c>
      <c r="C38" s="1708"/>
      <c r="D38" s="1708"/>
      <c r="E38" s="3464"/>
      <c r="F38" s="3465"/>
      <c r="G38" s="3465"/>
      <c r="H38" s="3466"/>
      <c r="I38" s="3494"/>
      <c r="J38" s="3495"/>
      <c r="K38" s="3496"/>
      <c r="L38" s="3434"/>
      <c r="M38" s="3434"/>
      <c r="N38" s="3497" t="str">
        <f t="shared" si="0"/>
        <v/>
      </c>
      <c r="O38" s="3497"/>
      <c r="P38" s="3498"/>
      <c r="Q38" s="3498"/>
      <c r="S38" s="3435"/>
      <c r="T38" s="3436"/>
    </row>
    <row r="39" spans="1:20" s="278" customFormat="1" ht="14.25" customHeight="1">
      <c r="A39" s="305"/>
      <c r="B39" s="1707" t="s">
        <v>2633</v>
      </c>
      <c r="C39" s="1708"/>
      <c r="D39" s="1708"/>
      <c r="E39" s="3464"/>
      <c r="F39" s="3465"/>
      <c r="G39" s="3465"/>
      <c r="H39" s="3466"/>
      <c r="I39" s="3494"/>
      <c r="J39" s="3495"/>
      <c r="K39" s="3496"/>
      <c r="L39" s="3434"/>
      <c r="M39" s="3434"/>
      <c r="N39" s="3497" t="str">
        <f t="shared" si="0"/>
        <v/>
      </c>
      <c r="O39" s="3497"/>
      <c r="P39" s="3498"/>
      <c r="Q39" s="3498"/>
      <c r="S39" s="3435"/>
      <c r="T39" s="3436"/>
    </row>
    <row r="40" spans="1:20" s="278" customFormat="1" ht="14.25" customHeight="1">
      <c r="A40" s="305"/>
      <c r="B40" s="1576" t="s">
        <v>749</v>
      </c>
      <c r="C40" s="3499"/>
      <c r="D40" s="3500"/>
      <c r="E40" s="3464"/>
      <c r="F40" s="3465"/>
      <c r="G40" s="3465"/>
      <c r="H40" s="3466"/>
      <c r="I40" s="3494"/>
      <c r="J40" s="3495"/>
      <c r="K40" s="3501"/>
      <c r="L40" s="3446"/>
      <c r="M40" s="3446"/>
      <c r="N40" s="3502" t="str">
        <f t="shared" si="0"/>
        <v/>
      </c>
      <c r="O40" s="3502"/>
      <c r="P40" s="3503"/>
      <c r="Q40" s="3503"/>
      <c r="S40" s="3435"/>
      <c r="T40" s="3436"/>
    </row>
    <row r="41" spans="1:20" s="278" customFormat="1" ht="14.25" customHeight="1">
      <c r="A41" s="305"/>
      <c r="B41" s="1576" t="s">
        <v>2766</v>
      </c>
      <c r="C41" s="1577"/>
      <c r="D41" s="1582"/>
      <c r="E41" s="3464"/>
      <c r="F41" s="3465"/>
      <c r="G41" s="3465"/>
      <c r="H41" s="3466"/>
      <c r="I41" s="3494"/>
      <c r="J41" s="3495"/>
      <c r="K41" s="480"/>
      <c r="L41" s="1580"/>
      <c r="M41" s="1580"/>
      <c r="N41" s="1716" t="str">
        <f t="shared" si="0"/>
        <v/>
      </c>
      <c r="O41" s="1716"/>
      <c r="P41" s="1717"/>
      <c r="Q41" s="1717"/>
      <c r="S41" s="3435"/>
      <c r="T41" s="3436"/>
    </row>
    <row r="42" spans="1:20" s="278" customFormat="1" ht="14.25" customHeight="1">
      <c r="A42" s="305"/>
      <c r="B42" s="1573" t="s">
        <v>230</v>
      </c>
      <c r="C42" s="1574"/>
      <c r="D42" s="382">
        <f>IF(OR(I42="",I42=0,'Part IV-A-Uses of Funds'!$G$118="",'Part IV-A-Uses of Funds'!$G$118=0),"",I42/'Part IV-A-Uses of Funds'!$G$118)</f>
        <v>0.11032727272727273</v>
      </c>
      <c r="E42" s="3471" t="s">
        <v>4733</v>
      </c>
      <c r="F42" s="3472"/>
      <c r="G42" s="3472"/>
      <c r="H42" s="3473"/>
      <c r="I42" s="3504">
        <v>182040</v>
      </c>
      <c r="J42" s="3505"/>
      <c r="K42" s="3506"/>
      <c r="L42" s="3449"/>
      <c r="M42" s="3449"/>
      <c r="N42" s="3507"/>
      <c r="O42" s="3508"/>
      <c r="P42" s="3509"/>
      <c r="Q42" s="3510"/>
      <c r="S42" s="3435"/>
      <c r="T42" s="3436"/>
    </row>
    <row r="43" spans="1:20" s="278" customFormat="1" ht="3" customHeight="1">
      <c r="A43" s="305"/>
      <c r="B43" s="305"/>
      <c r="C43" s="305"/>
      <c r="D43" s="305"/>
      <c r="E43" s="305"/>
      <c r="F43" s="305"/>
      <c r="G43" s="305"/>
      <c r="H43" s="305"/>
      <c r="I43" s="1560"/>
      <c r="J43" s="3511"/>
      <c r="K43" s="1559"/>
      <c r="L43" s="1578"/>
      <c r="M43" s="1578"/>
      <c r="N43" s="1561"/>
      <c r="O43" s="1561"/>
      <c r="P43" s="1578"/>
      <c r="Q43" s="1578"/>
      <c r="S43" s="3512"/>
      <c r="T43" s="3513"/>
    </row>
    <row r="44" spans="1:20" s="278" customFormat="1" ht="14.25" customHeight="1">
      <c r="A44" s="305"/>
      <c r="B44" s="1165" t="s">
        <v>4236</v>
      </c>
      <c r="C44" s="1577"/>
      <c r="E44" s="278" t="s">
        <v>4129</v>
      </c>
      <c r="F44" s="1714" t="e">
        <f>IF(OR($I$42="",$I$42=0,'Part VII-Pro Forma'!$S$33=0,'Part VII-Pro Forma'!$S$33=""),"",VLOOKUP($L$42,'Part VII-Pro Forma'!$Q$19:$S$38,3))</f>
        <v>#N/A</v>
      </c>
      <c r="G44" s="1715"/>
      <c r="H44" s="649" t="s">
        <v>4235</v>
      </c>
      <c r="I44" s="1720" t="e">
        <f>IF(OR($I$42="",$I$42=0,'Part VII-Pro Forma'!$R$33=0,'Part VII-Pro Forma'!$R$33=""),"",VLOOKUP($L$42,'Part VII-Pro Forma'!$Q$19:$S$33,2))</f>
        <v>#N/A</v>
      </c>
      <c r="J44" s="1721"/>
      <c r="K44" s="3514"/>
      <c r="L44" s="1578"/>
      <c r="M44" s="1578"/>
      <c r="N44" s="1561"/>
      <c r="O44" s="1561"/>
      <c r="P44" s="1578"/>
      <c r="Q44" s="1578"/>
      <c r="S44" s="3512"/>
      <c r="T44" s="3513"/>
    </row>
    <row r="45" spans="1:20" s="278" customFormat="1" ht="14.25" customHeight="1">
      <c r="A45" s="305"/>
      <c r="B45" s="1165" t="s">
        <v>4295</v>
      </c>
      <c r="C45" s="1577"/>
      <c r="D45" s="1166"/>
      <c r="F45" s="3515" t="e">
        <f>I45</f>
        <v>#N/A</v>
      </c>
      <c r="G45" s="3516"/>
      <c r="H45" s="649" t="s">
        <v>4237</v>
      </c>
      <c r="I45" s="1718" t="e">
        <f>IF(OR($F$44 = 0,$F$44 =""),"",$I$44/$F$44)</f>
        <v>#N/A</v>
      </c>
      <c r="J45" s="1719"/>
      <c r="K45" s="1559"/>
      <c r="L45" s="1578"/>
      <c r="M45" s="1578"/>
      <c r="N45" s="1561"/>
      <c r="O45" s="1561"/>
      <c r="P45" s="1578"/>
      <c r="Q45" s="1578"/>
      <c r="S45" s="3512"/>
      <c r="T45" s="3513"/>
    </row>
    <row r="46" spans="1:20" s="278" customFormat="1" ht="3" customHeight="1">
      <c r="A46" s="305"/>
      <c r="B46" s="305"/>
      <c r="C46" s="305"/>
      <c r="D46" s="305"/>
      <c r="E46" s="305"/>
      <c r="F46" s="305"/>
      <c r="G46" s="305"/>
      <c r="H46" s="305"/>
      <c r="I46" s="3517"/>
      <c r="J46" s="3518"/>
      <c r="K46" s="1559"/>
      <c r="L46" s="1578"/>
      <c r="M46" s="1578"/>
      <c r="N46" s="1561"/>
      <c r="O46" s="1561"/>
      <c r="P46" s="1578"/>
      <c r="Q46" s="1578"/>
      <c r="S46" s="3512"/>
      <c r="T46" s="3513"/>
    </row>
    <row r="47" spans="1:20" s="278" customFormat="1" ht="14.25" customHeight="1">
      <c r="A47" s="305"/>
      <c r="B47" s="1704" t="s">
        <v>2231</v>
      </c>
      <c r="C47" s="1705"/>
      <c r="D47" s="1706"/>
      <c r="E47" s="3456"/>
      <c r="F47" s="3457"/>
      <c r="G47" s="3457"/>
      <c r="H47" s="3458"/>
      <c r="I47" s="3519"/>
      <c r="J47" s="3520"/>
      <c r="K47" s="383"/>
      <c r="L47" s="383"/>
      <c r="M47" s="383"/>
      <c r="N47" s="383"/>
      <c r="O47" s="383"/>
      <c r="P47" s="383"/>
      <c r="Q47" s="383"/>
      <c r="S47" s="3432"/>
      <c r="T47" s="3433"/>
    </row>
    <row r="48" spans="1:20" s="278" customFormat="1" ht="14.25" customHeight="1">
      <c r="A48" s="305"/>
      <c r="B48" s="1707" t="s">
        <v>809</v>
      </c>
      <c r="C48" s="1708"/>
      <c r="D48" s="1709"/>
      <c r="E48" s="3464"/>
      <c r="F48" s="3465"/>
      <c r="G48" s="3465"/>
      <c r="H48" s="3466"/>
      <c r="I48" s="3494"/>
      <c r="J48" s="3495"/>
      <c r="L48" s="1710" t="s">
        <v>522</v>
      </c>
      <c r="M48" s="1710"/>
      <c r="N48" s="1711" t="s">
        <v>523</v>
      </c>
      <c r="O48" s="1711"/>
      <c r="P48" s="413" t="s">
        <v>521</v>
      </c>
      <c r="Q48" s="383"/>
      <c r="S48" s="3435"/>
      <c r="T48" s="3436"/>
    </row>
    <row r="49" spans="1:23" s="278" customFormat="1" ht="14.25" customHeight="1">
      <c r="A49" s="305"/>
      <c r="B49" s="1707" t="s">
        <v>810</v>
      </c>
      <c r="C49" s="1708"/>
      <c r="D49" s="1709"/>
      <c r="E49" s="3464" t="s">
        <v>4579</v>
      </c>
      <c r="F49" s="3465"/>
      <c r="G49" s="3465"/>
      <c r="H49" s="3466"/>
      <c r="I49" s="3494">
        <v>7979202</v>
      </c>
      <c r="J49" s="3494"/>
      <c r="L49" s="1712">
        <f>'Part IV-A-Uses of Funds'!$J$175*10*'Part IV-A-Uses of Funds'!$N$168</f>
        <v>7980000</v>
      </c>
      <c r="M49" s="1712"/>
      <c r="N49" s="1713">
        <f>I49-L49</f>
        <v>-798</v>
      </c>
      <c r="O49" s="1713"/>
      <c r="P49" s="414" t="s">
        <v>2577</v>
      </c>
      <c r="Q49" s="383"/>
      <c r="S49" s="3435"/>
      <c r="T49" s="3436"/>
    </row>
    <row r="50" spans="1:23" s="278" customFormat="1" ht="14.25" customHeight="1">
      <c r="A50" s="305"/>
      <c r="B50" s="1707" t="s">
        <v>811</v>
      </c>
      <c r="C50" s="1708"/>
      <c r="D50" s="1709"/>
      <c r="E50" s="3464" t="s">
        <v>4579</v>
      </c>
      <c r="F50" s="3465"/>
      <c r="G50" s="3465"/>
      <c r="H50" s="3466"/>
      <c r="I50" s="3494">
        <v>5319468</v>
      </c>
      <c r="J50" s="3494"/>
      <c r="L50" s="1712">
        <f>'Part IV-A-Uses of Funds'!$J$175*10*'Part IV-A-Uses of Funds'!$Q$168</f>
        <v>5320000.0000000009</v>
      </c>
      <c r="M50" s="1712"/>
      <c r="N50" s="1713">
        <f>I50-L50</f>
        <v>-532.00000000093132</v>
      </c>
      <c r="O50" s="1713"/>
      <c r="P50" s="415">
        <f>I49/I59</f>
        <v>0.59189774075963286</v>
      </c>
      <c r="Q50" s="383"/>
      <c r="S50" s="3435"/>
      <c r="T50" s="3436"/>
    </row>
    <row r="51" spans="1:23" s="278" customFormat="1" ht="14.25" customHeight="1">
      <c r="A51" s="305"/>
      <c r="B51" s="1707" t="s">
        <v>1422</v>
      </c>
      <c r="C51" s="1708"/>
      <c r="D51" s="1709"/>
      <c r="E51" s="3464"/>
      <c r="F51" s="3465"/>
      <c r="G51" s="3465"/>
      <c r="H51" s="3466"/>
      <c r="I51" s="3494"/>
      <c r="J51" s="3494"/>
      <c r="P51" s="415">
        <f>I50/I59</f>
        <v>0.39459849383975526</v>
      </c>
      <c r="Q51" s="383"/>
      <c r="S51" s="3439"/>
      <c r="T51" s="3440"/>
    </row>
    <row r="52" spans="1:23" s="278" customFormat="1" ht="14.25" customHeight="1">
      <c r="A52" s="305"/>
      <c r="B52" s="1576" t="s">
        <v>536</v>
      </c>
      <c r="C52" s="1577"/>
      <c r="D52" s="1582"/>
      <c r="E52" s="3464"/>
      <c r="F52" s="3465"/>
      <c r="G52" s="3465"/>
      <c r="H52" s="3466"/>
      <c r="I52" s="3494"/>
      <c r="J52" s="3494"/>
      <c r="K52" s="305"/>
      <c r="P52" s="416">
        <f>SUM(P50:P51)</f>
        <v>0.98649623459938818</v>
      </c>
      <c r="Q52" s="383"/>
      <c r="S52" s="3435"/>
      <c r="T52" s="3436"/>
    </row>
    <row r="53" spans="1:23" s="278" customFormat="1" ht="14.25" customHeight="1">
      <c r="A53" s="305"/>
      <c r="B53" s="1576" t="s">
        <v>1883</v>
      </c>
      <c r="C53" s="1577"/>
      <c r="D53" s="1582"/>
      <c r="E53" s="3464"/>
      <c r="F53" s="3465"/>
      <c r="G53" s="3465"/>
      <c r="H53" s="3466"/>
      <c r="I53" s="3494"/>
      <c r="J53" s="3494"/>
      <c r="N53" s="384"/>
      <c r="O53" s="384"/>
      <c r="P53" s="384"/>
      <c r="Q53" s="383"/>
      <c r="S53" s="3435"/>
      <c r="T53" s="3436"/>
    </row>
    <row r="54" spans="1:23" s="278" customFormat="1" ht="14.25" customHeight="1">
      <c r="A54" s="305"/>
      <c r="B54" s="1576" t="s">
        <v>1884</v>
      </c>
      <c r="C54" s="1577"/>
      <c r="D54" s="1582"/>
      <c r="E54" s="3464"/>
      <c r="F54" s="3465"/>
      <c r="G54" s="3465"/>
      <c r="H54" s="3466"/>
      <c r="I54" s="3494"/>
      <c r="J54" s="3494"/>
      <c r="M54" s="384"/>
      <c r="N54" s="384"/>
      <c r="O54" s="384"/>
      <c r="P54" s="384"/>
      <c r="Q54" s="383"/>
      <c r="S54" s="3435"/>
      <c r="T54" s="3436"/>
    </row>
    <row r="55" spans="1:23" s="278" customFormat="1" ht="14.25" customHeight="1">
      <c r="A55" s="305"/>
      <c r="B55" s="1576" t="s">
        <v>749</v>
      </c>
      <c r="C55" s="3483"/>
      <c r="D55" s="3483"/>
      <c r="E55" s="3464"/>
      <c r="F55" s="3465"/>
      <c r="G55" s="3465"/>
      <c r="H55" s="3466"/>
      <c r="I55" s="3494"/>
      <c r="J55" s="3494"/>
      <c r="M55" s="384"/>
      <c r="N55" s="384"/>
      <c r="O55" s="384"/>
      <c r="P55" s="384"/>
      <c r="Q55" s="383"/>
      <c r="S55" s="3435"/>
      <c r="T55" s="3436"/>
    </row>
    <row r="56" spans="1:23" s="278" customFormat="1" ht="14.25" customHeight="1">
      <c r="A56" s="305"/>
      <c r="B56" s="1576" t="s">
        <v>749</v>
      </c>
      <c r="C56" s="3484"/>
      <c r="D56" s="3484"/>
      <c r="E56" s="3464"/>
      <c r="F56" s="3465"/>
      <c r="G56" s="3465"/>
      <c r="H56" s="3466"/>
      <c r="I56" s="3494"/>
      <c r="J56" s="3494"/>
      <c r="K56" s="305"/>
      <c r="L56" s="385"/>
      <c r="M56" s="384"/>
      <c r="N56" s="384"/>
      <c r="O56" s="384"/>
      <c r="P56" s="384"/>
      <c r="Q56" s="383"/>
      <c r="S56" s="3435"/>
      <c r="T56" s="3436"/>
    </row>
    <row r="57" spans="1:23" s="278" customFormat="1" ht="14.25" customHeight="1">
      <c r="A57" s="305"/>
      <c r="B57" s="1573" t="s">
        <v>749</v>
      </c>
      <c r="C57" s="3485"/>
      <c r="D57" s="3485"/>
      <c r="E57" s="3471"/>
      <c r="F57" s="3472"/>
      <c r="G57" s="3472"/>
      <c r="H57" s="3473"/>
      <c r="I57" s="3521"/>
      <c r="J57" s="3521"/>
      <c r="K57" s="305"/>
      <c r="L57" s="385"/>
      <c r="M57" s="384"/>
      <c r="N57" s="384"/>
      <c r="O57" s="384"/>
      <c r="P57" s="384"/>
      <c r="Q57" s="383"/>
      <c r="S57" s="3435"/>
      <c r="T57" s="3436"/>
    </row>
    <row r="58" spans="1:23" s="278" customFormat="1" ht="14.25" customHeight="1">
      <c r="A58" s="305"/>
      <c r="B58" s="1566" t="s">
        <v>2232</v>
      </c>
      <c r="C58" s="305"/>
      <c r="D58" s="305"/>
      <c r="E58" s="305"/>
      <c r="F58" s="305"/>
      <c r="G58" s="305"/>
      <c r="I58" s="1698">
        <f>SUM(I37:J42)+SUM(I47:J57)</f>
        <v>13480710</v>
      </c>
      <c r="J58" s="1699"/>
      <c r="K58" s="305"/>
      <c r="L58" s="385"/>
      <c r="M58" s="384"/>
      <c r="N58" s="384"/>
      <c r="O58" s="384"/>
      <c r="P58" s="384"/>
      <c r="Q58" s="383"/>
      <c r="S58" s="3435"/>
      <c r="T58" s="3436"/>
    </row>
    <row r="59" spans="1:23" s="278" customFormat="1" ht="14.25" customHeight="1" thickBot="1">
      <c r="A59" s="305"/>
      <c r="B59" s="1566" t="s">
        <v>2233</v>
      </c>
      <c r="C59" s="305"/>
      <c r="D59" s="305"/>
      <c r="E59" s="305"/>
      <c r="F59" s="305"/>
      <c r="G59" s="305"/>
      <c r="I59" s="1700">
        <f>'Part IV-A-Uses of Funds'!$G$132</f>
        <v>13480710.35</v>
      </c>
      <c r="J59" s="1701"/>
      <c r="K59" s="305"/>
      <c r="L59" s="385"/>
      <c r="M59" s="384"/>
      <c r="N59" s="384"/>
      <c r="O59" s="384"/>
      <c r="P59" s="384"/>
      <c r="Q59" s="383"/>
      <c r="S59" s="3435"/>
      <c r="T59" s="3436"/>
    </row>
    <row r="60" spans="1:23" s="278" customFormat="1" ht="14.25" customHeight="1" thickBot="1">
      <c r="A60" s="305"/>
      <c r="B60" s="310" t="s">
        <v>1537</v>
      </c>
      <c r="C60" s="305"/>
      <c r="D60" s="305"/>
      <c r="E60" s="305"/>
      <c r="F60" s="305"/>
      <c r="G60" s="305"/>
      <c r="I60" s="1702">
        <f>I58-I59</f>
        <v>-0.34999999962747097</v>
      </c>
      <c r="J60" s="1703"/>
      <c r="K60" s="305"/>
      <c r="L60" s="385"/>
      <c r="M60" s="384"/>
      <c r="N60" s="384"/>
      <c r="O60" s="384"/>
      <c r="P60" s="384"/>
      <c r="Q60" s="383"/>
      <c r="S60" s="3439"/>
      <c r="T60" s="3440"/>
    </row>
    <row r="61" spans="1:23" s="278" customFormat="1" ht="13.35" customHeight="1">
      <c r="A61" s="305" t="s">
        <v>3489</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6" t="s">
        <v>4732</v>
      </c>
      <c r="B64" s="3316"/>
      <c r="C64" s="3316"/>
      <c r="D64" s="3316"/>
      <c r="E64" s="3316"/>
      <c r="F64" s="3316"/>
      <c r="G64" s="3316"/>
      <c r="H64" s="3316"/>
      <c r="I64" s="3316"/>
      <c r="J64" s="3316"/>
      <c r="K64" s="3316"/>
      <c r="L64" s="3316"/>
      <c r="M64" s="3317"/>
      <c r="N64" s="3317"/>
      <c r="O64" s="3317"/>
      <c r="P64" s="3317"/>
      <c r="Q64" s="3317"/>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r3bV0JJECKZPfvGFzA0i7dBF3IgPWJh/fvoNS41d5eQyZM3mhYzGtnlHETSfuykTmQoblo2ECeSGHf6q/8la3g==" saltValue="kqlQc/lX5ygRSBsouEj8X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scale="93"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350000000000001"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1.1"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3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1.1"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3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3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350000000000001"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3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4.1"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7" zoomScale="125" zoomScaleNormal="125" zoomScalePageLayoutView="125" workbookViewId="0">
      <selection activeCell="A2"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42578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2018-045 Altoview Terrace, Rome, Floyd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2018-045 Altoview Terrace, Rome, Floyd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2.1"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6">
        <v>7500</v>
      </c>
      <c r="H8" s="3357"/>
      <c r="J8" s="3356">
        <v>7500</v>
      </c>
      <c r="K8" s="3357"/>
      <c r="L8" s="1587"/>
      <c r="M8" s="3356"/>
      <c r="N8" s="3357"/>
      <c r="P8" s="3356"/>
      <c r="Q8" s="3357"/>
      <c r="S8" s="3356"/>
      <c r="T8" s="3357"/>
      <c r="V8" s="3358"/>
      <c r="W8" s="3359"/>
      <c r="X8" s="3360"/>
    </row>
    <row r="9" spans="1:24" s="305" customFormat="1" ht="12.6" customHeight="1">
      <c r="B9" s="305" t="s">
        <v>461</v>
      </c>
      <c r="G9" s="3361">
        <v>9500</v>
      </c>
      <c r="H9" s="3362"/>
      <c r="J9" s="3361">
        <v>9500</v>
      </c>
      <c r="K9" s="3362"/>
      <c r="L9" s="1587"/>
      <c r="M9" s="3361"/>
      <c r="N9" s="3362"/>
      <c r="P9" s="3361"/>
      <c r="Q9" s="3362"/>
      <c r="S9" s="3361"/>
      <c r="T9" s="3362"/>
      <c r="V9" s="3358"/>
      <c r="W9" s="3359"/>
      <c r="X9" s="3360"/>
    </row>
    <row r="10" spans="1:24" s="305" customFormat="1" ht="12.6" customHeight="1">
      <c r="B10" s="305" t="s">
        <v>491</v>
      </c>
      <c r="G10" s="3361">
        <v>25000</v>
      </c>
      <c r="H10" s="3362"/>
      <c r="J10" s="3361">
        <v>25000</v>
      </c>
      <c r="K10" s="3362"/>
      <c r="L10" s="1587"/>
      <c r="M10" s="3361"/>
      <c r="N10" s="3362"/>
      <c r="P10" s="3361"/>
      <c r="Q10" s="3362"/>
      <c r="S10" s="3361"/>
      <c r="T10" s="3362"/>
      <c r="V10" s="3358"/>
      <c r="W10" s="3359"/>
      <c r="X10" s="3360"/>
    </row>
    <row r="11" spans="1:24" s="305" customFormat="1" ht="12.6" customHeight="1">
      <c r="B11" s="305" t="s">
        <v>492</v>
      </c>
      <c r="G11" s="3361">
        <v>16500</v>
      </c>
      <c r="H11" s="3362"/>
      <c r="J11" s="3361">
        <v>16500</v>
      </c>
      <c r="K11" s="3362"/>
      <c r="L11" s="1587"/>
      <c r="M11" s="3361"/>
      <c r="N11" s="3362"/>
      <c r="P11" s="3361"/>
      <c r="Q11" s="3362"/>
      <c r="S11" s="3361"/>
      <c r="T11" s="3362"/>
      <c r="V11" s="3358"/>
      <c r="W11" s="3359"/>
      <c r="X11" s="3360"/>
    </row>
    <row r="12" spans="1:24" s="305" customFormat="1" ht="12.6" customHeight="1">
      <c r="B12" s="305" t="s">
        <v>2516</v>
      </c>
      <c r="G12" s="3361">
        <v>10000</v>
      </c>
      <c r="H12" s="3362"/>
      <c r="J12" s="3361">
        <v>10000</v>
      </c>
      <c r="K12" s="3362"/>
      <c r="L12" s="1587"/>
      <c r="M12" s="3361"/>
      <c r="N12" s="3362"/>
      <c r="P12" s="3361"/>
      <c r="Q12" s="3362"/>
      <c r="S12" s="3361"/>
      <c r="T12" s="3362"/>
      <c r="V12" s="3358"/>
      <c r="W12" s="3359"/>
      <c r="X12" s="3360"/>
    </row>
    <row r="13" spans="1:24" s="305" customFormat="1" ht="12.6" customHeight="1">
      <c r="B13" s="305" t="s">
        <v>192</v>
      </c>
      <c r="G13" s="3361">
        <v>25000</v>
      </c>
      <c r="H13" s="3362"/>
      <c r="J13" s="3361">
        <v>25000</v>
      </c>
      <c r="K13" s="3362"/>
      <c r="L13" s="1587"/>
      <c r="M13" s="3361"/>
      <c r="N13" s="3362"/>
      <c r="P13" s="3361"/>
      <c r="Q13" s="3362"/>
      <c r="S13" s="3361"/>
      <c r="T13" s="3362"/>
      <c r="V13" s="3358"/>
      <c r="W13" s="3359"/>
      <c r="X13" s="3360"/>
    </row>
    <row r="14" spans="1:24" s="305" customFormat="1" ht="12.6" customHeight="1">
      <c r="A14" s="387" t="str">
        <f>IF(AND(G14&gt;0,OR(C14="",C14="&lt;Enter detailed description here; use Comments section if needed&gt;")),"X","")</f>
        <v/>
      </c>
      <c r="B14" s="305" t="s">
        <v>749</v>
      </c>
      <c r="C14" s="3363" t="s">
        <v>3737</v>
      </c>
      <c r="D14" s="3363"/>
      <c r="E14" s="3363"/>
      <c r="F14" s="3364"/>
      <c r="G14" s="3361"/>
      <c r="H14" s="3362"/>
      <c r="J14" s="3361"/>
      <c r="K14" s="3362"/>
      <c r="L14" s="1587"/>
      <c r="M14" s="3361"/>
      <c r="N14" s="3362"/>
      <c r="P14" s="3361"/>
      <c r="Q14" s="3362"/>
      <c r="S14" s="3361"/>
      <c r="T14" s="3362"/>
      <c r="U14" s="386" t="str">
        <f>IF(AND(G14&gt;0,OR(C14="",C14="&lt;Enter detailed description here; use Comments section if needed&gt;")),"NO DESCRIPTION PROVIDED - please enter detailed description in Other box at left; use Comments section below if needed.","")</f>
        <v/>
      </c>
      <c r="V14" s="3365"/>
      <c r="W14" s="3359"/>
      <c r="X14" s="3360"/>
    </row>
    <row r="15" spans="1:24" s="305" customFormat="1" ht="12.6" customHeight="1">
      <c r="A15" s="387" t="str">
        <f>IF(AND(G15&gt;0,OR(C15="",C15="&lt;Enter detailed description here; use Comments section if needed&gt;")),"X","")</f>
        <v/>
      </c>
      <c r="B15" s="305" t="s">
        <v>749</v>
      </c>
      <c r="C15" s="3363" t="s">
        <v>3737</v>
      </c>
      <c r="D15" s="3363"/>
      <c r="E15" s="3363"/>
      <c r="F15" s="3364"/>
      <c r="G15" s="3361"/>
      <c r="H15" s="3362"/>
      <c r="J15" s="3361"/>
      <c r="K15" s="3362"/>
      <c r="L15" s="1587"/>
      <c r="M15" s="3361"/>
      <c r="N15" s="3362"/>
      <c r="P15" s="3361"/>
      <c r="Q15" s="3362"/>
      <c r="S15" s="3361"/>
      <c r="T15" s="3362"/>
      <c r="U15" s="386" t="str">
        <f>IF(AND(G15&gt;0,OR(C15="",C15="&lt;Enter detailed description here; use Comments section if needed&gt;")),"NO DESCRIPTION PROVIDED - please enter detailed description in Other box at left; use Comments section below if needed.","")</f>
        <v/>
      </c>
      <c r="V15" s="3365"/>
      <c r="W15" s="3359"/>
      <c r="X15" s="3360"/>
    </row>
    <row r="16" spans="1:24" s="305" customFormat="1" ht="12.6" customHeight="1" thickBot="1">
      <c r="A16" s="387" t="str">
        <f>IF(AND(G16&gt;0,OR(C16="",C16="&lt;Enter detailed description here; use Comments section if needed&gt;")),"X","")</f>
        <v/>
      </c>
      <c r="B16" s="305" t="s">
        <v>749</v>
      </c>
      <c r="C16" s="3363" t="s">
        <v>3737</v>
      </c>
      <c r="D16" s="3363"/>
      <c r="E16" s="3363"/>
      <c r="F16" s="3364"/>
      <c r="G16" s="3366"/>
      <c r="H16" s="3367"/>
      <c r="J16" s="3366"/>
      <c r="K16" s="3367"/>
      <c r="L16" s="1587"/>
      <c r="M16" s="3366"/>
      <c r="N16" s="3367"/>
      <c r="P16" s="3366"/>
      <c r="Q16" s="3367"/>
      <c r="S16" s="3366"/>
      <c r="T16" s="3367"/>
      <c r="U16" s="386" t="str">
        <f>IF(AND(G16&gt;0,OR(C16="",C16="&lt;Enter detailed description here; use Comments section if needed&gt;")),"NO DESCRIPTION PROVIDED - please enter detailed description in Other box at left; use Comments section below if needed.","")</f>
        <v/>
      </c>
      <c r="V16" s="3365"/>
      <c r="W16" s="3368"/>
      <c r="X16" s="3369"/>
    </row>
    <row r="17" spans="2:24" s="305" customFormat="1" ht="12.6" customHeight="1" thickTop="1">
      <c r="F17" s="361" t="s">
        <v>193</v>
      </c>
      <c r="G17" s="1800">
        <f>SUM(G8:H16)</f>
        <v>93500</v>
      </c>
      <c r="H17" s="1801"/>
      <c r="J17" s="1800">
        <f>SUM(J8:K16)</f>
        <v>93500</v>
      </c>
      <c r="K17" s="1826"/>
      <c r="L17" s="1587"/>
      <c r="M17" s="1800">
        <f>SUM(M8:N16)</f>
        <v>0</v>
      </c>
      <c r="N17" s="1801"/>
      <c r="P17" s="1800">
        <f>SUM(P8:Q16)</f>
        <v>0</v>
      </c>
      <c r="Q17" s="1801"/>
      <c r="S17" s="1800">
        <f>SUM(S8:T16)</f>
        <v>0</v>
      </c>
      <c r="T17" s="1801"/>
      <c r="V17" s="3370">
        <f>SUM(V8:V16)</f>
        <v>0</v>
      </c>
      <c r="W17" s="3371"/>
      <c r="X17" s="3372"/>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6"/>
      <c r="H19" s="3357"/>
      <c r="J19" s="363"/>
      <c r="K19" s="360"/>
      <c r="L19" s="363"/>
      <c r="M19" s="363"/>
      <c r="N19" s="360"/>
      <c r="P19" s="363"/>
      <c r="Q19" s="360"/>
      <c r="S19" s="3356"/>
      <c r="T19" s="3357"/>
      <c r="V19" s="3358"/>
      <c r="W19" s="3359"/>
      <c r="X19" s="3360"/>
    </row>
    <row r="20" spans="2:24" s="305" customFormat="1" ht="12.6" customHeight="1">
      <c r="B20" s="305" t="s">
        <v>1129</v>
      </c>
      <c r="G20" s="3361">
        <v>47000</v>
      </c>
      <c r="H20" s="3362"/>
      <c r="J20" s="363"/>
      <c r="K20" s="360"/>
      <c r="L20" s="363"/>
      <c r="M20" s="363"/>
      <c r="N20" s="360"/>
      <c r="P20" s="363"/>
      <c r="Q20" s="360"/>
      <c r="S20" s="3361">
        <v>47000</v>
      </c>
      <c r="T20" s="3362"/>
      <c r="V20" s="3358"/>
      <c r="W20" s="3359"/>
      <c r="X20" s="3360"/>
    </row>
    <row r="21" spans="2:24" s="305" customFormat="1" ht="12.6" customHeight="1">
      <c r="B21" s="305" t="s">
        <v>462</v>
      </c>
      <c r="G21" s="3361"/>
      <c r="H21" s="3362"/>
      <c r="J21" s="363"/>
      <c r="K21" s="360"/>
      <c r="L21" s="363"/>
      <c r="M21" s="3356"/>
      <c r="N21" s="3357"/>
      <c r="P21" s="363"/>
      <c r="Q21" s="360"/>
      <c r="S21" s="3361"/>
      <c r="T21" s="3362"/>
      <c r="V21" s="3358"/>
      <c r="W21" s="3359"/>
      <c r="X21" s="3360"/>
    </row>
    <row r="22" spans="2:24" s="305" customFormat="1" ht="12.6" customHeight="1" thickBot="1">
      <c r="B22" s="305" t="s">
        <v>432</v>
      </c>
      <c r="G22" s="3366"/>
      <c r="H22" s="3367"/>
      <c r="J22" s="363"/>
      <c r="K22" s="360"/>
      <c r="L22" s="363"/>
      <c r="M22" s="3366"/>
      <c r="N22" s="3367"/>
      <c r="P22" s="363"/>
      <c r="Q22" s="360"/>
      <c r="S22" s="3366"/>
      <c r="T22" s="3367"/>
      <c r="V22" s="3358"/>
      <c r="W22" s="3368"/>
      <c r="X22" s="3369"/>
    </row>
    <row r="23" spans="2:24" s="305" customFormat="1" ht="12.6" customHeight="1" thickTop="1">
      <c r="F23" s="361" t="s">
        <v>193</v>
      </c>
      <c r="G23" s="1800">
        <f>SUM(G19:H22)</f>
        <v>47000</v>
      </c>
      <c r="H23" s="1801"/>
      <c r="J23" s="363"/>
      <c r="K23" s="360"/>
      <c r="L23" s="363"/>
      <c r="M23" s="1800">
        <f>SUM(M21:N22)</f>
        <v>0</v>
      </c>
      <c r="N23" s="1801"/>
      <c r="P23" s="363"/>
      <c r="Q23" s="360"/>
      <c r="S23" s="1800">
        <f>SUM(S19:T22)</f>
        <v>47000</v>
      </c>
      <c r="T23" s="1801"/>
      <c r="V23" s="3370">
        <f>SUM(V19:V22)</f>
        <v>0</v>
      </c>
      <c r="W23" s="3371"/>
      <c r="X23" s="3372"/>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301590.20288795466</v>
      </c>
      <c r="G25" s="3356">
        <v>1650000</v>
      </c>
      <c r="H25" s="3357"/>
      <c r="J25" s="3356">
        <v>1650000</v>
      </c>
      <c r="K25" s="3357"/>
      <c r="L25" s="1587"/>
      <c r="M25" s="3373"/>
      <c r="N25" s="3374"/>
      <c r="P25" s="3373"/>
      <c r="Q25" s="3374"/>
      <c r="S25" s="3356"/>
      <c r="T25" s="3357"/>
      <c r="V25" s="3358"/>
      <c r="W25" s="3359"/>
      <c r="X25" s="3360"/>
    </row>
    <row r="26" spans="2:24" s="305" customFormat="1" ht="12.6" customHeight="1" thickBot="1">
      <c r="B26" s="305" t="s">
        <v>1132</v>
      </c>
      <c r="G26" s="3366"/>
      <c r="H26" s="3367"/>
      <c r="J26" s="3366"/>
      <c r="K26" s="3367"/>
      <c r="L26" s="364"/>
      <c r="M26" s="1825"/>
      <c r="N26" s="1825"/>
      <c r="P26" s="1825"/>
      <c r="Q26" s="1825"/>
      <c r="S26" s="3366"/>
      <c r="T26" s="3367"/>
      <c r="V26" s="3358"/>
      <c r="W26" s="3368"/>
      <c r="X26" s="3369"/>
    </row>
    <row r="27" spans="2:24" s="305" customFormat="1" ht="12.6" customHeight="1" thickTop="1">
      <c r="F27" s="361" t="s">
        <v>193</v>
      </c>
      <c r="G27" s="1800">
        <f>SUM(G25:H26)</f>
        <v>1650000</v>
      </c>
      <c r="H27" s="1801"/>
      <c r="J27" s="1800">
        <f>SUM(J25:K26)</f>
        <v>1650000</v>
      </c>
      <c r="K27" s="1801"/>
      <c r="L27" s="363"/>
      <c r="M27" s="1800">
        <f>M25</f>
        <v>0</v>
      </c>
      <c r="N27" s="1801"/>
      <c r="P27" s="1800">
        <f>P25</f>
        <v>0</v>
      </c>
      <c r="Q27" s="1801"/>
      <c r="S27" s="1800">
        <f>SUM(S25:T26)</f>
        <v>0</v>
      </c>
      <c r="T27" s="1801"/>
      <c r="V27" s="3370">
        <f>SUM(V25:V26)</f>
        <v>0</v>
      </c>
      <c r="W27" s="3371"/>
      <c r="X27" s="3372"/>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6">
        <v>6158464</v>
      </c>
      <c r="H29" s="3357"/>
      <c r="J29" s="3356">
        <v>6158464</v>
      </c>
      <c r="K29" s="3357"/>
      <c r="L29" s="1587"/>
      <c r="M29" s="3356"/>
      <c r="N29" s="3357"/>
      <c r="P29" s="3356"/>
      <c r="Q29" s="3357"/>
      <c r="S29" s="3356"/>
      <c r="T29" s="3357"/>
      <c r="V29" s="3358"/>
      <c r="W29" s="3359"/>
      <c r="X29" s="3360"/>
    </row>
    <row r="30" spans="2:24" s="305" customFormat="1" ht="12.6" customHeight="1">
      <c r="B30" s="305" t="s">
        <v>1135</v>
      </c>
      <c r="G30" s="3361"/>
      <c r="H30" s="3362"/>
      <c r="J30" s="3361"/>
      <c r="K30" s="3362"/>
      <c r="L30" s="1587"/>
      <c r="M30" s="3361"/>
      <c r="N30" s="3362"/>
      <c r="P30" s="3361"/>
      <c r="Q30" s="3362"/>
      <c r="S30" s="3361"/>
      <c r="T30" s="3362"/>
      <c r="V30" s="3358"/>
      <c r="W30" s="3359"/>
      <c r="X30" s="3360"/>
    </row>
    <row r="31" spans="2:24" s="305" customFormat="1" ht="12.6" customHeight="1">
      <c r="B31" s="305" t="s">
        <v>2797</v>
      </c>
      <c r="G31" s="3361">
        <v>375000</v>
      </c>
      <c r="H31" s="3362"/>
      <c r="J31" s="3361">
        <v>375000</v>
      </c>
      <c r="K31" s="3362"/>
      <c r="L31" s="1587"/>
      <c r="M31" s="3361"/>
      <c r="N31" s="3362"/>
      <c r="P31" s="3361"/>
      <c r="Q31" s="3362"/>
      <c r="S31" s="3361"/>
      <c r="T31" s="3362"/>
      <c r="V31" s="3358"/>
      <c r="W31" s="3359"/>
      <c r="X31" s="3360"/>
    </row>
    <row r="32" spans="2:24" ht="12.6" customHeight="1" thickBot="1">
      <c r="B32" s="305" t="s">
        <v>2796</v>
      </c>
      <c r="G32" s="3366"/>
      <c r="H32" s="3367"/>
      <c r="I32" s="305"/>
      <c r="J32" s="3366"/>
      <c r="K32" s="3367"/>
      <c r="L32" s="1587"/>
      <c r="M32" s="3366"/>
      <c r="N32" s="3367"/>
      <c r="O32" s="305"/>
      <c r="P32" s="3366"/>
      <c r="Q32" s="3367"/>
      <c r="R32" s="305"/>
      <c r="S32" s="3366"/>
      <c r="T32" s="3367"/>
      <c r="V32" s="3358"/>
      <c r="W32" s="3368"/>
      <c r="X32" s="3369"/>
    </row>
    <row r="33" spans="1:24" s="305" customFormat="1" ht="12.6" customHeight="1" thickTop="1">
      <c r="C33" s="1824"/>
      <c r="D33" s="1824"/>
      <c r="E33" s="1583"/>
      <c r="F33" s="361" t="s">
        <v>193</v>
      </c>
      <c r="G33" s="1800">
        <f>SUM(G29:H32)</f>
        <v>6533464</v>
      </c>
      <c r="H33" s="1801"/>
      <c r="J33" s="1800">
        <f>SUM(J29:K32)</f>
        <v>6533464</v>
      </c>
      <c r="K33" s="1801"/>
      <c r="L33" s="1587"/>
      <c r="M33" s="1800">
        <f>SUM(M29:N32)</f>
        <v>0</v>
      </c>
      <c r="N33" s="1801"/>
      <c r="P33" s="1800">
        <f>SUM(P29:Q32)</f>
        <v>0</v>
      </c>
      <c r="Q33" s="1801"/>
      <c r="S33" s="1800">
        <f>SUM(S29:T32)</f>
        <v>0</v>
      </c>
      <c r="T33" s="1801"/>
      <c r="V33" s="3370">
        <f>SUM(V29:V32)</f>
        <v>0</v>
      </c>
      <c r="W33" s="3371"/>
      <c r="X33" s="3372"/>
    </row>
    <row r="34" spans="1:24" s="305" customFormat="1" ht="12" customHeight="1">
      <c r="B34" s="307" t="s">
        <v>2359</v>
      </c>
      <c r="D34" s="1823" t="s">
        <v>3757</v>
      </c>
      <c r="E34" s="1823"/>
      <c r="F34" s="1044">
        <f>SUM(F35:F37)</f>
        <v>0.13999976049262269</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491007.83999999997</v>
      </c>
      <c r="F35" s="1045">
        <f>IF(($G$27+$G$33)=0,0,G35/($G$27+$G$33))</f>
        <v>5.9999897353981153E-2</v>
      </c>
      <c r="G35" s="3356">
        <v>491007</v>
      </c>
      <c r="H35" s="3357"/>
      <c r="I35" s="324"/>
      <c r="J35" s="3356">
        <v>491007</v>
      </c>
      <c r="K35" s="3357"/>
      <c r="L35" s="1587"/>
      <c r="M35" s="3356"/>
      <c r="N35" s="3357"/>
      <c r="P35" s="3356"/>
      <c r="Q35" s="3357"/>
      <c r="S35" s="3356"/>
      <c r="T35" s="3357"/>
      <c r="V35" s="3358"/>
      <c r="W35" s="3359"/>
      <c r="X35" s="3360"/>
    </row>
    <row r="36" spans="1:24" s="305" customFormat="1" ht="12.6" customHeight="1">
      <c r="B36" s="305" t="s">
        <v>2753</v>
      </c>
      <c r="D36" s="1047">
        <f>'DCA Underwriting Assumptions'!$R$75</f>
        <v>0.02</v>
      </c>
      <c r="E36" s="1048">
        <f>D36*(G27+G33)</f>
        <v>163669.28</v>
      </c>
      <c r="F36" s="1045">
        <f>IF(($G$27+$G$33)=0,0,G36/($G$27+$G$33))</f>
        <v>1.9999965784660383E-2</v>
      </c>
      <c r="G36" s="3361">
        <v>163669</v>
      </c>
      <c r="H36" s="3362"/>
      <c r="I36" s="324"/>
      <c r="J36" s="3361">
        <v>163669</v>
      </c>
      <c r="K36" s="3362"/>
      <c r="L36" s="1587"/>
      <c r="M36" s="3361"/>
      <c r="N36" s="3362"/>
      <c r="P36" s="3361"/>
      <c r="Q36" s="3362"/>
      <c r="S36" s="3361"/>
      <c r="T36" s="3362"/>
      <c r="V36" s="3358"/>
      <c r="W36" s="3359"/>
      <c r="X36" s="3360"/>
    </row>
    <row r="37" spans="1:24" s="305" customFormat="1" ht="12.6" customHeight="1" thickBot="1">
      <c r="B37" s="305" t="s">
        <v>2754</v>
      </c>
      <c r="D37" s="1051">
        <f>'DCA Underwriting Assumptions'!$R$76</f>
        <v>0.06</v>
      </c>
      <c r="E37" s="1052">
        <f>D37*(G27+G33)</f>
        <v>491007.83999999997</v>
      </c>
      <c r="F37" s="1367">
        <f>IF(($G$27+$G$33)=0,0,G37/($G$27+$G$33))</f>
        <v>5.9999897353981153E-2</v>
      </c>
      <c r="G37" s="3366">
        <v>491007</v>
      </c>
      <c r="H37" s="3367"/>
      <c r="I37" s="324"/>
      <c r="J37" s="3366">
        <v>491007</v>
      </c>
      <c r="K37" s="3367"/>
      <c r="L37" s="1587"/>
      <c r="M37" s="3366"/>
      <c r="N37" s="3367"/>
      <c r="P37" s="3366"/>
      <c r="Q37" s="3367"/>
      <c r="S37" s="3366"/>
      <c r="T37" s="3367"/>
      <c r="V37" s="3358"/>
      <c r="W37" s="3368"/>
      <c r="X37" s="3369"/>
    </row>
    <row r="38" spans="1:24" s="305" customFormat="1" ht="12.6" customHeight="1" thickTop="1">
      <c r="B38" s="179" t="s">
        <v>3758</v>
      </c>
      <c r="D38" s="1049">
        <f>SUM(D35:D37)</f>
        <v>0.14000000000000001</v>
      </c>
      <c r="E38" s="1050">
        <f>SUM(E35:E37)</f>
        <v>1145684.96</v>
      </c>
      <c r="F38" s="1031" t="s">
        <v>193</v>
      </c>
      <c r="G38" s="1800">
        <f>SUM(G35:H37)</f>
        <v>1145683</v>
      </c>
      <c r="H38" s="1801"/>
      <c r="J38" s="1800">
        <f>SUM(J35:K37)</f>
        <v>1145683</v>
      </c>
      <c r="K38" s="1801"/>
      <c r="L38" s="363"/>
      <c r="M38" s="1800">
        <f>SUM(M35:N37)</f>
        <v>0</v>
      </c>
      <c r="N38" s="1801"/>
      <c r="P38" s="1800">
        <f>SUM(P35:Q37)</f>
        <v>0</v>
      </c>
      <c r="Q38" s="1801"/>
      <c r="S38" s="1800">
        <f>SUM(S35:T37)</f>
        <v>0</v>
      </c>
      <c r="T38" s="1801"/>
      <c r="V38" s="3370">
        <f>SUM(V35:V37)</f>
        <v>0</v>
      </c>
      <c r="W38" s="3371"/>
      <c r="X38" s="3372"/>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3" t="s">
        <v>3737</v>
      </c>
      <c r="D41" s="3375"/>
      <c r="E41" s="3375"/>
      <c r="F41" s="3376"/>
      <c r="G41" s="3377"/>
      <c r="H41" s="3378"/>
      <c r="I41" s="305"/>
      <c r="J41" s="3377"/>
      <c r="K41" s="3378"/>
      <c r="L41" s="1587"/>
      <c r="M41" s="3377"/>
      <c r="N41" s="3378"/>
      <c r="O41" s="305"/>
      <c r="P41" s="3377"/>
      <c r="Q41" s="3378"/>
      <c r="R41" s="305"/>
      <c r="S41" s="3377"/>
      <c r="T41" s="3378"/>
      <c r="V41" s="3358"/>
      <c r="W41" s="3379"/>
      <c r="X41" s="3380"/>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81"/>
      <c r="X42" s="3382"/>
    </row>
    <row r="43" spans="1:24" s="305" customFormat="1" ht="12.6" customHeight="1">
      <c r="B43" s="529" t="s">
        <v>2762</v>
      </c>
      <c r="C43" s="530"/>
      <c r="E43" s="1817" t="s">
        <v>2761</v>
      </c>
      <c r="F43" s="1585">
        <f>B44/'Part VI-Revenues &amp; Expenses'!$O$60</f>
        <v>141350.71212121213</v>
      </c>
      <c r="G43" s="1586" t="s">
        <v>2788</v>
      </c>
      <c r="H43" s="1581"/>
      <c r="I43" s="1581"/>
      <c r="J43" s="1819">
        <f>B44/'Part VI-Revenues &amp; Expenses'!$O$62</f>
        <v>141350.71212121213</v>
      </c>
      <c r="K43" s="1819"/>
      <c r="L43" s="1581"/>
      <c r="M43" s="1820" t="s">
        <v>1414</v>
      </c>
      <c r="N43" s="1820"/>
      <c r="O43" s="1581"/>
      <c r="P43" s="1819">
        <f>B44/'Part I-Project Information'!$P$71</f>
        <v>107.30804711403529</v>
      </c>
      <c r="Q43" s="1819"/>
      <c r="R43" s="1581"/>
      <c r="S43" s="1821" t="s">
        <v>2795</v>
      </c>
      <c r="T43" s="1822"/>
      <c r="V43" s="1176"/>
      <c r="W43" s="3381"/>
      <c r="X43" s="3382"/>
    </row>
    <row r="44" spans="1:24" s="305" customFormat="1" ht="12.6" customHeight="1">
      <c r="B44" s="1813">
        <f>G27+G33+G38+G41</f>
        <v>9329147</v>
      </c>
      <c r="C44" s="1814"/>
      <c r="E44" s="1818"/>
      <c r="F44" s="1584">
        <f>B44/'Part VI-Revenues &amp; Expenses'!$O$117</f>
        <v>118.95173917478452</v>
      </c>
      <c r="G44" s="528" t="s">
        <v>2789</v>
      </c>
      <c r="H44" s="1574"/>
      <c r="I44" s="1574"/>
      <c r="J44" s="1815">
        <f>B44/'Part VI-Revenues &amp; Expenses'!$O$119</f>
        <v>118.95173917478452</v>
      </c>
      <c r="K44" s="1815"/>
      <c r="L44" s="1574"/>
      <c r="M44" s="1816" t="s">
        <v>2794</v>
      </c>
      <c r="N44" s="1816"/>
      <c r="O44" s="1574"/>
      <c r="P44" s="1574"/>
      <c r="Q44" s="1574"/>
      <c r="R44" s="1574"/>
      <c r="S44" s="1574"/>
      <c r="T44" s="353"/>
      <c r="V44" s="1176"/>
      <c r="W44" s="3383"/>
      <c r="X44" s="3384"/>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4241</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4240</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466457.35000000003</v>
      </c>
      <c r="F47" s="365">
        <f>G47/B44</f>
        <v>0.05</v>
      </c>
      <c r="G47" s="3377">
        <f>(G27+G33+G38)*0.05</f>
        <v>466457.35000000003</v>
      </c>
      <c r="H47" s="3378"/>
      <c r="I47" s="305"/>
      <c r="J47" s="3377">
        <f>(J27+J33+J38)*0.05</f>
        <v>466457.35000000003</v>
      </c>
      <c r="K47" s="3378"/>
      <c r="L47" s="1587"/>
      <c r="M47" s="3377"/>
      <c r="N47" s="3378"/>
      <c r="O47" s="305"/>
      <c r="P47" s="3377"/>
      <c r="Q47" s="3378"/>
      <c r="R47" s="305"/>
      <c r="S47" s="3377"/>
      <c r="T47" s="3378"/>
      <c r="V47" s="3358"/>
      <c r="W47" s="3359"/>
      <c r="X47" s="3360"/>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2861</v>
      </c>
      <c r="H49" s="1577"/>
      <c r="I49" s="1577"/>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3356">
        <v>0</v>
      </c>
      <c r="H52" s="3357"/>
      <c r="J52" s="3356">
        <v>0</v>
      </c>
      <c r="K52" s="3357"/>
      <c r="L52" s="1587"/>
      <c r="M52" s="3356"/>
      <c r="N52" s="3357"/>
      <c r="P52" s="3356"/>
      <c r="Q52" s="3357"/>
      <c r="S52" s="3356"/>
      <c r="T52" s="3357"/>
      <c r="V52" s="3385"/>
      <c r="W52" s="3359"/>
      <c r="X52" s="3360"/>
    </row>
    <row r="53" spans="1:24" s="305" customFormat="1" ht="12" customHeight="1">
      <c r="B53" s="305" t="s">
        <v>3760</v>
      </c>
      <c r="G53" s="3361"/>
      <c r="H53" s="3362"/>
      <c r="J53" s="3361"/>
      <c r="K53" s="3362"/>
      <c r="L53" s="1587"/>
      <c r="M53" s="3361"/>
      <c r="N53" s="3362"/>
      <c r="P53" s="3361"/>
      <c r="Q53" s="3362"/>
      <c r="S53" s="3361"/>
      <c r="T53" s="3362"/>
      <c r="V53" s="3385"/>
      <c r="W53" s="3359"/>
      <c r="X53" s="3360"/>
    </row>
    <row r="54" spans="1:24" s="305" customFormat="1" ht="12" customHeight="1">
      <c r="B54" s="305" t="s">
        <v>2362</v>
      </c>
      <c r="G54" s="3361">
        <v>91300</v>
      </c>
      <c r="H54" s="3362"/>
      <c r="J54" s="3361">
        <v>91300</v>
      </c>
      <c r="K54" s="3362"/>
      <c r="L54" s="1587"/>
      <c r="M54" s="3361"/>
      <c r="N54" s="3362"/>
      <c r="P54" s="3361"/>
      <c r="Q54" s="3362"/>
      <c r="S54" s="3361"/>
      <c r="T54" s="3362"/>
      <c r="V54" s="3385"/>
      <c r="W54" s="3359"/>
      <c r="X54" s="3360"/>
    </row>
    <row r="55" spans="1:24" s="305" customFormat="1" ht="12" customHeight="1">
      <c r="B55" s="305" t="s">
        <v>2363</v>
      </c>
      <c r="G55" s="3386">
        <v>447991</v>
      </c>
      <c r="H55" s="3362"/>
      <c r="J55" s="3361">
        <v>335993</v>
      </c>
      <c r="K55" s="3362"/>
      <c r="L55" s="1587"/>
      <c r="M55" s="3361"/>
      <c r="N55" s="3362"/>
      <c r="P55" s="3361"/>
      <c r="Q55" s="3362"/>
      <c r="S55" s="3361">
        <v>111998</v>
      </c>
      <c r="T55" s="3362"/>
      <c r="V55" s="3385"/>
      <c r="W55" s="3359"/>
      <c r="X55" s="3360"/>
    </row>
    <row r="56" spans="1:24" s="305" customFormat="1" ht="12" customHeight="1">
      <c r="B56" s="305" t="s">
        <v>2364</v>
      </c>
      <c r="G56" s="3361">
        <v>25000</v>
      </c>
      <c r="H56" s="3362"/>
      <c r="J56" s="3361">
        <v>25000</v>
      </c>
      <c r="K56" s="3362"/>
      <c r="L56" s="1587"/>
      <c r="M56" s="3361"/>
      <c r="N56" s="3362"/>
      <c r="P56" s="3361"/>
      <c r="Q56" s="3362"/>
      <c r="S56" s="3361"/>
      <c r="T56" s="3362"/>
      <c r="V56" s="3385"/>
      <c r="W56" s="3359"/>
      <c r="X56" s="3360"/>
    </row>
    <row r="57" spans="1:24" s="305" customFormat="1" ht="12" customHeight="1">
      <c r="B57" s="305" t="s">
        <v>2704</v>
      </c>
      <c r="G57" s="3361">
        <v>18000</v>
      </c>
      <c r="H57" s="3362"/>
      <c r="J57" s="3361">
        <v>18000</v>
      </c>
      <c r="K57" s="3362"/>
      <c r="L57" s="1587"/>
      <c r="M57" s="3361"/>
      <c r="N57" s="3362"/>
      <c r="P57" s="3361"/>
      <c r="Q57" s="3362"/>
      <c r="S57" s="3361"/>
      <c r="T57" s="3362"/>
      <c r="V57" s="3385"/>
      <c r="W57" s="3359"/>
      <c r="X57" s="3360"/>
    </row>
    <row r="58" spans="1:24" s="305" customFormat="1" ht="12" customHeight="1">
      <c r="B58" s="305" t="s">
        <v>731</v>
      </c>
      <c r="G58" s="3361">
        <v>20000</v>
      </c>
      <c r="H58" s="3362"/>
      <c r="J58" s="3361">
        <v>20000</v>
      </c>
      <c r="K58" s="3362"/>
      <c r="L58" s="1587"/>
      <c r="M58" s="3361"/>
      <c r="N58" s="3362"/>
      <c r="P58" s="3361"/>
      <c r="Q58" s="3362"/>
      <c r="S58" s="3361"/>
      <c r="T58" s="3362"/>
      <c r="V58" s="3385"/>
      <c r="W58" s="3359"/>
      <c r="X58" s="3360"/>
    </row>
    <row r="59" spans="1:24" s="305" customFormat="1" ht="12" customHeight="1">
      <c r="B59" s="305" t="s">
        <v>2365</v>
      </c>
      <c r="G59" s="3361">
        <v>48000</v>
      </c>
      <c r="H59" s="3362"/>
      <c r="J59" s="3361">
        <v>48000</v>
      </c>
      <c r="K59" s="3362"/>
      <c r="L59" s="1587"/>
      <c r="M59" s="3361"/>
      <c r="N59" s="3362"/>
      <c r="P59" s="3361"/>
      <c r="Q59" s="3362"/>
      <c r="S59" s="3361"/>
      <c r="T59" s="3362"/>
      <c r="V59" s="3385"/>
      <c r="W59" s="3359"/>
      <c r="X59" s="3360"/>
    </row>
    <row r="60" spans="1:24" s="305" customFormat="1" ht="12" customHeight="1">
      <c r="B60" s="305" t="s">
        <v>1288</v>
      </c>
      <c r="G60" s="3361">
        <v>65000</v>
      </c>
      <c r="H60" s="3362"/>
      <c r="J60" s="3361">
        <v>20000</v>
      </c>
      <c r="K60" s="3362"/>
      <c r="L60" s="1587"/>
      <c r="M60" s="3361"/>
      <c r="N60" s="3362"/>
      <c r="P60" s="3361"/>
      <c r="Q60" s="3362"/>
      <c r="S60" s="3361">
        <v>45000</v>
      </c>
      <c r="T60" s="3362"/>
      <c r="V60" s="3385"/>
      <c r="W60" s="3359"/>
      <c r="X60" s="3360"/>
    </row>
    <row r="61" spans="1:24" s="305" customFormat="1" ht="12" customHeight="1">
      <c r="B61" s="367" t="s">
        <v>1163</v>
      </c>
      <c r="D61" s="365"/>
      <c r="E61" s="365"/>
      <c r="F61" s="366"/>
      <c r="G61" s="3361">
        <v>80682</v>
      </c>
      <c r="H61" s="3362"/>
      <c r="I61" s="324"/>
      <c r="J61" s="3361">
        <v>80682</v>
      </c>
      <c r="K61" s="3362"/>
      <c r="L61" s="1587"/>
      <c r="M61" s="3361"/>
      <c r="N61" s="3362"/>
      <c r="P61" s="3361"/>
      <c r="Q61" s="3362"/>
      <c r="S61" s="3361"/>
      <c r="T61" s="3362"/>
      <c r="V61" s="3385"/>
      <c r="W61" s="3359"/>
      <c r="X61" s="3360"/>
    </row>
    <row r="62" spans="1:24" s="305" customFormat="1" ht="12" customHeight="1">
      <c r="A62" s="387" t="str">
        <f>IF(AND(G62&gt;0,OR(C62="",C62="&lt;Enter detailed description here; use Comments section if needed&gt;")),"X","")</f>
        <v/>
      </c>
      <c r="B62" s="305" t="s">
        <v>749</v>
      </c>
      <c r="C62" s="3387"/>
      <c r="D62" s="3387"/>
      <c r="E62" s="3387"/>
      <c r="F62" s="3388"/>
      <c r="G62" s="3361"/>
      <c r="H62" s="3362"/>
      <c r="J62" s="3361"/>
      <c r="K62" s="3362"/>
      <c r="L62" s="1587"/>
      <c r="M62" s="3361"/>
      <c r="N62" s="3362"/>
      <c r="P62" s="3361"/>
      <c r="Q62" s="3362"/>
      <c r="S62" s="3361"/>
      <c r="T62" s="3362"/>
      <c r="U62" s="386" t="str">
        <f>IF(AND(G62&gt;0,OR(C62="",C62="&lt;Enter detailed description here; use Comments section if needed&gt;")),"NO DESCRIPTION PROVIDED - please enter detailed description in Other box at left; use Comments section below if needed.","")</f>
        <v/>
      </c>
      <c r="V62" s="3385"/>
      <c r="W62" s="3359"/>
      <c r="X62" s="3360"/>
    </row>
    <row r="63" spans="1:24" s="305" customFormat="1" ht="12" customHeight="1" thickBot="1">
      <c r="A63" s="387" t="str">
        <f>IF(AND(G63&gt;0,OR(C63="",C63="&lt;Enter detailed description here; use Comments section if needed&gt;")),"X","")</f>
        <v/>
      </c>
      <c r="B63" s="305" t="s">
        <v>749</v>
      </c>
      <c r="C63" s="3389" t="s">
        <v>3737</v>
      </c>
      <c r="D63" s="3389"/>
      <c r="E63" s="3389"/>
      <c r="F63" s="3390"/>
      <c r="G63" s="3391"/>
      <c r="H63" s="3392"/>
      <c r="J63" s="3391"/>
      <c r="K63" s="3392"/>
      <c r="L63" s="1587"/>
      <c r="M63" s="3391"/>
      <c r="N63" s="3392"/>
      <c r="P63" s="3391"/>
      <c r="Q63" s="3392"/>
      <c r="S63" s="3391"/>
      <c r="T63" s="3392"/>
      <c r="U63" s="386" t="str">
        <f>IF(AND(G63&gt;0,OR(C63="",C63="&lt;Enter detailed description here; use Comments section if needed&gt;")),"NO DESCRIPTION PROVIDED - please enter detailed description in Other box at left; use Comments section below if needed.","")</f>
        <v/>
      </c>
      <c r="V63" s="3385"/>
      <c r="W63" s="3368"/>
      <c r="X63" s="3369"/>
    </row>
    <row r="64" spans="1:24" s="305" customFormat="1" ht="12" customHeight="1" thickTop="1">
      <c r="F64" s="361" t="s">
        <v>193</v>
      </c>
      <c r="G64" s="1800">
        <f>SUM(G52:H63)</f>
        <v>795973</v>
      </c>
      <c r="H64" s="1801"/>
      <c r="J64" s="1800">
        <f>SUM(J52:K63)</f>
        <v>638975</v>
      </c>
      <c r="K64" s="1801"/>
      <c r="L64" s="363"/>
      <c r="M64" s="1800">
        <f>SUM(M52:N63)</f>
        <v>0</v>
      </c>
      <c r="N64" s="1801"/>
      <c r="P64" s="1800">
        <f>SUM(P52:Q63)</f>
        <v>0</v>
      </c>
      <c r="Q64" s="1801"/>
      <c r="S64" s="1800">
        <f>SUM(S52:T63)</f>
        <v>156998</v>
      </c>
      <c r="T64" s="1801"/>
      <c r="V64" s="3393">
        <f>SUM(V52:V63)</f>
        <v>0</v>
      </c>
      <c r="W64" s="3371"/>
      <c r="X64" s="3372"/>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6">
        <v>140000</v>
      </c>
      <c r="H66" s="3357"/>
      <c r="J66" s="3356">
        <v>140000</v>
      </c>
      <c r="K66" s="3357"/>
      <c r="L66" s="1587"/>
      <c r="M66" s="3356"/>
      <c r="N66" s="3357"/>
      <c r="P66" s="3356"/>
      <c r="Q66" s="3357"/>
      <c r="S66" s="3356"/>
      <c r="T66" s="3357"/>
      <c r="V66" s="3358"/>
      <c r="W66" s="3359"/>
      <c r="X66" s="3360"/>
    </row>
    <row r="67" spans="1:24" s="305" customFormat="1" ht="12" customHeight="1">
      <c r="B67" s="305" t="s">
        <v>482</v>
      </c>
      <c r="G67" s="3361">
        <v>25000</v>
      </c>
      <c r="H67" s="3362"/>
      <c r="J67" s="3361">
        <v>25000</v>
      </c>
      <c r="K67" s="3362"/>
      <c r="L67" s="1587"/>
      <c r="M67" s="3361"/>
      <c r="N67" s="3362"/>
      <c r="P67" s="3361"/>
      <c r="Q67" s="3362"/>
      <c r="S67" s="3361"/>
      <c r="T67" s="3362"/>
      <c r="V67" s="3358"/>
      <c r="W67" s="3359"/>
      <c r="X67" s="3360"/>
    </row>
    <row r="68" spans="1:24" s="305" customFormat="1" ht="12" customHeight="1">
      <c r="B68" s="305" t="s">
        <v>1137</v>
      </c>
      <c r="D68" s="318" t="s">
        <v>3876</v>
      </c>
      <c r="E68" s="1167">
        <f>'DCA Underwriting Assumptions'!R77</f>
        <v>20000</v>
      </c>
      <c r="F68" s="1168" t="str">
        <f>IF(G68&gt;E68,"CHECK!!!","")</f>
        <v/>
      </c>
      <c r="G68" s="3361">
        <v>20000</v>
      </c>
      <c r="H68" s="3362"/>
      <c r="J68" s="3361">
        <v>20000</v>
      </c>
      <c r="K68" s="3362"/>
      <c r="L68" s="1587"/>
      <c r="M68" s="3361"/>
      <c r="N68" s="3362"/>
      <c r="P68" s="3361"/>
      <c r="Q68" s="3362"/>
      <c r="S68" s="3361"/>
      <c r="T68" s="3362"/>
      <c r="V68" s="3358"/>
      <c r="W68" s="3359"/>
      <c r="X68" s="3360"/>
    </row>
    <row r="69" spans="1:24" s="305" customFormat="1" ht="12" customHeight="1">
      <c r="B69" s="305" t="s">
        <v>1138</v>
      </c>
      <c r="G69" s="3361">
        <v>10000</v>
      </c>
      <c r="H69" s="3362"/>
      <c r="J69" s="3361">
        <v>10000</v>
      </c>
      <c r="K69" s="3362"/>
      <c r="L69" s="1587"/>
      <c r="M69" s="3361"/>
      <c r="N69" s="3362"/>
      <c r="P69" s="3361"/>
      <c r="Q69" s="3362"/>
      <c r="S69" s="3361"/>
      <c r="T69" s="3362"/>
      <c r="V69" s="3358"/>
      <c r="W69" s="3359"/>
      <c r="X69" s="3360"/>
    </row>
    <row r="70" spans="1:24" s="305" customFormat="1" ht="12" customHeight="1">
      <c r="B70" s="305" t="s">
        <v>1139</v>
      </c>
      <c r="G70" s="3361">
        <v>6000</v>
      </c>
      <c r="H70" s="3362"/>
      <c r="J70" s="3361">
        <v>6000</v>
      </c>
      <c r="K70" s="3362"/>
      <c r="L70" s="1587"/>
      <c r="M70" s="3361"/>
      <c r="N70" s="3362"/>
      <c r="P70" s="3361"/>
      <c r="Q70" s="3362"/>
      <c r="S70" s="3361"/>
      <c r="T70" s="3362"/>
      <c r="V70" s="3358"/>
      <c r="W70" s="3359"/>
      <c r="X70" s="3360"/>
    </row>
    <row r="71" spans="1:24" s="305" customFormat="1" ht="12" customHeight="1">
      <c r="B71" s="305" t="s">
        <v>1140</v>
      </c>
      <c r="G71" s="3361">
        <v>12500</v>
      </c>
      <c r="H71" s="3362"/>
      <c r="J71" s="3361">
        <v>12500</v>
      </c>
      <c r="K71" s="3362"/>
      <c r="L71" s="1587"/>
      <c r="M71" s="3361"/>
      <c r="N71" s="3362"/>
      <c r="P71" s="3361"/>
      <c r="Q71" s="3362"/>
      <c r="S71" s="3361"/>
      <c r="T71" s="3362"/>
      <c r="V71" s="3358"/>
      <c r="W71" s="3359"/>
      <c r="X71" s="3360"/>
    </row>
    <row r="72" spans="1:24" s="305" customFormat="1" ht="12" customHeight="1">
      <c r="B72" s="305" t="s">
        <v>483</v>
      </c>
      <c r="G72" s="3361">
        <v>72600</v>
      </c>
      <c r="H72" s="3362"/>
      <c r="J72" s="3361">
        <v>72600</v>
      </c>
      <c r="K72" s="3362"/>
      <c r="L72" s="1587"/>
      <c r="M72" s="3361"/>
      <c r="N72" s="3362"/>
      <c r="P72" s="3361"/>
      <c r="Q72" s="3362"/>
      <c r="S72" s="3361"/>
      <c r="T72" s="3362"/>
      <c r="V72" s="3358"/>
      <c r="W72" s="3359"/>
      <c r="X72" s="3360"/>
    </row>
    <row r="73" spans="1:24" s="305" customFormat="1" ht="12" customHeight="1">
      <c r="B73" s="305" t="s">
        <v>484</v>
      </c>
      <c r="G73" s="3361">
        <v>135000</v>
      </c>
      <c r="H73" s="3362"/>
      <c r="J73" s="3361">
        <v>120000</v>
      </c>
      <c r="K73" s="3362"/>
      <c r="L73" s="1587"/>
      <c r="M73" s="3361"/>
      <c r="N73" s="3362"/>
      <c r="P73" s="3361"/>
      <c r="Q73" s="3362"/>
      <c r="S73" s="3361">
        <v>15000</v>
      </c>
      <c r="T73" s="3362"/>
      <c r="V73" s="3358"/>
      <c r="W73" s="3359"/>
      <c r="X73" s="3360"/>
    </row>
    <row r="74" spans="1:24" s="305" customFormat="1" ht="12" customHeight="1">
      <c r="B74" s="305" t="s">
        <v>2065</v>
      </c>
      <c r="G74" s="3361">
        <v>30000</v>
      </c>
      <c r="H74" s="3362"/>
      <c r="J74" s="3361">
        <v>25000</v>
      </c>
      <c r="K74" s="3362"/>
      <c r="L74" s="1587"/>
      <c r="M74" s="3361"/>
      <c r="N74" s="3362"/>
      <c r="P74" s="3361"/>
      <c r="Q74" s="3362"/>
      <c r="S74" s="3361">
        <v>5000</v>
      </c>
      <c r="T74" s="3362"/>
      <c r="V74" s="3358"/>
      <c r="W74" s="3359"/>
      <c r="X74" s="3360"/>
    </row>
    <row r="75" spans="1:24" s="305" customFormat="1" ht="12" customHeight="1">
      <c r="B75" s="305" t="s">
        <v>1289</v>
      </c>
      <c r="G75" s="3361">
        <v>7500</v>
      </c>
      <c r="H75" s="3362"/>
      <c r="J75" s="3361"/>
      <c r="K75" s="3362"/>
      <c r="L75" s="1587"/>
      <c r="M75" s="3361"/>
      <c r="N75" s="3362"/>
      <c r="P75" s="3361"/>
      <c r="Q75" s="3362"/>
      <c r="S75" s="3361">
        <v>7500</v>
      </c>
      <c r="T75" s="3362"/>
      <c r="V75" s="3358"/>
      <c r="W75" s="3359"/>
      <c r="X75" s="3360"/>
    </row>
    <row r="76" spans="1:24" s="305" customFormat="1" ht="12" customHeight="1" thickBot="1">
      <c r="A76" s="387" t="str">
        <f>IF(AND(G76&gt;0,OR(C76="",C76="&lt;Enter detailed description here; use Comments section if needed&gt;")),"X","")</f>
        <v/>
      </c>
      <c r="B76" s="305" t="s">
        <v>749</v>
      </c>
      <c r="C76" s="3363" t="s">
        <v>4656</v>
      </c>
      <c r="D76" s="3363"/>
      <c r="E76" s="3363"/>
      <c r="F76" s="3364"/>
      <c r="G76" s="3391">
        <v>30000</v>
      </c>
      <c r="H76" s="3392"/>
      <c r="J76" s="3391">
        <v>30000</v>
      </c>
      <c r="K76" s="3392"/>
      <c r="L76" s="1587"/>
      <c r="M76" s="3391"/>
      <c r="N76" s="3392"/>
      <c r="P76" s="3391"/>
      <c r="Q76" s="3392"/>
      <c r="S76" s="3391"/>
      <c r="T76" s="3392"/>
      <c r="U76" s="386" t="str">
        <f>IF(AND(G76&gt;0,OR(C76="",C76="&lt;Enter detailed description here; use Comments section if needed&gt;")),"NO DESCRIPTION PROVIDED - please enter detailed description in Other box at left; use Comments section below if needed.","")</f>
        <v/>
      </c>
      <c r="V76" s="3358"/>
      <c r="W76" s="3368"/>
      <c r="X76" s="3369"/>
    </row>
    <row r="77" spans="1:24" s="305" customFormat="1" ht="12" customHeight="1" thickTop="1">
      <c r="F77" s="361" t="s">
        <v>193</v>
      </c>
      <c r="G77" s="1800">
        <f>SUM(G66:H76)</f>
        <v>488600</v>
      </c>
      <c r="H77" s="1801"/>
      <c r="J77" s="1800">
        <f>SUM(J66:K76)</f>
        <v>461100</v>
      </c>
      <c r="K77" s="1801"/>
      <c r="L77" s="363"/>
      <c r="M77" s="1800">
        <f>SUM(M66:N76)</f>
        <v>0</v>
      </c>
      <c r="N77" s="1801"/>
      <c r="P77" s="1800">
        <f>SUM(P66:Q76)</f>
        <v>0</v>
      </c>
      <c r="Q77" s="1801"/>
      <c r="S77" s="1800">
        <f>SUM(S66:T76)</f>
        <v>27500</v>
      </c>
      <c r="T77" s="1801"/>
      <c r="V77" s="3370">
        <f>SUM(V66:V76)</f>
        <v>0</v>
      </c>
      <c r="W77" s="3371"/>
      <c r="X77" s="3372"/>
    </row>
    <row r="78" spans="1:24" ht="12" customHeight="1">
      <c r="A78" s="305"/>
      <c r="B78" s="307" t="s">
        <v>1281</v>
      </c>
      <c r="C78" s="305"/>
      <c r="D78" s="969" t="s">
        <v>3761</v>
      </c>
      <c r="E78" s="1054">
        <f>G83/'Part VI-Revenues &amp; Expenses'!$O$62</f>
        <v>1639.7575757575758</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6">
        <v>55624</v>
      </c>
      <c r="H79" s="3357"/>
      <c r="J79" s="3356">
        <v>55624</v>
      </c>
      <c r="K79" s="3357"/>
      <c r="L79" s="1587"/>
      <c r="M79" s="3356"/>
      <c r="N79" s="3357"/>
      <c r="P79" s="3356"/>
      <c r="Q79" s="3357"/>
      <c r="S79" s="3356"/>
      <c r="T79" s="3357"/>
      <c r="V79" s="3358"/>
      <c r="W79" s="3359"/>
      <c r="X79" s="3360"/>
    </row>
    <row r="80" spans="1:24" s="305" customFormat="1" ht="12" customHeight="1">
      <c r="B80" s="305" t="s">
        <v>1283</v>
      </c>
      <c r="G80" s="3361">
        <v>0</v>
      </c>
      <c r="H80" s="3362"/>
      <c r="J80" s="3361"/>
      <c r="K80" s="3362"/>
      <c r="L80" s="1587"/>
      <c r="M80" s="3361"/>
      <c r="N80" s="3362"/>
      <c r="P80" s="3361"/>
      <c r="Q80" s="3362"/>
      <c r="S80" s="3361"/>
      <c r="T80" s="3362"/>
      <c r="V80" s="3358"/>
      <c r="W80" s="3359"/>
      <c r="X80" s="3360"/>
    </row>
    <row r="81" spans="1:24" s="305" customFormat="1" ht="12" customHeight="1">
      <c r="B81" s="305" t="s">
        <v>1284</v>
      </c>
      <c r="D81" s="369" t="s">
        <v>1415</v>
      </c>
      <c r="E81" s="3394" t="s">
        <v>3012</v>
      </c>
      <c r="G81" s="3361">
        <v>31400</v>
      </c>
      <c r="H81" s="3362"/>
      <c r="I81" s="324"/>
      <c r="J81" s="3361">
        <v>31400</v>
      </c>
      <c r="K81" s="3362"/>
      <c r="L81" s="1587"/>
      <c r="M81" s="3361"/>
      <c r="N81" s="3362"/>
      <c r="P81" s="3361"/>
      <c r="Q81" s="3362"/>
      <c r="S81" s="3361"/>
      <c r="T81" s="3362"/>
      <c r="V81" s="3358"/>
      <c r="W81" s="3359"/>
      <c r="X81" s="3360"/>
    </row>
    <row r="82" spans="1:24" s="305" customFormat="1" ht="12" customHeight="1" thickBot="1">
      <c r="B82" s="305" t="s">
        <v>1285</v>
      </c>
      <c r="D82" s="369" t="s">
        <v>1415</v>
      </c>
      <c r="E82" s="3395" t="s">
        <v>3012</v>
      </c>
      <c r="G82" s="3391">
        <v>21200</v>
      </c>
      <c r="H82" s="3392"/>
      <c r="I82" s="324"/>
      <c r="J82" s="3391">
        <v>21200</v>
      </c>
      <c r="K82" s="3392"/>
      <c r="L82" s="1587"/>
      <c r="M82" s="3391"/>
      <c r="N82" s="3392"/>
      <c r="P82" s="3391"/>
      <c r="Q82" s="3392"/>
      <c r="S82" s="3391"/>
      <c r="T82" s="3392"/>
      <c r="V82" s="3358"/>
      <c r="W82" s="3368"/>
      <c r="X82" s="3369"/>
    </row>
    <row r="83" spans="1:24" s="305" customFormat="1" ht="12" customHeight="1" thickTop="1">
      <c r="F83" s="361" t="s">
        <v>193</v>
      </c>
      <c r="G83" s="1800">
        <f>SUM(G79:H82)</f>
        <v>108224</v>
      </c>
      <c r="H83" s="1801"/>
      <c r="J83" s="1800">
        <f>SUM(J79:K82)</f>
        <v>108224</v>
      </c>
      <c r="K83" s="1801"/>
      <c r="L83" s="363"/>
      <c r="M83" s="1800">
        <f>SUM(M79:N82)</f>
        <v>0</v>
      </c>
      <c r="N83" s="1801"/>
      <c r="P83" s="1800">
        <f>SUM(P79:Q82)</f>
        <v>0</v>
      </c>
      <c r="Q83" s="1801"/>
      <c r="S83" s="1800">
        <f>SUM(S79:T82)</f>
        <v>0</v>
      </c>
      <c r="T83" s="1801"/>
      <c r="V83" s="3370">
        <f>SUM(V79:V82)</f>
        <v>0</v>
      </c>
      <c r="W83" s="3371"/>
      <c r="X83" s="3372"/>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6"/>
      <c r="H85" s="3357"/>
      <c r="J85" s="1804"/>
      <c r="K85" s="1804"/>
      <c r="L85" s="1587"/>
      <c r="M85" s="1804"/>
      <c r="N85" s="1804"/>
      <c r="P85" s="1804"/>
      <c r="Q85" s="1804"/>
      <c r="S85" s="3356"/>
      <c r="T85" s="3357"/>
      <c r="V85" s="3358"/>
      <c r="W85" s="3359"/>
      <c r="X85" s="3360"/>
    </row>
    <row r="86" spans="1:24" s="305" customFormat="1" ht="12" customHeight="1">
      <c r="B86" s="305" t="s">
        <v>1287</v>
      </c>
      <c r="G86" s="3361"/>
      <c r="H86" s="3362"/>
      <c r="J86" s="1804"/>
      <c r="K86" s="1804"/>
      <c r="L86" s="1587"/>
      <c r="M86" s="1804"/>
      <c r="N86" s="1804"/>
      <c r="P86" s="1804"/>
      <c r="Q86" s="1804"/>
      <c r="S86" s="3361"/>
      <c r="T86" s="3362"/>
      <c r="V86" s="3358"/>
      <c r="W86" s="3359"/>
      <c r="X86" s="3360"/>
    </row>
    <row r="87" spans="1:24" s="305" customFormat="1" ht="12" customHeight="1">
      <c r="B87" s="305" t="s">
        <v>1288</v>
      </c>
      <c r="G87" s="3361"/>
      <c r="H87" s="3362"/>
      <c r="J87" s="1804"/>
      <c r="K87" s="1804"/>
      <c r="L87" s="1587"/>
      <c r="M87" s="1804"/>
      <c r="N87" s="1804"/>
      <c r="P87" s="1804"/>
      <c r="Q87" s="1804"/>
      <c r="S87" s="3361"/>
      <c r="T87" s="3362"/>
      <c r="V87" s="3358"/>
      <c r="W87" s="3359"/>
      <c r="X87" s="3360"/>
    </row>
    <row r="88" spans="1:24" s="305" customFormat="1" ht="12" customHeight="1">
      <c r="B88" s="305" t="s">
        <v>1290</v>
      </c>
      <c r="G88" s="3361"/>
      <c r="H88" s="3362"/>
      <c r="J88" s="1804"/>
      <c r="K88" s="1804"/>
      <c r="L88" s="1587"/>
      <c r="M88" s="1804"/>
      <c r="N88" s="1804"/>
      <c r="P88" s="1804"/>
      <c r="Q88" s="1804"/>
      <c r="S88" s="3361"/>
      <c r="T88" s="3362"/>
      <c r="V88" s="3358"/>
      <c r="W88" s="3359"/>
      <c r="X88" s="3360"/>
    </row>
    <row r="89" spans="1:24" s="305" customFormat="1" ht="12" customHeight="1">
      <c r="B89" s="305" t="s">
        <v>2314</v>
      </c>
      <c r="G89" s="3361"/>
      <c r="H89" s="3362"/>
      <c r="J89" s="1804"/>
      <c r="K89" s="1804"/>
      <c r="L89" s="1587"/>
      <c r="M89" s="1804"/>
      <c r="N89" s="1804"/>
      <c r="P89" s="1804"/>
      <c r="Q89" s="1804"/>
      <c r="S89" s="3361"/>
      <c r="T89" s="3362"/>
      <c r="V89" s="3358"/>
      <c r="W89" s="3359"/>
      <c r="X89" s="3360"/>
    </row>
    <row r="90" spans="1:24" s="305" customFormat="1" ht="12" customHeight="1" thickBot="1">
      <c r="A90" s="387" t="str">
        <f>IF(AND(G90&gt;0,OR(C90="",C90="&lt;Enter detailed description here; use Comments section if needed&gt;")),"X","")</f>
        <v/>
      </c>
      <c r="B90" s="305" t="s">
        <v>749</v>
      </c>
      <c r="C90" s="3363"/>
      <c r="D90" s="3363"/>
      <c r="E90" s="3363"/>
      <c r="F90" s="3364"/>
      <c r="G90" s="3391"/>
      <c r="H90" s="3392"/>
      <c r="J90" s="1804"/>
      <c r="K90" s="1804"/>
      <c r="L90" s="1587"/>
      <c r="M90" s="1804"/>
      <c r="N90" s="1804"/>
      <c r="P90" s="1804"/>
      <c r="Q90" s="1804"/>
      <c r="S90" s="3391"/>
      <c r="T90" s="3392"/>
      <c r="U90" s="386" t="str">
        <f>IF(AND(G90&gt;0,OR(C90="",C90="&lt;Enter detailed description here; use Comments section if needed&gt;")),"NO DESCRIPTION PROVIDED - please enter detailed description in Other box at left; use Comments section below if needed.","")</f>
        <v/>
      </c>
      <c r="V90" s="3358"/>
      <c r="W90" s="3368"/>
      <c r="X90" s="3369"/>
    </row>
    <row r="91" spans="1:24" s="305" customFormat="1" ht="12" customHeight="1" thickTop="1">
      <c r="F91" s="361" t="s">
        <v>193</v>
      </c>
      <c r="G91" s="1800">
        <f>SUM(G85:H90)</f>
        <v>0</v>
      </c>
      <c r="H91" s="1801"/>
      <c r="J91" s="1804"/>
      <c r="K91" s="1804"/>
      <c r="L91" s="363"/>
      <c r="M91" s="1804"/>
      <c r="N91" s="1804"/>
      <c r="P91" s="1804"/>
      <c r="Q91" s="1804"/>
      <c r="S91" s="1800">
        <f>SUM(S85:T90)</f>
        <v>0</v>
      </c>
      <c r="T91" s="1801"/>
      <c r="V91" s="3370">
        <f>SUM(V85:V90)</f>
        <v>0</v>
      </c>
      <c r="W91" s="3371"/>
      <c r="X91" s="3372"/>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2860</v>
      </c>
      <c r="H93" s="1577"/>
      <c r="I93" s="1577"/>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3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6"/>
      <c r="H96" s="3357"/>
      <c r="J96" s="363"/>
      <c r="K96" s="363"/>
      <c r="L96" s="1587"/>
      <c r="M96" s="363"/>
      <c r="N96" s="363"/>
      <c r="P96" s="363"/>
      <c r="Q96" s="363"/>
      <c r="S96" s="3356"/>
      <c r="T96" s="3357"/>
      <c r="V96" s="3358"/>
      <c r="W96" s="3359"/>
      <c r="X96" s="3360"/>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61">
        <v>6500</v>
      </c>
      <c r="H97" s="3362"/>
      <c r="J97" s="363"/>
      <c r="K97" s="363"/>
      <c r="L97" s="370"/>
      <c r="M97" s="363"/>
      <c r="N97" s="363"/>
      <c r="P97" s="363"/>
      <c r="Q97" s="363"/>
      <c r="S97" s="3361">
        <v>6500</v>
      </c>
      <c r="T97" s="3362"/>
      <c r="V97" s="3358"/>
      <c r="W97" s="3359"/>
      <c r="X97" s="3360"/>
    </row>
    <row r="98" spans="1:24" s="305" customFormat="1" ht="12.6" customHeight="1">
      <c r="B98" s="305" t="s">
        <v>3982</v>
      </c>
      <c r="G98" s="3361">
        <v>1000</v>
      </c>
      <c r="H98" s="3362"/>
      <c r="J98" s="363"/>
      <c r="K98" s="363"/>
      <c r="L98" s="370"/>
      <c r="M98" s="363"/>
      <c r="N98" s="363"/>
      <c r="O98" s="1577"/>
      <c r="P98" s="363"/>
      <c r="Q98" s="363"/>
      <c r="S98" s="3361">
        <v>1000</v>
      </c>
      <c r="T98" s="3362"/>
      <c r="V98" s="3358"/>
      <c r="W98" s="3359"/>
      <c r="X98" s="3360"/>
    </row>
    <row r="99" spans="1:24" s="305" customFormat="1" ht="12.6" customHeight="1">
      <c r="B99" s="305" t="s">
        <v>524</v>
      </c>
      <c r="E99" s="1811">
        <f>'DCA Underwriting Assumptions'!$Q$88*J175</f>
        <v>76000</v>
      </c>
      <c r="F99" s="1812"/>
      <c r="G99" s="3361">
        <v>76000</v>
      </c>
      <c r="H99" s="3362"/>
      <c r="J99" s="1055" t="str">
        <f>IF(E99&gt;G99,"WARNING!  LIHTC Allocation Fee proposed is below minimum required.","")</f>
        <v/>
      </c>
      <c r="K99" s="363"/>
      <c r="L99" s="1587"/>
      <c r="M99" s="363"/>
      <c r="N99" s="363"/>
      <c r="O99" s="1577"/>
      <c r="P99" s="363"/>
      <c r="Q99" s="363"/>
      <c r="S99" s="3361">
        <v>76000</v>
      </c>
      <c r="T99" s="3362"/>
      <c r="V99" s="3358"/>
      <c r="W99" s="3359"/>
      <c r="X99" s="3360"/>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55600</v>
      </c>
      <c r="F100" s="1812"/>
      <c r="G100" s="3361">
        <v>55600</v>
      </c>
      <c r="H100" s="3362"/>
      <c r="J100" s="1055" t="str">
        <f>IF(E100&gt;G100,"WARNING!  LIHTC Compliance Fee proposed is below minimum required.","")</f>
        <v/>
      </c>
      <c r="K100" s="280"/>
      <c r="L100" s="280"/>
      <c r="M100" s="280"/>
      <c r="N100" s="280"/>
      <c r="O100" s="280"/>
      <c r="P100" s="280"/>
      <c r="Q100" s="280"/>
      <c r="S100" s="3361">
        <v>55600</v>
      </c>
      <c r="T100" s="3362"/>
      <c r="V100" s="3358"/>
      <c r="W100" s="3359"/>
      <c r="X100" s="3360"/>
    </row>
    <row r="101" spans="1:24" s="305" customFormat="1" ht="12.6" customHeight="1">
      <c r="B101" s="305" t="s">
        <v>4298</v>
      </c>
      <c r="F101" s="1387">
        <f>'DCA Underwriting Assumptions'!$Q$90</f>
        <v>3000</v>
      </c>
      <c r="G101" s="3361">
        <v>3000</v>
      </c>
      <c r="H101" s="3362"/>
      <c r="J101" s="280"/>
      <c r="K101" s="280"/>
      <c r="L101" s="280"/>
      <c r="M101" s="280"/>
      <c r="N101" s="280"/>
      <c r="O101" s="280"/>
      <c r="P101" s="280"/>
      <c r="Q101" s="280"/>
      <c r="S101" s="3361">
        <v>3000</v>
      </c>
      <c r="T101" s="3362"/>
      <c r="V101" s="3358"/>
      <c r="W101" s="3359"/>
      <c r="X101" s="3360"/>
    </row>
    <row r="102" spans="1:24" s="305" customFormat="1" ht="12.6" customHeight="1">
      <c r="B102" s="305" t="s">
        <v>4299</v>
      </c>
      <c r="F102" s="1387">
        <f>'DCA Underwriting Assumptions'!$Q$111</f>
        <v>3000</v>
      </c>
      <c r="G102" s="3361">
        <v>3000</v>
      </c>
      <c r="H102" s="3362"/>
      <c r="J102" s="280"/>
      <c r="K102" s="280"/>
      <c r="L102" s="280"/>
      <c r="M102" s="280"/>
      <c r="N102" s="280"/>
      <c r="O102" s="280"/>
      <c r="P102" s="280"/>
      <c r="Q102" s="280"/>
      <c r="S102" s="3361">
        <v>3000</v>
      </c>
      <c r="T102" s="3362"/>
      <c r="V102" s="3358"/>
      <c r="W102" s="3359"/>
      <c r="X102" s="3360"/>
    </row>
    <row r="103" spans="1:24" s="305" customFormat="1" ht="12.6" customHeight="1">
      <c r="A103" s="387" t="str">
        <f>IF(AND(G103&gt;0,OR(C103="",C103="&lt;Enter detailed description here; use Comments section if needed&gt;")),"X","")</f>
        <v/>
      </c>
      <c r="B103" s="305" t="s">
        <v>749</v>
      </c>
      <c r="C103" s="3387"/>
      <c r="D103" s="3387"/>
      <c r="E103" s="3387"/>
      <c r="F103" s="3388"/>
      <c r="G103" s="3361"/>
      <c r="H103" s="3362"/>
      <c r="J103" s="280"/>
      <c r="K103" s="280"/>
      <c r="L103" s="280"/>
      <c r="M103" s="280"/>
      <c r="N103" s="280"/>
      <c r="O103" s="280"/>
      <c r="P103" s="280"/>
      <c r="Q103" s="280"/>
      <c r="S103" s="3361"/>
      <c r="T103" s="3362"/>
      <c r="U103" s="386" t="str">
        <f>IF(AND(G103&gt;0,OR(C103="",C103="&lt;Enter detailed description here; use Comments section if needed&gt;")),"NO DESCRIPTION PROVIDED - please enter detailed description in Other box at left; use Comments section below if needed.","")</f>
        <v/>
      </c>
      <c r="V103" s="3358"/>
      <c r="W103" s="3359"/>
      <c r="X103" s="3360"/>
    </row>
    <row r="104" spans="1:24" s="305" customFormat="1" ht="12.6" customHeight="1" thickBot="1">
      <c r="A104" s="387" t="str">
        <f>IF(AND(G104&gt;0,OR(C104="",C104="&lt;Enter detailed description here; use Comments section if needed&gt;")),"X","")</f>
        <v/>
      </c>
      <c r="B104" s="305" t="s">
        <v>749</v>
      </c>
      <c r="C104" s="3389"/>
      <c r="D104" s="3389"/>
      <c r="E104" s="3389"/>
      <c r="F104" s="3390"/>
      <c r="G104" s="3391"/>
      <c r="H104" s="3392"/>
      <c r="J104" s="280"/>
      <c r="K104" s="280"/>
      <c r="L104" s="280"/>
      <c r="M104" s="280"/>
      <c r="N104" s="280"/>
      <c r="O104" s="280"/>
      <c r="P104" s="280"/>
      <c r="Q104" s="280"/>
      <c r="S104" s="3391"/>
      <c r="T104" s="3392"/>
      <c r="U104" s="386" t="str">
        <f>IF(AND(G104&gt;0,OR(C104="",C104="&lt;Enter detailed description here; use Comments section if needed&gt;")),"NO DESCRIPTION PROVIDED - please enter detailed description in Other box at left; use Comments section below if needed.","")</f>
        <v/>
      </c>
      <c r="V104" s="3358"/>
      <c r="W104" s="3368"/>
      <c r="X104" s="3369"/>
    </row>
    <row r="105" spans="1:24" s="305" customFormat="1" ht="12.6" customHeight="1" thickTop="1">
      <c r="F105" s="361" t="s">
        <v>193</v>
      </c>
      <c r="G105" s="1800">
        <f>SUM(G96:H104)</f>
        <v>145100</v>
      </c>
      <c r="H105" s="1801"/>
      <c r="J105" s="363"/>
      <c r="K105" s="363"/>
      <c r="L105" s="1587"/>
      <c r="M105" s="363"/>
      <c r="N105" s="363"/>
      <c r="P105" s="363"/>
      <c r="Q105" s="363"/>
      <c r="S105" s="1800">
        <f>SUM(S96:T104)</f>
        <v>145100</v>
      </c>
      <c r="T105" s="1801"/>
      <c r="V105" s="3370">
        <f>SUM(V96:V104)</f>
        <v>0</v>
      </c>
      <c r="W105" s="3396"/>
      <c r="X105" s="3397"/>
    </row>
    <row r="106" spans="1:24" s="305" customFormat="1" ht="13.3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6">
        <v>5000</v>
      </c>
      <c r="H107" s="3357"/>
      <c r="J107" s="1804"/>
      <c r="K107" s="1804"/>
      <c r="L107" s="1587"/>
      <c r="M107" s="1804"/>
      <c r="N107" s="1804"/>
      <c r="O107" s="1577"/>
      <c r="P107" s="1804"/>
      <c r="Q107" s="1804"/>
      <c r="S107" s="3356">
        <v>5000</v>
      </c>
      <c r="T107" s="3357"/>
      <c r="V107" s="3358"/>
      <c r="W107" s="3359"/>
      <c r="X107" s="3360"/>
    </row>
    <row r="108" spans="1:24" s="305" customFormat="1" ht="12.6" customHeight="1">
      <c r="B108" s="305" t="s">
        <v>282</v>
      </c>
      <c r="G108" s="3361"/>
      <c r="H108" s="3362"/>
      <c r="J108" s="1804"/>
      <c r="K108" s="1804"/>
      <c r="L108" s="1587"/>
      <c r="M108" s="1804"/>
      <c r="N108" s="1804"/>
      <c r="O108" s="1577"/>
      <c r="P108" s="1804"/>
      <c r="Q108" s="1804"/>
      <c r="S108" s="3361"/>
      <c r="T108" s="3362"/>
      <c r="V108" s="3358"/>
      <c r="W108" s="3359"/>
      <c r="X108" s="3360"/>
    </row>
    <row r="109" spans="1:24" s="305" customFormat="1" ht="12.6" customHeight="1">
      <c r="B109" s="305" t="s">
        <v>2402</v>
      </c>
      <c r="G109" s="3361">
        <v>50000</v>
      </c>
      <c r="H109" s="3362"/>
      <c r="J109" s="1804"/>
      <c r="K109" s="1804"/>
      <c r="L109" s="1587"/>
      <c r="M109" s="1804"/>
      <c r="N109" s="1804"/>
      <c r="O109" s="1577"/>
      <c r="P109" s="1804"/>
      <c r="Q109" s="1804"/>
      <c r="S109" s="3361">
        <v>50000</v>
      </c>
      <c r="T109" s="3362"/>
      <c r="V109" s="3358"/>
      <c r="W109" s="3359"/>
      <c r="X109" s="3360"/>
    </row>
    <row r="110" spans="1:24" s="305" customFormat="1" ht="12.6" customHeight="1" thickBot="1">
      <c r="A110" s="387" t="str">
        <f>IF(AND(G110&gt;0,OR(C110="",C110="&lt;Enter detailed description here; use Comments section if needed&gt;")),"X","")</f>
        <v/>
      </c>
      <c r="B110" s="305" t="s">
        <v>749</v>
      </c>
      <c r="C110" s="3363" t="s">
        <v>3737</v>
      </c>
      <c r="D110" s="3363"/>
      <c r="E110" s="3363"/>
      <c r="F110" s="3364"/>
      <c r="G110" s="3391"/>
      <c r="H110" s="3392"/>
      <c r="J110" s="1804"/>
      <c r="K110" s="1804"/>
      <c r="L110" s="1587"/>
      <c r="M110" s="1804"/>
      <c r="N110" s="1804"/>
      <c r="O110" s="1577"/>
      <c r="P110" s="1804"/>
      <c r="Q110" s="1804"/>
      <c r="S110" s="3391"/>
      <c r="T110" s="3392"/>
      <c r="U110" s="386" t="str">
        <f>IF(AND(G110&gt;0,OR(C110="",C110="&lt;Enter detailed description here; use Comments section if needed&gt;")),"NO DESCRIPTION PROVIDED - please enter detailed description in Other box at left; use Comments section below if needed.","")</f>
        <v/>
      </c>
      <c r="V110" s="3358"/>
      <c r="W110" s="3368"/>
      <c r="X110" s="3369"/>
    </row>
    <row r="111" spans="1:24" s="305" customFormat="1" ht="12.6" customHeight="1" thickTop="1">
      <c r="F111" s="361" t="s">
        <v>193</v>
      </c>
      <c r="G111" s="1800">
        <f>SUM(G107:H110)</f>
        <v>55000</v>
      </c>
      <c r="H111" s="1801"/>
      <c r="J111" s="1804"/>
      <c r="K111" s="1804"/>
      <c r="L111" s="1587"/>
      <c r="M111" s="1804"/>
      <c r="N111" s="1804"/>
      <c r="O111" s="1577"/>
      <c r="P111" s="1804"/>
      <c r="Q111" s="1804"/>
      <c r="S111" s="1800">
        <f>SUM(S107:T110)</f>
        <v>55000</v>
      </c>
      <c r="T111" s="1801"/>
      <c r="V111" s="3370">
        <f>SUM(V107:V110)</f>
        <v>0</v>
      </c>
      <c r="W111" s="3371"/>
      <c r="X111" s="3372"/>
    </row>
    <row r="112" spans="1:24" s="305" customFormat="1" ht="13.3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3398">
        <v>0</v>
      </c>
      <c r="H113" s="3398"/>
      <c r="J113" s="3399">
        <v>0</v>
      </c>
      <c r="K113" s="3400"/>
      <c r="L113" s="362"/>
      <c r="M113" s="3399"/>
      <c r="N113" s="3400"/>
      <c r="P113" s="3399"/>
      <c r="Q113" s="3400"/>
      <c r="S113" s="3399"/>
      <c r="T113" s="3400"/>
      <c r="V113" s="3358"/>
      <c r="W113" s="3359"/>
      <c r="X113" s="3360"/>
    </row>
    <row r="114" spans="1:24" s="305" customFormat="1" ht="12.6" customHeight="1">
      <c r="B114" s="305" t="s">
        <v>4250</v>
      </c>
      <c r="F114" s="3401">
        <v>825000</v>
      </c>
      <c r="V114" s="3358"/>
      <c r="W114" s="3359"/>
      <c r="X114" s="3360"/>
    </row>
    <row r="115" spans="1:24" s="305" customFormat="1" ht="12.6" customHeight="1">
      <c r="B115" s="305" t="s">
        <v>1875</v>
      </c>
      <c r="F115" s="412">
        <f>IF($G$118=0,0,G115/$G$118)</f>
        <v>0</v>
      </c>
      <c r="G115" s="3356"/>
      <c r="H115" s="3357"/>
      <c r="J115" s="3356"/>
      <c r="K115" s="3357"/>
      <c r="L115" s="1587"/>
      <c r="M115" s="3356"/>
      <c r="N115" s="3357"/>
      <c r="P115" s="3356"/>
      <c r="Q115" s="3357"/>
      <c r="S115" s="3356"/>
      <c r="T115" s="3357"/>
      <c r="V115" s="3358"/>
      <c r="W115" s="3359"/>
      <c r="X115" s="3360"/>
    </row>
    <row r="116" spans="1:24" s="305" customFormat="1" ht="12.6" customHeight="1">
      <c r="B116" s="305" t="s">
        <v>3657</v>
      </c>
      <c r="F116" s="412">
        <f>IF($G$118=0,0,G116/$G$118)</f>
        <v>0</v>
      </c>
      <c r="G116" s="3361"/>
      <c r="H116" s="3362"/>
      <c r="J116" s="3361"/>
      <c r="K116" s="3362"/>
      <c r="L116" s="1587"/>
      <c r="M116" s="3361"/>
      <c r="N116" s="3362"/>
      <c r="P116" s="3361"/>
      <c r="Q116" s="3362"/>
      <c r="S116" s="3361"/>
      <c r="T116" s="3362"/>
      <c r="V116" s="3358"/>
      <c r="W116" s="3359"/>
      <c r="X116" s="3360"/>
    </row>
    <row r="117" spans="1:24" s="305" customFormat="1" ht="12.6" customHeight="1" thickBot="1">
      <c r="B117" s="305" t="s">
        <v>1867</v>
      </c>
      <c r="F117" s="412">
        <f>IF($G$118=0,0,G117/$G$118)</f>
        <v>1</v>
      </c>
      <c r="G117" s="3402">
        <v>1650000</v>
      </c>
      <c r="H117" s="3392"/>
      <c r="J117" s="3402">
        <v>1650000</v>
      </c>
      <c r="K117" s="3392"/>
      <c r="L117" s="1587"/>
      <c r="M117" s="3391"/>
      <c r="N117" s="3392"/>
      <c r="P117" s="3391"/>
      <c r="Q117" s="3392"/>
      <c r="S117" s="3391">
        <f>G117-J117</f>
        <v>0</v>
      </c>
      <c r="T117" s="3392"/>
      <c r="V117" s="3358"/>
      <c r="W117" s="3368"/>
      <c r="X117" s="3369"/>
    </row>
    <row r="118" spans="1:24" s="305" customFormat="1" ht="12.6" customHeight="1" thickTop="1">
      <c r="C118" s="386"/>
      <c r="F118" s="361" t="s">
        <v>193</v>
      </c>
      <c r="G118" s="1800">
        <f>SUM(G113:H117)</f>
        <v>1650000</v>
      </c>
      <c r="H118" s="1801"/>
      <c r="J118" s="1800">
        <f>SUM(J113:K117)</f>
        <v>1650000</v>
      </c>
      <c r="K118" s="1801"/>
      <c r="L118" s="1587"/>
      <c r="M118" s="1800">
        <f>SUM(M113:N117)</f>
        <v>0</v>
      </c>
      <c r="N118" s="1801"/>
      <c r="P118" s="1800">
        <f>SUM(P113:Q117)</f>
        <v>0</v>
      </c>
      <c r="Q118" s="1801"/>
      <c r="S118" s="1800">
        <f>SUM(S113:T117)</f>
        <v>0</v>
      </c>
      <c r="T118" s="1801"/>
      <c r="V118" s="3370">
        <f>SUM(V113:V117)</f>
        <v>0</v>
      </c>
      <c r="W118" s="3371"/>
      <c r="X118" s="3372"/>
    </row>
    <row r="119" spans="1:24" s="305" customFormat="1" ht="13.3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6">
        <v>20000</v>
      </c>
      <c r="H120" s="3357"/>
      <c r="J120" s="371"/>
      <c r="K120" s="371"/>
      <c r="L120" s="371"/>
      <c r="M120" s="371"/>
      <c r="N120" s="371"/>
      <c r="P120" s="371"/>
      <c r="Q120" s="371"/>
      <c r="S120" s="3356">
        <v>20000</v>
      </c>
      <c r="T120" s="3357"/>
      <c r="V120" s="3358"/>
      <c r="W120" s="3359"/>
      <c r="X120" s="3360"/>
    </row>
    <row r="121" spans="1:24" s="305" customFormat="1" ht="12.6" customHeight="1">
      <c r="B121" s="305" t="s">
        <v>1548</v>
      </c>
      <c r="F121" s="513">
        <f>+'Part VI-Revenues &amp; Expenses'!$P$175*('DCA Underwriting Assumptions'!$Q$110/12)</f>
        <v>69702.75</v>
      </c>
      <c r="G121" s="3361">
        <v>69703</v>
      </c>
      <c r="H121" s="3362"/>
      <c r="J121" s="1057" t="str">
        <f>IF(E121&gt;G121,"WARNING! Rent-Up Reserves proposed is below minimum - add comment.","")</f>
        <v/>
      </c>
      <c r="K121" s="1057"/>
      <c r="L121" s="1587"/>
      <c r="M121" s="1030"/>
      <c r="N121" s="1030"/>
      <c r="O121" s="1577"/>
      <c r="P121" s="1030"/>
      <c r="Q121" s="1030"/>
      <c r="R121" s="1577"/>
      <c r="S121" s="3361">
        <v>69703</v>
      </c>
      <c r="T121" s="3362"/>
      <c r="V121" s="3358"/>
      <c r="W121" s="3359"/>
      <c r="X121" s="3360"/>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139405.5</v>
      </c>
      <c r="G122" s="3361">
        <v>139406</v>
      </c>
      <c r="H122" s="3362"/>
      <c r="J122" s="1057" t="str">
        <f>IF(E122&gt;G122,"WARNING! ODR proposed is below minimum - add comment.","")</f>
        <v/>
      </c>
      <c r="K122" s="370"/>
      <c r="L122" s="370"/>
      <c r="M122" s="370"/>
      <c r="N122" s="370"/>
      <c r="O122" s="1577"/>
      <c r="P122" s="370"/>
      <c r="Q122" s="370"/>
      <c r="R122" s="1577"/>
      <c r="S122" s="3361">
        <v>139406</v>
      </c>
      <c r="T122" s="3362"/>
      <c r="V122" s="3358"/>
      <c r="W122" s="3359"/>
      <c r="X122" s="3360"/>
    </row>
    <row r="123" spans="1:24" s="305" customFormat="1" ht="12.6" customHeight="1">
      <c r="B123" s="305" t="s">
        <v>1256</v>
      </c>
      <c r="G123" s="3361"/>
      <c r="H123" s="3362"/>
      <c r="J123" s="371"/>
      <c r="K123" s="371"/>
      <c r="L123" s="371"/>
      <c r="M123" s="371"/>
      <c r="N123" s="371"/>
      <c r="P123" s="371"/>
      <c r="Q123" s="371"/>
      <c r="S123" s="3361"/>
      <c r="T123" s="3362"/>
      <c r="V123" s="3358"/>
      <c r="W123" s="3359"/>
      <c r="X123" s="3360"/>
    </row>
    <row r="124" spans="1:24" s="305" customFormat="1" ht="12.6" customHeight="1">
      <c r="B124" s="305" t="s">
        <v>1257</v>
      </c>
      <c r="E124" s="901" t="s">
        <v>3588</v>
      </c>
      <c r="F124" s="481">
        <f>IF('Part VI-Revenues &amp; Expenses'!$O$62=0,0,G124/'Part VI-Revenues &amp; Expenses'!$O$62)</f>
        <v>1100</v>
      </c>
      <c r="G124" s="3361">
        <v>72600</v>
      </c>
      <c r="H124" s="3362"/>
      <c r="J124" s="3356">
        <v>72600</v>
      </c>
      <c r="K124" s="3357"/>
      <c r="L124" s="1587"/>
      <c r="M124" s="3356"/>
      <c r="N124" s="3357"/>
      <c r="P124" s="3356"/>
      <c r="Q124" s="3357"/>
      <c r="S124" s="3361"/>
      <c r="T124" s="3362"/>
      <c r="V124" s="3358"/>
      <c r="W124" s="3359"/>
      <c r="X124" s="3360"/>
    </row>
    <row r="125" spans="1:24" s="305" customFormat="1" ht="12.6" customHeight="1" thickBot="1">
      <c r="A125" s="387" t="str">
        <f>IF(AND(G125&gt;0,OR(C125="",C125="&lt;Enter detailed description here; use Comments section if needed&gt;")),"X","")</f>
        <v/>
      </c>
      <c r="B125" s="305" t="s">
        <v>749</v>
      </c>
      <c r="C125" s="3363"/>
      <c r="D125" s="3363"/>
      <c r="E125" s="3363"/>
      <c r="F125" s="3364"/>
      <c r="G125" s="3391"/>
      <c r="H125" s="3392"/>
      <c r="J125" s="3366"/>
      <c r="K125" s="3367"/>
      <c r="L125" s="1587"/>
      <c r="M125" s="3391"/>
      <c r="N125" s="3392"/>
      <c r="P125" s="3391"/>
      <c r="Q125" s="3392"/>
      <c r="S125" s="3391"/>
      <c r="T125" s="3392"/>
      <c r="U125" s="386" t="str">
        <f>IF(AND(G125&gt;0,OR(C125="",C125="&lt;Enter detailed description here; use Comments section if needed&gt;")),"NO DESCRIPTION PROVIDED - please enter detailed description in Other box at left; use Comments section below if needed.","")</f>
        <v/>
      </c>
      <c r="V125" s="3358"/>
      <c r="W125" s="3368"/>
      <c r="X125" s="3369"/>
    </row>
    <row r="126" spans="1:24" s="305" customFormat="1" ht="12.6" customHeight="1" thickTop="1">
      <c r="B126" s="372"/>
      <c r="F126" s="361" t="s">
        <v>193</v>
      </c>
      <c r="G126" s="1800">
        <f>SUM(G120:H125)</f>
        <v>301709</v>
      </c>
      <c r="H126" s="1801"/>
      <c r="J126" s="1800">
        <f>SUM(J124:K125)</f>
        <v>72600</v>
      </c>
      <c r="K126" s="1801"/>
      <c r="L126" s="1587"/>
      <c r="M126" s="1800">
        <f>SUM(M124:N125)</f>
        <v>0</v>
      </c>
      <c r="N126" s="1801"/>
      <c r="P126" s="1800">
        <f>SUM(P124:Q125)</f>
        <v>0</v>
      </c>
      <c r="Q126" s="1801"/>
      <c r="S126" s="1800">
        <f>SUM(S120:T125)</f>
        <v>229109</v>
      </c>
      <c r="T126" s="1801"/>
      <c r="V126" s="3370">
        <f>SUM(V120:V125)</f>
        <v>0</v>
      </c>
      <c r="W126" s="3371"/>
      <c r="X126" s="3372"/>
    </row>
    <row r="127" spans="1:24" s="305" customFormat="1" ht="13.35" customHeight="1">
      <c r="B127" s="307" t="s">
        <v>616</v>
      </c>
      <c r="C127" s="1566"/>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66"/>
      <c r="G128" s="3356"/>
      <c r="H128" s="3357"/>
      <c r="J128" s="3356"/>
      <c r="K128" s="3357"/>
      <c r="L128" s="362"/>
      <c r="M128" s="3356"/>
      <c r="N128" s="3357"/>
      <c r="P128" s="3356"/>
      <c r="Q128" s="3357"/>
      <c r="S128" s="3356"/>
      <c r="T128" s="3357"/>
      <c r="V128" s="3358"/>
      <c r="W128" s="3359"/>
      <c r="X128" s="3360"/>
    </row>
    <row r="129" spans="1:24" s="305" customFormat="1" ht="12.6" customHeight="1" thickBot="1">
      <c r="A129" s="387" t="str">
        <f>IF(AND(G129&gt;0,OR(C129="",C129="&lt;Enter detailed description here; use Comments section if needed&gt;")),"X","")</f>
        <v/>
      </c>
      <c r="B129" s="305" t="s">
        <v>749</v>
      </c>
      <c r="C129" s="3363"/>
      <c r="D129" s="3363"/>
      <c r="E129" s="3363"/>
      <c r="F129" s="3364"/>
      <c r="G129" s="3391"/>
      <c r="H129" s="3392"/>
      <c r="J129" s="3391"/>
      <c r="K129" s="3392"/>
      <c r="L129" s="1587"/>
      <c r="M129" s="3391"/>
      <c r="N129" s="3392"/>
      <c r="P129" s="3391"/>
      <c r="Q129" s="3392"/>
      <c r="S129" s="3391"/>
      <c r="T129" s="3392"/>
      <c r="U129" s="386" t="str">
        <f>IF(AND(G129&gt;0,OR(C129="",C129="&lt;Enter detailed description here; use Comments section if needed&gt;")),"NO DESCRIPTION PROVIDED - please enter detailed description in Other box at left; use Comments section below if needed.","")</f>
        <v/>
      </c>
      <c r="V129" s="3358"/>
      <c r="W129" s="3368"/>
      <c r="X129" s="3369"/>
    </row>
    <row r="130" spans="1:24" s="305" customFormat="1" ht="12.6" customHeight="1" thickTop="1">
      <c r="C130" s="1566"/>
      <c r="F130" s="361" t="s">
        <v>193</v>
      </c>
      <c r="G130" s="1800">
        <f>SUM(G128:H129)</f>
        <v>0</v>
      </c>
      <c r="H130" s="1801"/>
      <c r="J130" s="1800">
        <f>SUM(J128:K129)</f>
        <v>0</v>
      </c>
      <c r="K130" s="1801"/>
      <c r="L130" s="1587"/>
      <c r="M130" s="1800">
        <f>SUM(M128:N129)</f>
        <v>0</v>
      </c>
      <c r="N130" s="1801"/>
      <c r="P130" s="1800">
        <f>SUM(P128:Q129)</f>
        <v>0</v>
      </c>
      <c r="Q130" s="1801"/>
      <c r="S130" s="1800">
        <f>SUM(S128:T129)</f>
        <v>0</v>
      </c>
      <c r="T130" s="1801"/>
      <c r="V130" s="3370">
        <f>SUM(V128:V129)</f>
        <v>0</v>
      </c>
      <c r="W130" s="3371"/>
      <c r="X130" s="3372"/>
    </row>
    <row r="131" spans="1:24" s="305" customFormat="1" ht="3" customHeight="1" thickBot="1">
      <c r="C131" s="1566"/>
      <c r="H131" s="368"/>
      <c r="I131" s="368"/>
      <c r="L131" s="1577"/>
      <c r="V131" s="1176"/>
      <c r="W131" s="3403"/>
      <c r="X131" s="3404"/>
    </row>
    <row r="132" spans="1:24" s="305" customFormat="1" ht="14.1" customHeight="1" thickBot="1">
      <c r="B132" s="311" t="s">
        <v>2785</v>
      </c>
      <c r="G132" s="1802">
        <f>G17+G23+G27+G33+G38+G41+G47+G64+G77+G83+G91+G105+G111+G118+G126+G130</f>
        <v>13480710.35</v>
      </c>
      <c r="H132" s="1803"/>
      <c r="J132" s="1802">
        <f>J17+J23+J27+J33+J38+J41+J47+J64+J77+J83+J91+J105+J111+J118+J126+J130</f>
        <v>12820003.35</v>
      </c>
      <c r="K132" s="1803"/>
      <c r="M132" s="1802">
        <f>M17+M23+M27+M33+M38+M41+M47+M64+M77+M83+M91+M105+M111+M118+M126+M130</f>
        <v>0</v>
      </c>
      <c r="N132" s="1803"/>
      <c r="P132" s="1802">
        <f>P17+P23+P27+P33+P38+P41+P47+P64+P77+P83+P91+P105+P111+P118+P126+P130</f>
        <v>0</v>
      </c>
      <c r="Q132" s="1803"/>
      <c r="S132" s="1802">
        <f>S17+S23+S27+S33+S38+S41+S47+S64+S77+S83+S91+S105+S111+S118+S126+S130</f>
        <v>660707</v>
      </c>
      <c r="T132" s="1803"/>
      <c r="V132" s="3405">
        <f>V17+V23+V27+V33+V38+V41+V47+V64+V77+V83+V91+V105+V111+V118+V126+V130</f>
        <v>0</v>
      </c>
      <c r="W132" s="3406"/>
      <c r="X132" s="3372"/>
    </row>
    <row r="133" spans="1:24" s="305" customFormat="1" ht="3" customHeight="1">
      <c r="C133" s="1566"/>
      <c r="H133" s="368"/>
      <c r="I133" s="368"/>
      <c r="L133" s="1577"/>
      <c r="V133" s="1176"/>
    </row>
    <row r="134" spans="1:24" s="305" customFormat="1" ht="14.1" customHeight="1">
      <c r="B134" s="524" t="s">
        <v>2781</v>
      </c>
      <c r="C134" s="522"/>
      <c r="D134" s="1793">
        <f>IF('Part VI-Revenues &amp; Expenses'!$O$62=0,0,G132/'Part VI-Revenues &amp; Expenses'!$O$62)</f>
        <v>204253.1871212121</v>
      </c>
      <c r="E134" s="1793"/>
      <c r="F134" s="523" t="s">
        <v>2780</v>
      </c>
      <c r="G134" s="1794">
        <f>IF('Part I-Project Information'!$P$71=0,0,G132/'Part I-Project Information'!$P$71)</f>
        <v>155.06119705997378</v>
      </c>
      <c r="H134" s="1795"/>
      <c r="I134" s="373"/>
      <c r="V134" s="1176"/>
    </row>
    <row r="135" spans="1:24" s="305" customFormat="1" ht="3" customHeight="1">
      <c r="I135" s="373"/>
      <c r="L135" s="373"/>
      <c r="V135" s="1176"/>
    </row>
    <row r="136" spans="1:24" s="305" customFormat="1" ht="3.6" customHeight="1" thickBot="1">
      <c r="D136" s="1566"/>
      <c r="E136" s="1566"/>
      <c r="I136" s="368"/>
      <c r="J136" s="368"/>
      <c r="K136" s="374"/>
      <c r="L136" s="310"/>
      <c r="P136" s="1577"/>
      <c r="V136" s="1176"/>
    </row>
    <row r="137" spans="1:24" s="305" customFormat="1" ht="26.1" customHeight="1">
      <c r="A137" s="437" t="s">
        <v>748</v>
      </c>
      <c r="B137" s="439" t="s">
        <v>1438</v>
      </c>
      <c r="C137" s="931"/>
      <c r="D137" s="1587"/>
      <c r="E137" s="1587"/>
      <c r="F137" s="1587"/>
      <c r="G137" s="1577"/>
      <c r="H137" s="1577"/>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7"/>
      <c r="E138" s="1587"/>
      <c r="I138" s="375"/>
      <c r="J138" s="1798"/>
      <c r="K138" s="1799"/>
      <c r="L138" s="931"/>
      <c r="M138" s="1798"/>
      <c r="N138" s="1799"/>
      <c r="P138" s="1798"/>
      <c r="Q138" s="1799"/>
      <c r="V138" s="1176"/>
      <c r="W138" s="305" t="str">
        <f>B138</f>
        <v>Subtractions From Eligible Basis</v>
      </c>
      <c r="X138" s="347"/>
    </row>
    <row r="139" spans="1:24" s="305" customFormat="1" ht="6" customHeight="1">
      <c r="D139" s="1566"/>
      <c r="E139" s="1566"/>
      <c r="I139" s="368"/>
      <c r="J139" s="368"/>
      <c r="K139" s="374"/>
      <c r="L139" s="310"/>
      <c r="P139" s="1577"/>
      <c r="V139" s="1176"/>
    </row>
    <row r="140" spans="1:24" s="305" customFormat="1" ht="14.1" customHeight="1">
      <c r="B140" s="1566" t="s">
        <v>145</v>
      </c>
      <c r="D140" s="1577"/>
      <c r="E140" s="1577"/>
      <c r="F140" s="1577"/>
      <c r="G140" s="1577"/>
      <c r="H140" s="1577"/>
      <c r="I140" s="375"/>
      <c r="J140" s="3407"/>
      <c r="K140" s="3408"/>
      <c r="P140" s="3407"/>
      <c r="Q140" s="3408"/>
      <c r="V140" s="3358"/>
      <c r="W140" s="3359"/>
      <c r="X140" s="3360"/>
    </row>
    <row r="141" spans="1:24" s="305" customFormat="1" ht="14.1" customHeight="1">
      <c r="B141" s="1577" t="s">
        <v>2168</v>
      </c>
      <c r="D141" s="1577"/>
      <c r="E141" s="1577"/>
      <c r="F141" s="1577"/>
      <c r="G141" s="1577"/>
      <c r="H141" s="1577"/>
      <c r="I141" s="375"/>
      <c r="J141" s="3409"/>
      <c r="K141" s="3410"/>
      <c r="P141" s="3409"/>
      <c r="Q141" s="3410"/>
      <c r="V141" s="3358"/>
      <c r="W141" s="3359"/>
      <c r="X141" s="3360"/>
    </row>
    <row r="142" spans="1:24" s="305" customFormat="1" ht="14.1" customHeight="1">
      <c r="B142" s="1577" t="s">
        <v>1877</v>
      </c>
      <c r="D142" s="1577"/>
      <c r="E142" s="1577"/>
      <c r="I142" s="375"/>
      <c r="J142" s="3409"/>
      <c r="K142" s="3410"/>
      <c r="P142" s="3409"/>
      <c r="Q142" s="3410"/>
      <c r="V142" s="3358"/>
      <c r="W142" s="3359"/>
      <c r="X142" s="3360"/>
    </row>
    <row r="143" spans="1:24" s="305" customFormat="1" ht="14.1" customHeight="1">
      <c r="B143" s="1577" t="s">
        <v>1878</v>
      </c>
      <c r="D143" s="1577"/>
      <c r="E143" s="1577"/>
      <c r="I143" s="375"/>
      <c r="J143" s="3409"/>
      <c r="K143" s="3410"/>
      <c r="P143" s="3409"/>
      <c r="Q143" s="3410"/>
      <c r="V143" s="3358"/>
      <c r="W143" s="3359"/>
      <c r="X143" s="3360"/>
    </row>
    <row r="144" spans="1:24" s="305" customFormat="1" ht="14.1" customHeight="1">
      <c r="B144" s="1577" t="s">
        <v>256</v>
      </c>
      <c r="D144" s="1577"/>
      <c r="E144" s="1577"/>
      <c r="I144" s="375"/>
      <c r="J144" s="3409"/>
      <c r="K144" s="3410"/>
      <c r="P144" s="3409"/>
      <c r="Q144" s="3410"/>
      <c r="V144" s="3358"/>
      <c r="W144" s="3359"/>
      <c r="X144" s="3360"/>
    </row>
    <row r="145" spans="1:24" s="305" customFormat="1" ht="14.1" customHeight="1" thickBot="1">
      <c r="B145" s="1577" t="s">
        <v>1613</v>
      </c>
      <c r="C145" s="3411" t="s">
        <v>2431</v>
      </c>
      <c r="D145" s="3411"/>
      <c r="E145" s="3411"/>
      <c r="F145" s="3411"/>
      <c r="G145" s="3411"/>
      <c r="H145" s="3411"/>
      <c r="I145" s="3412"/>
      <c r="J145" s="3413"/>
      <c r="K145" s="3414"/>
      <c r="P145" s="3413"/>
      <c r="Q145" s="3414"/>
      <c r="V145" s="3358"/>
      <c r="W145" s="3368"/>
      <c r="X145" s="3369"/>
    </row>
    <row r="146" spans="1:24" s="305" customFormat="1" ht="14.1" customHeight="1" thickBot="1">
      <c r="B146" s="316" t="s">
        <v>1879</v>
      </c>
      <c r="C146" s="319"/>
      <c r="J146" s="1702">
        <f>SUM(J140:K145)</f>
        <v>0</v>
      </c>
      <c r="K146" s="1703"/>
      <c r="P146" s="1702">
        <f>SUM(P140:Q145)</f>
        <v>0</v>
      </c>
      <c r="Q146" s="1703"/>
      <c r="V146" s="3370">
        <f>SUM(V140:V145)</f>
        <v>0</v>
      </c>
      <c r="W146" s="3371"/>
      <c r="X146" s="3372"/>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4.1" customHeight="1">
      <c r="B149" s="305" t="s">
        <v>1803</v>
      </c>
      <c r="J149" s="1789">
        <f>J132</f>
        <v>12820003.35</v>
      </c>
      <c r="K149" s="1790"/>
      <c r="M149" s="1791">
        <f>M132</f>
        <v>0</v>
      </c>
      <c r="N149" s="1792"/>
      <c r="P149" s="1789">
        <f>P132</f>
        <v>0</v>
      </c>
      <c r="Q149" s="1790"/>
      <c r="V149" s="3358"/>
      <c r="W149" s="3359"/>
      <c r="X149" s="3360"/>
    </row>
    <row r="150" spans="1:24" s="305" customFormat="1" ht="14.1" customHeight="1">
      <c r="B150" s="305" t="s">
        <v>2236</v>
      </c>
      <c r="J150" s="1762">
        <f>J146</f>
        <v>0</v>
      </c>
      <c r="K150" s="1763"/>
      <c r="M150" s="1771"/>
      <c r="N150" s="1771"/>
      <c r="P150" s="1762">
        <f>P146</f>
        <v>0</v>
      </c>
      <c r="Q150" s="1763"/>
      <c r="V150" s="3358"/>
      <c r="W150" s="3359"/>
      <c r="X150" s="3360"/>
    </row>
    <row r="151" spans="1:24" s="305" customFormat="1" ht="14.1" customHeight="1">
      <c r="B151" s="305" t="s">
        <v>2237</v>
      </c>
      <c r="J151" s="1762">
        <f>J149-J150</f>
        <v>12820003.35</v>
      </c>
      <c r="K151" s="1763"/>
      <c r="M151" s="1762">
        <f>M149</f>
        <v>0</v>
      </c>
      <c r="N151" s="1763"/>
      <c r="P151" s="1762">
        <f>P149-P150</f>
        <v>0</v>
      </c>
      <c r="Q151" s="1763"/>
      <c r="V151" s="3358"/>
      <c r="W151" s="3359"/>
      <c r="X151" s="3360"/>
    </row>
    <row r="152" spans="1:24" s="305" customFormat="1" ht="14.1" customHeight="1">
      <c r="B152" s="305" t="s">
        <v>1497</v>
      </c>
      <c r="G152" s="1568" t="s">
        <v>1727</v>
      </c>
      <c r="H152" s="3415" t="s">
        <v>4625</v>
      </c>
      <c r="I152" s="3416"/>
      <c r="J152" s="3417">
        <v>1.3</v>
      </c>
      <c r="K152" s="3418"/>
      <c r="M152" s="1784"/>
      <c r="N152" s="1784"/>
      <c r="P152" s="3417">
        <v>0</v>
      </c>
      <c r="Q152" s="3418"/>
      <c r="V152" s="3358"/>
      <c r="W152" s="3359"/>
      <c r="X152" s="3360"/>
    </row>
    <row r="153" spans="1:24" s="305" customFormat="1" ht="14.1" customHeight="1">
      <c r="B153" s="305" t="s">
        <v>2070</v>
      </c>
      <c r="J153" s="1762">
        <f>J151*J152</f>
        <v>16666004.355</v>
      </c>
      <c r="K153" s="1763"/>
      <c r="M153" s="1762">
        <f>+M151</f>
        <v>0</v>
      </c>
      <c r="N153" s="1763"/>
      <c r="P153" s="1762">
        <f>P151*P152</f>
        <v>0</v>
      </c>
      <c r="Q153" s="1763"/>
      <c r="V153" s="3358"/>
      <c r="W153" s="3359"/>
      <c r="X153" s="3360"/>
    </row>
    <row r="154" spans="1:24" s="305" customFormat="1" ht="14.1"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8"/>
      <c r="W154" s="3359"/>
      <c r="X154" s="3360"/>
    </row>
    <row r="155" spans="1:24" s="305" customFormat="1" ht="14.1" customHeight="1">
      <c r="B155" s="305" t="s">
        <v>2061</v>
      </c>
      <c r="J155" s="1762">
        <f>J153*J154</f>
        <v>16666004.355</v>
      </c>
      <c r="K155" s="1763"/>
      <c r="M155" s="1762">
        <f>M153*M154</f>
        <v>0</v>
      </c>
      <c r="N155" s="1763"/>
      <c r="P155" s="1762">
        <f>P153*P154</f>
        <v>0</v>
      </c>
      <c r="Q155" s="1763"/>
      <c r="V155" s="3358"/>
      <c r="W155" s="3359"/>
      <c r="X155" s="3360"/>
    </row>
    <row r="156" spans="1:24" s="305" customFormat="1" ht="14.1" customHeight="1">
      <c r="B156" s="305" t="s">
        <v>2062</v>
      </c>
      <c r="J156" s="3417">
        <v>0.09</v>
      </c>
      <c r="K156" s="3418"/>
      <c r="M156" s="3417"/>
      <c r="N156" s="3418"/>
      <c r="P156" s="3417"/>
      <c r="Q156" s="3418"/>
      <c r="V156" s="3358"/>
      <c r="W156" s="3359"/>
      <c r="X156" s="3360"/>
    </row>
    <row r="157" spans="1:24" s="305" customFormat="1" ht="14.1" customHeight="1" thickBot="1">
      <c r="B157" s="305" t="s">
        <v>2559</v>
      </c>
      <c r="J157" s="1787">
        <f>J155*J156</f>
        <v>1499940.3919500001</v>
      </c>
      <c r="K157" s="1788"/>
      <c r="M157" s="1787">
        <f>M155*M156</f>
        <v>0</v>
      </c>
      <c r="N157" s="1788"/>
      <c r="P157" s="1787">
        <f>P155*P156</f>
        <v>0</v>
      </c>
      <c r="Q157" s="1788"/>
      <c r="V157" s="3419"/>
      <c r="W157" s="3368"/>
      <c r="X157" s="3369"/>
    </row>
    <row r="158" spans="1:24" s="305" customFormat="1" ht="14.1" customHeight="1" thickBot="1">
      <c r="B158" s="307" t="s">
        <v>1436</v>
      </c>
      <c r="J158" s="1702">
        <f>J157+M157+P157</f>
        <v>1499940.3919500001</v>
      </c>
      <c r="K158" s="1767"/>
      <c r="L158" s="1767"/>
      <c r="M158" s="1767"/>
      <c r="N158" s="1767"/>
      <c r="O158" s="1767"/>
      <c r="P158" s="1767"/>
      <c r="Q158" s="1703"/>
      <c r="V158" s="3370"/>
      <c r="W158" s="3396"/>
      <c r="X158" s="3397"/>
    </row>
    <row r="159" spans="1:24" s="305" customFormat="1" ht="6" customHeight="1">
      <c r="B159" s="376"/>
      <c r="L159" s="377"/>
      <c r="M159" s="377"/>
      <c r="N159" s="377"/>
      <c r="O159" s="377"/>
      <c r="V159" s="1176"/>
    </row>
    <row r="160" spans="1:24" s="305" customFormat="1" ht="14.1" customHeight="1">
      <c r="A160" s="438" t="s">
        <v>750</v>
      </c>
      <c r="B160" s="438" t="s">
        <v>1439</v>
      </c>
      <c r="H160" s="368"/>
      <c r="I160" s="368"/>
      <c r="L160" s="1577"/>
      <c r="M160" s="497"/>
      <c r="N160" s="1577"/>
      <c r="O160" s="1577"/>
      <c r="P160" s="1577"/>
      <c r="Q160" s="1577"/>
      <c r="R160" s="1577"/>
      <c r="S160" s="1577"/>
      <c r="T160" s="1577"/>
      <c r="V160" s="1176"/>
    </row>
    <row r="161" spans="1:24" s="305" customFormat="1" ht="15" customHeight="1" thickBot="1">
      <c r="B161" s="307" t="s">
        <v>175</v>
      </c>
      <c r="H161" s="278"/>
      <c r="M161" s="497"/>
      <c r="N161" s="1577"/>
      <c r="O161" s="1577"/>
      <c r="P161" s="1577"/>
      <c r="Q161" s="1577"/>
      <c r="R161" s="1577"/>
      <c r="S161" s="1577"/>
      <c r="T161" s="1577"/>
      <c r="V161" s="1176"/>
      <c r="W161" s="438" t="str">
        <f>B160</f>
        <v>TAX CREDIT CALCULATION - GAP METHOD</v>
      </c>
    </row>
    <row r="162" spans="1:24" s="305" customFormat="1" ht="15" customHeight="1">
      <c r="B162" s="298" t="s">
        <v>2786</v>
      </c>
      <c r="G162" s="1754" t="str">
        <f>IF(J163&gt;J162,"TDC exceeds QAP PUCL!","")</f>
        <v/>
      </c>
      <c r="H162" s="1754"/>
      <c r="I162" s="1755"/>
      <c r="J162" s="1781">
        <f>'Part VIII-Threshold Criteria'!$P$63</f>
        <v>13494772</v>
      </c>
      <c r="K162" s="1782"/>
      <c r="L162" s="1783"/>
      <c r="M162" s="1756" t="s">
        <v>2763</v>
      </c>
      <c r="N162" s="1757"/>
      <c r="O162" s="1757"/>
      <c r="P162" s="1757"/>
      <c r="Q162" s="1757"/>
      <c r="R162" s="1758"/>
      <c r="S162" s="1756" t="s">
        <v>3698</v>
      </c>
      <c r="T162" s="1758"/>
      <c r="V162" s="3358"/>
      <c r="W162" s="3359"/>
      <c r="X162" s="3360"/>
    </row>
    <row r="163" spans="1:24" s="305" customFormat="1" ht="14.1" customHeight="1">
      <c r="B163" s="305" t="s">
        <v>2765</v>
      </c>
      <c r="J163" s="3420">
        <f>MIN(G132,J162,(G132-O165))</f>
        <v>13480710.35</v>
      </c>
      <c r="K163" s="3421"/>
      <c r="L163" s="3422"/>
      <c r="M163" s="1759"/>
      <c r="N163" s="1760"/>
      <c r="O163" s="1760"/>
      <c r="P163" s="1760"/>
      <c r="Q163" s="1760"/>
      <c r="R163" s="1761"/>
      <c r="S163" s="1759"/>
      <c r="T163" s="1761"/>
      <c r="V163" s="3358"/>
      <c r="W163" s="3359"/>
      <c r="X163" s="3360"/>
    </row>
    <row r="164" spans="1:24" s="305" customFormat="1" ht="14.1" customHeight="1">
      <c r="B164" s="305" t="s">
        <v>265</v>
      </c>
      <c r="J164" s="1762">
        <f>'Part III-Sources of Funds'!$I$58-'Part III-Sources of Funds'!$I$41-'Part III-Sources of Funds'!$I$42-'Part III-Sources of Funds'!$I$49-'Part III-Sources of Funds'!$I$50</f>
        <v>0</v>
      </c>
      <c r="K164" s="1771"/>
      <c r="L164" s="1772"/>
      <c r="M164" s="1759"/>
      <c r="N164" s="1760"/>
      <c r="O164" s="1760"/>
      <c r="P164" s="1760"/>
      <c r="Q164" s="1760"/>
      <c r="R164" s="1761"/>
      <c r="S164" s="1759"/>
      <c r="T164" s="1761"/>
      <c r="V164" s="3358"/>
      <c r="W164" s="3359"/>
      <c r="X164" s="3360"/>
    </row>
    <row r="165" spans="1:24" s="305" customFormat="1" ht="14.1" customHeight="1" thickBot="1">
      <c r="B165" s="305" t="s">
        <v>2248</v>
      </c>
      <c r="J165" s="1762">
        <f>+J163-J164</f>
        <v>13480710.35</v>
      </c>
      <c r="K165" s="1771"/>
      <c r="L165" s="1772"/>
      <c r="M165" s="1773" t="s">
        <v>2764</v>
      </c>
      <c r="N165" s="1774"/>
      <c r="O165" s="1775">
        <f>'Part III-Sources of Funds'!$I$41</f>
        <v>0</v>
      </c>
      <c r="P165" s="1775"/>
      <c r="Q165" s="1775"/>
      <c r="R165" s="1776"/>
      <c r="S165" s="424" t="s">
        <v>1675</v>
      </c>
      <c r="T165" s="3423"/>
      <c r="V165" s="3358"/>
      <c r="W165" s="3359"/>
      <c r="X165" s="3360"/>
    </row>
    <row r="166" spans="1:24" s="305" customFormat="1" ht="14.1" customHeight="1">
      <c r="B166" s="305" t="s">
        <v>1298</v>
      </c>
      <c r="J166" s="1777" t="str">
        <f>"/ 10"</f>
        <v>/ 10</v>
      </c>
      <c r="K166" s="1777"/>
      <c r="L166" s="1777"/>
      <c r="M166" s="1577"/>
      <c r="N166" s="494"/>
      <c r="O166" s="494"/>
      <c r="P166" s="494"/>
      <c r="Q166" s="494"/>
      <c r="R166" s="494"/>
      <c r="V166" s="1176"/>
      <c r="W166" s="3359"/>
      <c r="X166" s="3360"/>
    </row>
    <row r="167" spans="1:24" s="305" customFormat="1" ht="14.1" customHeight="1">
      <c r="B167" s="305" t="s">
        <v>1299</v>
      </c>
      <c r="J167" s="1762">
        <f>J165/10</f>
        <v>1348071.0349999999</v>
      </c>
      <c r="K167" s="1771"/>
      <c r="L167" s="1763"/>
      <c r="M167" s="324"/>
      <c r="N167" s="1637" t="s">
        <v>1300</v>
      </c>
      <c r="O167" s="1637"/>
      <c r="Q167" s="1637" t="s">
        <v>1812</v>
      </c>
      <c r="R167" s="1637"/>
      <c r="V167" s="3358"/>
      <c r="W167" s="3359"/>
      <c r="X167" s="3360"/>
    </row>
    <row r="168" spans="1:24" s="305" customFormat="1" ht="14.1" customHeight="1" thickBot="1">
      <c r="B168" s="305" t="s">
        <v>1496</v>
      </c>
      <c r="J168" s="1764">
        <f>N168+Q168</f>
        <v>1.4</v>
      </c>
      <c r="K168" s="1765"/>
      <c r="L168" s="1766"/>
      <c r="M168" s="1568" t="s">
        <v>1301</v>
      </c>
      <c r="N168" s="3424">
        <v>0.84</v>
      </c>
      <c r="O168" s="3425"/>
      <c r="P168" s="1568" t="s">
        <v>618</v>
      </c>
      <c r="Q168" s="3424">
        <v>0.56000000000000005</v>
      </c>
      <c r="R168" s="3425"/>
      <c r="V168" s="3358"/>
      <c r="W168" s="3359"/>
      <c r="X168" s="3360"/>
    </row>
    <row r="169" spans="1:24" s="305" customFormat="1" ht="14.1" customHeight="1" thickBot="1">
      <c r="B169" s="307" t="s">
        <v>1437</v>
      </c>
      <c r="J169" s="1702">
        <f>IF(J168=0,"",J167/J168)</f>
        <v>962907.88214285718</v>
      </c>
      <c r="K169" s="1767"/>
      <c r="L169" s="1703"/>
      <c r="M169" s="324"/>
      <c r="N169" s="1577"/>
      <c r="O169" s="1577"/>
      <c r="V169" s="3358"/>
      <c r="W169" s="3359"/>
      <c r="X169" s="3360"/>
    </row>
    <row r="170" spans="1:24" s="305" customFormat="1" ht="6" customHeight="1">
      <c r="J170" s="378"/>
      <c r="K170" s="378"/>
      <c r="L170" s="378"/>
      <c r="M170" s="324"/>
      <c r="N170" s="1578"/>
      <c r="O170" s="1578"/>
      <c r="V170" s="1176"/>
      <c r="W170" s="3359"/>
      <c r="X170" s="3360"/>
    </row>
    <row r="171" spans="1:24" s="305" customFormat="1" ht="16.350000000000001" customHeight="1">
      <c r="B171" s="307" t="s">
        <v>2918</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1769"/>
      <c r="L171" s="1770"/>
      <c r="M171" s="324"/>
      <c r="N171" s="1578"/>
      <c r="O171" s="1578"/>
      <c r="V171" s="3358"/>
      <c r="W171" s="3359"/>
      <c r="X171" s="3360"/>
    </row>
    <row r="172" spans="1:24" s="305" customFormat="1" ht="3" customHeight="1">
      <c r="J172" s="378"/>
      <c r="K172" s="378"/>
      <c r="L172" s="378"/>
      <c r="M172" s="324"/>
      <c r="N172" s="1578"/>
      <c r="O172" s="1578"/>
      <c r="V172" s="1176"/>
      <c r="W172" s="3403"/>
      <c r="X172" s="3404"/>
    </row>
    <row r="173" spans="1:24" s="305" customFormat="1" ht="16.350000000000001" customHeight="1">
      <c r="B173" s="307" t="s">
        <v>351</v>
      </c>
      <c r="J173" s="3426">
        <v>950000</v>
      </c>
      <c r="K173" s="3427"/>
      <c r="L173" s="3428"/>
      <c r="M173" s="379" t="str">
        <f>IF(J171=0,"",IF(J173&gt;J171,"ALLOCATION CANNOT EXCEED MAXIMUM - REVISE REQUEST!",""))</f>
        <v/>
      </c>
      <c r="N173" s="1578"/>
      <c r="O173" s="1578"/>
      <c r="V173" s="3358"/>
      <c r="W173" s="3359"/>
      <c r="X173" s="3360"/>
    </row>
    <row r="174" spans="1:24" s="305" customFormat="1" ht="3" customHeight="1">
      <c r="J174" s="378"/>
      <c r="K174" s="378"/>
      <c r="L174" s="378"/>
      <c r="M174" s="324"/>
      <c r="N174" s="1578"/>
      <c r="O174" s="1578"/>
      <c r="V174" s="1176"/>
      <c r="W174" s="3403"/>
      <c r="X174" s="3404"/>
    </row>
    <row r="175" spans="1:24" s="305" customFormat="1" ht="16.350000000000001" customHeight="1">
      <c r="A175" s="438" t="s">
        <v>1805</v>
      </c>
      <c r="B175" s="438" t="s">
        <v>2637</v>
      </c>
      <c r="D175" s="324"/>
      <c r="E175" s="324"/>
      <c r="F175" s="310"/>
      <c r="J175" s="1778">
        <f>IF(J173="",0,+MIN(J171,J173))</f>
        <v>950000</v>
      </c>
      <c r="K175" s="1779"/>
      <c r="L175" s="1780"/>
      <c r="N175" s="3429"/>
      <c r="O175" s="3429"/>
      <c r="P175" s="3429"/>
      <c r="Q175" s="3429"/>
      <c r="R175" s="3429"/>
      <c r="S175" s="3429"/>
      <c r="T175" s="3429"/>
      <c r="V175" s="3358"/>
      <c r="W175" s="3359"/>
      <c r="X175" s="3360"/>
    </row>
    <row r="176" spans="1:24" ht="3" customHeight="1"/>
    <row r="177" spans="1:24" ht="6" customHeight="1"/>
    <row r="178" spans="1:24" ht="12" customHeight="1">
      <c r="A178" s="307" t="s">
        <v>1807</v>
      </c>
      <c r="B178" s="333" t="s">
        <v>577</v>
      </c>
      <c r="N178" s="307" t="s">
        <v>535</v>
      </c>
      <c r="O178" s="307" t="s">
        <v>80</v>
      </c>
    </row>
    <row r="179" spans="1:24" ht="352.5" customHeight="1">
      <c r="A179" s="3316" t="s">
        <v>4735</v>
      </c>
      <c r="B179" s="3316"/>
      <c r="C179" s="3316"/>
      <c r="D179" s="3316"/>
      <c r="E179" s="3316"/>
      <c r="F179" s="3316"/>
      <c r="G179" s="3316"/>
      <c r="H179" s="3316"/>
      <c r="I179" s="3316"/>
      <c r="J179" s="3316"/>
      <c r="K179" s="3316"/>
      <c r="L179" s="3316"/>
      <c r="M179" s="3316"/>
      <c r="N179" s="3430"/>
      <c r="O179" s="3430"/>
      <c r="P179" s="3430"/>
      <c r="Q179" s="3430"/>
      <c r="R179" s="3430"/>
      <c r="S179" s="3430"/>
      <c r="T179" s="3430"/>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XL5b2zY9NcOBEprJFogoInHGg1rK64QdkKRNQ0TvLdkJSkeMFiQrpd3vZNDRKrhI4qK7NF5ZVqP1N3g0fKEkmw==" saltValue="xIG8vtTpkhFuJg4VRRPAM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workbookViewId="0">
      <selection activeCell="A2"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2018-045 - Altoview Terrace  -  Rome  -  Floyd,  County</v>
      </c>
      <c r="B1" s="1840"/>
      <c r="C1" s="1840"/>
      <c r="D1" s="1840"/>
      <c r="E1" s="1840"/>
      <c r="F1" s="1840"/>
      <c r="G1" s="1840"/>
      <c r="H1" s="1840"/>
      <c r="I1" s="1008"/>
      <c r="J1" s="1008"/>
      <c r="K1" s="1008"/>
      <c r="L1" s="1008"/>
      <c r="M1" s="1008"/>
      <c r="N1" s="1008"/>
    </row>
    <row r="2" spans="1:14" ht="9" customHeight="1"/>
    <row r="3" spans="1:14" ht="57" customHeight="1">
      <c r="A3" s="3345" t="s">
        <v>3739</v>
      </c>
      <c r="B3" s="3346"/>
      <c r="C3" s="3346"/>
      <c r="D3" s="3346"/>
      <c r="E3" s="3346"/>
      <c r="F3" s="3346"/>
      <c r="G3" s="3346"/>
      <c r="H3" s="3347"/>
    </row>
    <row r="4" spans="1:14" ht="6" customHeight="1"/>
    <row r="5" spans="1:14" ht="38.25" customHeight="1">
      <c r="A5" s="1841" t="s">
        <v>3858</v>
      </c>
      <c r="B5" s="1841"/>
      <c r="C5" s="1841"/>
      <c r="D5" s="1841"/>
      <c r="F5" s="1009" t="s">
        <v>3730</v>
      </c>
      <c r="G5" s="592"/>
      <c r="H5" s="1009" t="s">
        <v>3731</v>
      </c>
    </row>
    <row r="6" spans="1:14" ht="6.75" customHeight="1">
      <c r="A6" s="592"/>
      <c r="B6" s="592"/>
      <c r="C6" s="592"/>
      <c r="D6" s="592"/>
    </row>
    <row r="7" spans="1:14" s="3348" customFormat="1" ht="4.5" customHeight="1">
      <c r="A7" s="1010"/>
      <c r="B7" s="1010"/>
      <c r="C7" s="1010"/>
      <c r="D7" s="1010"/>
      <c r="E7" s="1010"/>
      <c r="F7" s="1010"/>
      <c r="G7" s="1010"/>
    </row>
    <row r="8" spans="1:14" s="3348" customFormat="1">
      <c r="A8" s="1019" t="s">
        <v>103</v>
      </c>
      <c r="B8" s="1011"/>
      <c r="C8" s="1011"/>
      <c r="D8" s="1011"/>
      <c r="E8" s="1011"/>
      <c r="F8" s="1011"/>
      <c r="G8" s="1011"/>
      <c r="H8" s="1011"/>
    </row>
    <row r="9" spans="1:14" s="3348" customFormat="1" ht="41.25" customHeight="1">
      <c r="A9" s="1836" t="str">
        <f>'Part IV-A-Uses of Funds'!$C$14</f>
        <v>&lt;&lt; Enter description here; provide detail &amp; justification in tab Part IV-b &gt;&gt;</v>
      </c>
      <c r="B9" s="1837"/>
      <c r="C9" s="1837"/>
      <c r="D9" s="1838"/>
      <c r="F9" s="3349"/>
      <c r="G9" s="1011"/>
      <c r="H9" s="3349"/>
    </row>
    <row r="10" spans="1:14" s="3348" customFormat="1" ht="41.25" customHeight="1">
      <c r="A10" s="1833"/>
      <c r="B10" s="1834"/>
      <c r="C10" s="1834"/>
      <c r="D10" s="1835"/>
      <c r="F10" s="3350"/>
      <c r="G10" s="1011"/>
      <c r="H10" s="3350"/>
    </row>
    <row r="11" spans="1:14" s="3348" customFormat="1" ht="4.5" customHeight="1">
      <c r="F11" s="3350"/>
      <c r="G11" s="1011"/>
      <c r="H11" s="3350"/>
    </row>
    <row r="12" spans="1:14" s="3348" customFormat="1" ht="15" customHeight="1">
      <c r="A12" s="1018" t="s">
        <v>3733</v>
      </c>
      <c r="B12" s="1017">
        <f>'Part IV-A-Uses of Funds'!$G$14</f>
        <v>0</v>
      </c>
      <c r="C12" s="1018" t="s">
        <v>1803</v>
      </c>
      <c r="D12" s="1017">
        <f>'Part IV-A-Uses of Funds'!$J$14+'Part IV-A-Uses of Funds'!$M$14+'Part IV-A-Uses of Funds'!$P$14</f>
        <v>0</v>
      </c>
      <c r="F12" s="3350"/>
      <c r="G12" s="1011"/>
      <c r="H12" s="3350"/>
    </row>
    <row r="13" spans="1:14" s="3348" customFormat="1" ht="6" customHeight="1">
      <c r="A13" s="1011"/>
      <c r="B13" s="1012"/>
      <c r="C13" s="1011"/>
      <c r="D13" s="1011"/>
      <c r="F13" s="3350"/>
      <c r="G13" s="1013"/>
      <c r="H13" s="3350"/>
    </row>
    <row r="14" spans="1:14" s="3348" customFormat="1" ht="41.25" customHeight="1">
      <c r="A14" s="1836" t="str">
        <f>'Part IV-A-Uses of Funds'!$C$15</f>
        <v>&lt;&lt; Enter description here; provide detail &amp; justification in tab Part IV-b &gt;&gt;</v>
      </c>
      <c r="B14" s="1837"/>
      <c r="C14" s="1837"/>
      <c r="D14" s="1838"/>
      <c r="F14" s="3350"/>
      <c r="G14" s="1011"/>
      <c r="H14" s="3350"/>
    </row>
    <row r="15" spans="1:14" s="3348" customFormat="1" ht="41.25" customHeight="1">
      <c r="A15" s="1833"/>
      <c r="B15" s="1834"/>
      <c r="C15" s="1834"/>
      <c r="D15" s="1835"/>
      <c r="F15" s="3350"/>
      <c r="G15" s="1011"/>
      <c r="H15" s="3350"/>
    </row>
    <row r="16" spans="1:14" s="3348" customFormat="1" ht="4.5" customHeight="1">
      <c r="F16" s="3350"/>
      <c r="G16" s="1011"/>
      <c r="H16" s="3350"/>
    </row>
    <row r="17" spans="1:8" s="3348" customFormat="1" ht="15" customHeight="1">
      <c r="A17" s="1018" t="s">
        <v>3733</v>
      </c>
      <c r="B17" s="1017">
        <f>'Part IV-A-Uses of Funds'!$G$15</f>
        <v>0</v>
      </c>
      <c r="C17" s="1018" t="s">
        <v>1803</v>
      </c>
      <c r="D17" s="1017">
        <f>'Part IV-A-Uses of Funds'!$J$15+'Part IV-A-Uses of Funds'!$M$15+'Part IV-A-Uses of Funds'!$P$15</f>
        <v>0</v>
      </c>
      <c r="F17" s="3350"/>
      <c r="G17" s="1011"/>
      <c r="H17" s="3350"/>
    </row>
    <row r="18" spans="1:8" s="3348" customFormat="1" ht="6" customHeight="1">
      <c r="A18" s="1011"/>
      <c r="B18" s="1012"/>
      <c r="C18" s="1011"/>
      <c r="D18" s="1011"/>
      <c r="F18" s="3350"/>
      <c r="G18" s="1013"/>
      <c r="H18" s="3350"/>
    </row>
    <row r="19" spans="1:8" s="3348" customFormat="1" ht="41.25" customHeight="1">
      <c r="A19" s="1836" t="str">
        <f>'Part IV-A-Uses of Funds'!$C$16</f>
        <v>&lt;&lt; Enter description here; provide detail &amp; justification in tab Part IV-b &gt;&gt;</v>
      </c>
      <c r="B19" s="1837"/>
      <c r="C19" s="1837"/>
      <c r="D19" s="1838"/>
      <c r="F19" s="3350"/>
      <c r="G19" s="1011"/>
      <c r="H19" s="3350"/>
    </row>
    <row r="20" spans="1:8" s="3348" customFormat="1" ht="41.25" customHeight="1">
      <c r="A20" s="1833"/>
      <c r="B20" s="1834"/>
      <c r="C20" s="1834"/>
      <c r="D20" s="1835"/>
      <c r="F20" s="3350"/>
      <c r="G20" s="1011"/>
      <c r="H20" s="3350"/>
    </row>
    <row r="21" spans="1:8" s="3348" customFormat="1" ht="4.5" customHeight="1">
      <c r="F21" s="3350"/>
      <c r="G21" s="1011"/>
      <c r="H21" s="3350"/>
    </row>
    <row r="22" spans="1:8" s="3348" customFormat="1" ht="15" customHeight="1">
      <c r="A22" s="1018" t="s">
        <v>3733</v>
      </c>
      <c r="B22" s="1017">
        <f>'Part IV-A-Uses of Funds'!$G$16</f>
        <v>0</v>
      </c>
      <c r="C22" s="1018" t="s">
        <v>1803</v>
      </c>
      <c r="D22" s="1017">
        <f>'Part IV-A-Uses of Funds'!$J$16+'Part IV-A-Uses of Funds'!$M$16+'Part IV-A-Uses of Funds'!$P$16</f>
        <v>0</v>
      </c>
      <c r="F22" s="3350"/>
      <c r="G22" s="1011"/>
      <c r="H22" s="3350"/>
    </row>
    <row r="23" spans="1:8" s="3348" customFormat="1" ht="6" customHeight="1">
      <c r="A23" s="1011"/>
      <c r="B23" s="1012"/>
      <c r="C23" s="1011"/>
      <c r="D23" s="1011"/>
      <c r="F23" s="3351"/>
      <c r="G23" s="1013"/>
      <c r="H23" s="3351"/>
    </row>
    <row r="24" spans="1:8" s="3348" customFormat="1">
      <c r="A24" s="1019" t="s">
        <v>3732</v>
      </c>
      <c r="B24" s="1011"/>
      <c r="C24" s="1011"/>
      <c r="D24" s="1011"/>
      <c r="E24" s="1011"/>
      <c r="F24" s="1011"/>
      <c r="G24" s="1011"/>
    </row>
    <row r="25" spans="1:8" s="3348" customFormat="1" ht="41.25" customHeight="1">
      <c r="A25" s="1836" t="str">
        <f>'Part IV-A-Uses of Funds'!$C$41</f>
        <v>&lt;&lt; Enter description here; provide detail &amp; justification in tab Part IV-b &gt;&gt;</v>
      </c>
      <c r="B25" s="1837"/>
      <c r="C25" s="1837"/>
      <c r="D25" s="1838"/>
      <c r="E25" s="1011"/>
      <c r="F25" s="3352"/>
      <c r="G25" s="1011"/>
      <c r="H25" s="3352"/>
    </row>
    <row r="26" spans="1:8" s="3348" customFormat="1" ht="41.25" customHeight="1">
      <c r="A26" s="1833"/>
      <c r="B26" s="1834"/>
      <c r="C26" s="1834"/>
      <c r="D26" s="1835"/>
      <c r="E26" s="1011"/>
      <c r="F26" s="3353"/>
      <c r="G26" s="1011"/>
      <c r="H26" s="3353"/>
    </row>
    <row r="27" spans="1:8" s="3348" customFormat="1" ht="4.5" customHeight="1">
      <c r="A27" s="1011"/>
      <c r="B27" s="1011"/>
      <c r="C27" s="1011"/>
      <c r="D27" s="1011"/>
      <c r="E27" s="1011"/>
      <c r="F27" s="3353"/>
      <c r="G27" s="1011"/>
      <c r="H27" s="3353"/>
    </row>
    <row r="28" spans="1:8" s="3348" customFormat="1" ht="25.5">
      <c r="A28" s="1018" t="s">
        <v>3733</v>
      </c>
      <c r="B28" s="1017">
        <f>'Part IV-A-Uses of Funds'!$G$41</f>
        <v>0</v>
      </c>
      <c r="C28" s="1018" t="s">
        <v>1803</v>
      </c>
      <c r="D28" s="1017">
        <f>'Part IV-A-Uses of Funds'!$J$41+'Part IV-A-Uses of Funds'!$M$41+'Part IV-A-Uses of Funds'!$P$41</f>
        <v>0</v>
      </c>
      <c r="E28" s="1011"/>
      <c r="F28" s="3353"/>
      <c r="G28" s="1011"/>
      <c r="H28" s="3353"/>
    </row>
    <row r="29" spans="1:8" s="3348" customFormat="1" ht="6" customHeight="1">
      <c r="A29" s="1011"/>
      <c r="B29" s="1012"/>
      <c r="C29" s="1011"/>
      <c r="D29" s="1011"/>
      <c r="E29" s="1011"/>
      <c r="F29" s="3354"/>
      <c r="G29" s="1013"/>
      <c r="H29" s="3354"/>
    </row>
    <row r="30" spans="1:8" s="3348" customFormat="1">
      <c r="A30" s="1019" t="s">
        <v>730</v>
      </c>
      <c r="B30" s="1011"/>
      <c r="C30" s="1011"/>
      <c r="D30" s="1011"/>
      <c r="E30" s="1011"/>
      <c r="F30" s="1011"/>
      <c r="G30" s="1011"/>
    </row>
    <row r="31" spans="1:8" s="3348" customFormat="1" ht="41.25" customHeight="1">
      <c r="A31" s="1830">
        <f>'Part IV-A-Uses of Funds'!$C$62</f>
        <v>0</v>
      </c>
      <c r="B31" s="1831"/>
      <c r="C31" s="1831"/>
      <c r="D31" s="1832"/>
      <c r="E31" s="1011"/>
      <c r="F31" s="3349"/>
      <c r="G31" s="1011"/>
      <c r="H31" s="3349"/>
    </row>
    <row r="32" spans="1:8" s="3348" customFormat="1" ht="41.25" customHeight="1">
      <c r="A32" s="1833"/>
      <c r="B32" s="1834"/>
      <c r="C32" s="1834"/>
      <c r="D32" s="1835"/>
      <c r="E32" s="1011"/>
      <c r="F32" s="3350"/>
      <c r="G32" s="1011"/>
      <c r="H32" s="3350"/>
    </row>
    <row r="33" spans="1:8" s="3348" customFormat="1" ht="4.5" customHeight="1">
      <c r="A33" s="1011"/>
      <c r="B33" s="1011"/>
      <c r="C33" s="1011"/>
      <c r="D33" s="1011"/>
      <c r="E33" s="1011"/>
      <c r="F33" s="3350"/>
      <c r="G33" s="1011"/>
      <c r="H33" s="3350"/>
    </row>
    <row r="34" spans="1:8" s="3348" customFormat="1" ht="14.25" customHeight="1">
      <c r="A34" s="1018" t="s">
        <v>3733</v>
      </c>
      <c r="B34" s="1017">
        <f>'Part IV-A-Uses of Funds'!$G$62</f>
        <v>0</v>
      </c>
      <c r="C34" s="1018" t="s">
        <v>1803</v>
      </c>
      <c r="D34" s="1017">
        <f>'Part IV-A-Uses of Funds'!$J$62+'Part IV-A-Uses of Funds'!$M$62+'Part IV-A-Uses of Funds'!$P$62</f>
        <v>0</v>
      </c>
      <c r="E34" s="1011"/>
      <c r="F34" s="3350"/>
      <c r="G34" s="1011"/>
      <c r="H34" s="3350"/>
    </row>
    <row r="35" spans="1:8" s="3348" customFormat="1" ht="6" customHeight="1">
      <c r="D35" s="1011"/>
      <c r="E35" s="1011"/>
      <c r="F35" s="3350"/>
      <c r="G35" s="1013"/>
      <c r="H35" s="3350"/>
    </row>
    <row r="36" spans="1:8" s="3348" customFormat="1" ht="41.25" customHeight="1">
      <c r="A36" s="1830" t="str">
        <f>'Part IV-A-Uses of Funds'!$C$63</f>
        <v>&lt;&lt; Enter description here; provide detail &amp; justification in tab Part IV-b &gt;&gt;</v>
      </c>
      <c r="B36" s="1831"/>
      <c r="C36" s="1831"/>
      <c r="D36" s="1832"/>
      <c r="E36" s="1011"/>
      <c r="F36" s="3350"/>
      <c r="G36" s="1011"/>
      <c r="H36" s="3350"/>
    </row>
    <row r="37" spans="1:8" s="3348" customFormat="1" ht="41.25" customHeight="1">
      <c r="A37" s="1833"/>
      <c r="B37" s="1834"/>
      <c r="C37" s="1834"/>
      <c r="D37" s="1835"/>
      <c r="E37" s="1011"/>
      <c r="F37" s="3350"/>
      <c r="G37" s="1011"/>
      <c r="H37" s="3350"/>
    </row>
    <row r="38" spans="1:8" s="3348" customFormat="1" ht="4.5" customHeight="1">
      <c r="A38" s="1011"/>
      <c r="B38" s="1011"/>
      <c r="C38" s="1011"/>
      <c r="D38" s="1011"/>
      <c r="E38" s="1011"/>
      <c r="F38" s="3350"/>
      <c r="G38" s="1011"/>
      <c r="H38" s="3350"/>
    </row>
    <row r="39" spans="1:8" s="3348" customFormat="1" ht="14.25" customHeight="1">
      <c r="A39" s="1018" t="s">
        <v>3733</v>
      </c>
      <c r="B39" s="1017">
        <f>'Part IV-A-Uses of Funds'!$G$63</f>
        <v>0</v>
      </c>
      <c r="C39" s="1018" t="s">
        <v>1803</v>
      </c>
      <c r="D39" s="1017">
        <f>'Part IV-A-Uses of Funds'!$J$63+'Part IV-A-Uses of Funds'!$M$63+'Part IV-A-Uses of Funds'!$P$63</f>
        <v>0</v>
      </c>
      <c r="E39" s="1011"/>
      <c r="F39" s="3350"/>
      <c r="G39" s="1011"/>
      <c r="H39" s="3350"/>
    </row>
    <row r="40" spans="1:8" s="3348" customFormat="1" ht="6" customHeight="1">
      <c r="D40" s="1011"/>
      <c r="E40" s="1011"/>
      <c r="F40" s="3351"/>
      <c r="G40" s="1013"/>
      <c r="H40" s="3351"/>
    </row>
    <row r="41" spans="1:8" s="3348" customFormat="1">
      <c r="A41" s="1019" t="s">
        <v>480</v>
      </c>
      <c r="B41" s="1011"/>
      <c r="C41" s="1011"/>
      <c r="D41" s="1011"/>
      <c r="E41" s="1015"/>
      <c r="F41" s="1015"/>
      <c r="G41" s="1011"/>
    </row>
    <row r="42" spans="1:8" s="3348" customFormat="1" ht="41.25" customHeight="1">
      <c r="A42" s="1830" t="str">
        <f>'Part IV-A-Uses of Funds'!$C$76</f>
        <v>Landscape Architect</v>
      </c>
      <c r="B42" s="1831"/>
      <c r="C42" s="1831"/>
      <c r="D42" s="1832"/>
      <c r="F42" s="3352" t="s">
        <v>4668</v>
      </c>
      <c r="G42" s="1011"/>
      <c r="H42" s="3352" t="s">
        <v>4669</v>
      </c>
    </row>
    <row r="43" spans="1:8" s="3348" customFormat="1" ht="41.25" customHeight="1">
      <c r="A43" s="1833"/>
      <c r="B43" s="1834"/>
      <c r="C43" s="1834"/>
      <c r="D43" s="1835"/>
      <c r="E43" s="1011"/>
      <c r="F43" s="3353"/>
      <c r="G43" s="1011"/>
      <c r="H43" s="3353"/>
    </row>
    <row r="44" spans="1:8" s="3348" customFormat="1" ht="4.5" customHeight="1">
      <c r="A44" s="1011"/>
      <c r="B44" s="1011"/>
      <c r="C44" s="1011"/>
      <c r="D44" s="1011"/>
      <c r="E44" s="1011"/>
      <c r="F44" s="3353"/>
      <c r="G44" s="1011"/>
      <c r="H44" s="3353"/>
    </row>
    <row r="45" spans="1:8" s="3348" customFormat="1" ht="13.5" customHeight="1">
      <c r="A45" s="1018" t="s">
        <v>3733</v>
      </c>
      <c r="B45" s="1017">
        <f>'Part IV-A-Uses of Funds'!$G$76</f>
        <v>30000</v>
      </c>
      <c r="C45" s="1018" t="s">
        <v>1803</v>
      </c>
      <c r="D45" s="1017">
        <f>'Part IV-A-Uses of Funds'!$J$76+'Part IV-A-Uses of Funds'!$M$76+'Part IV-A-Uses of Funds'!$P$76</f>
        <v>30000</v>
      </c>
      <c r="E45" s="1011"/>
      <c r="F45" s="3353"/>
      <c r="G45" s="1011"/>
      <c r="H45" s="3353"/>
    </row>
    <row r="46" spans="1:8" s="3348" customFormat="1" ht="6" customHeight="1">
      <c r="A46" s="1011"/>
      <c r="B46" s="1012"/>
      <c r="C46" s="1011"/>
      <c r="D46" s="1011"/>
      <c r="E46" s="1011"/>
      <c r="F46" s="3354"/>
      <c r="G46" s="1013"/>
      <c r="H46" s="3354"/>
    </row>
    <row r="47" spans="1:8" s="3348" customFormat="1">
      <c r="A47" s="1019" t="s">
        <v>732</v>
      </c>
      <c r="B47" s="1011"/>
      <c r="C47" s="1011"/>
      <c r="D47" s="1011"/>
      <c r="E47" s="1011"/>
      <c r="F47" s="1011"/>
      <c r="G47" s="1011"/>
    </row>
    <row r="48" spans="1:8" s="3348" customFormat="1" ht="41.25" customHeight="1">
      <c r="A48" s="1830">
        <f>'Part IV-A-Uses of Funds'!$C$90</f>
        <v>0</v>
      </c>
      <c r="B48" s="1831"/>
      <c r="C48" s="1831"/>
      <c r="D48" s="1832"/>
      <c r="F48" s="3352"/>
      <c r="G48" s="1011"/>
    </row>
    <row r="49" spans="1:7" s="3348" customFormat="1" ht="41.25" customHeight="1">
      <c r="A49" s="1833"/>
      <c r="B49" s="1834"/>
      <c r="C49" s="1834"/>
      <c r="D49" s="1835"/>
      <c r="E49" s="1011"/>
      <c r="F49" s="3353"/>
      <c r="G49" s="1011"/>
    </row>
    <row r="50" spans="1:7" s="3348" customFormat="1" ht="3" customHeight="1">
      <c r="A50" s="1011"/>
      <c r="B50" s="1011"/>
      <c r="C50" s="1011"/>
      <c r="D50" s="1011"/>
      <c r="E50" s="1011"/>
      <c r="F50" s="3353"/>
      <c r="G50" s="1011"/>
    </row>
    <row r="51" spans="1:7" s="3348" customFormat="1" ht="13.5" customHeight="1">
      <c r="A51" s="1018" t="s">
        <v>3733</v>
      </c>
      <c r="B51" s="1017">
        <f>'Part IV-A-Uses of Funds'!$G$90</f>
        <v>0</v>
      </c>
      <c r="C51" s="1014"/>
      <c r="D51" s="1014"/>
      <c r="E51" s="1011"/>
      <c r="F51" s="3353"/>
      <c r="G51" s="1011"/>
    </row>
    <row r="52" spans="1:7" s="3348" customFormat="1" ht="3.75" customHeight="1">
      <c r="A52" s="1011"/>
      <c r="B52" s="1011"/>
      <c r="C52" s="1011"/>
      <c r="D52" s="1011"/>
      <c r="E52" s="1011"/>
      <c r="F52" s="3354"/>
      <c r="G52" s="1013"/>
    </row>
    <row r="53" spans="1:7" s="3348" customFormat="1">
      <c r="A53" s="1019" t="s">
        <v>3734</v>
      </c>
      <c r="B53" s="1011"/>
      <c r="C53" s="1011"/>
      <c r="D53" s="1011"/>
      <c r="E53" s="1011"/>
      <c r="F53" s="1011"/>
      <c r="G53" s="1011"/>
    </row>
    <row r="54" spans="1:7" s="3348" customFormat="1" ht="41.25" customHeight="1">
      <c r="A54" s="1830">
        <f>'Part IV-A-Uses of Funds'!$C$103</f>
        <v>0</v>
      </c>
      <c r="B54" s="1831"/>
      <c r="C54" s="1831"/>
      <c r="D54" s="1832"/>
      <c r="F54" s="3349"/>
      <c r="G54" s="1011"/>
    </row>
    <row r="55" spans="1:7" s="3348" customFormat="1" ht="41.25" customHeight="1">
      <c r="A55" s="1833"/>
      <c r="B55" s="1834"/>
      <c r="C55" s="1834"/>
      <c r="D55" s="1835"/>
      <c r="E55" s="1011"/>
      <c r="F55" s="3350"/>
      <c r="G55" s="1011"/>
    </row>
    <row r="56" spans="1:7" s="3348" customFormat="1" ht="3" customHeight="1">
      <c r="A56" s="1011"/>
      <c r="B56" s="1011"/>
      <c r="C56" s="1011"/>
      <c r="D56" s="1011"/>
      <c r="E56" s="1011"/>
      <c r="F56" s="3350"/>
      <c r="G56" s="1011"/>
    </row>
    <row r="57" spans="1:7" s="3348" customFormat="1" ht="25.5">
      <c r="A57" s="1018" t="s">
        <v>3733</v>
      </c>
      <c r="B57" s="1017">
        <f>'Part IV-A-Uses of Funds'!$G$103</f>
        <v>0</v>
      </c>
      <c r="C57" s="1014"/>
      <c r="D57" s="1014"/>
      <c r="E57" s="1011"/>
      <c r="F57" s="3350"/>
      <c r="G57" s="1011"/>
    </row>
    <row r="58" spans="1:7" s="3348" customFormat="1" ht="3.75" customHeight="1">
      <c r="A58" s="1010"/>
      <c r="B58" s="1010"/>
      <c r="C58" s="1010"/>
      <c r="D58" s="1010"/>
      <c r="E58" s="1010"/>
      <c r="F58" s="3350"/>
      <c r="G58" s="1013"/>
    </row>
    <row r="59" spans="1:7" s="3348" customFormat="1" ht="41.25" customHeight="1">
      <c r="A59" s="1830">
        <f>'Part IV-A-Uses of Funds'!$C$104</f>
        <v>0</v>
      </c>
      <c r="B59" s="1831"/>
      <c r="C59" s="1831"/>
      <c r="D59" s="1832"/>
      <c r="F59" s="3350"/>
      <c r="G59" s="1011"/>
    </row>
    <row r="60" spans="1:7" s="3348" customFormat="1" ht="41.25" customHeight="1">
      <c r="A60" s="1833"/>
      <c r="B60" s="1834"/>
      <c r="C60" s="1834"/>
      <c r="D60" s="1835"/>
      <c r="E60" s="1011"/>
      <c r="F60" s="3350"/>
      <c r="G60" s="1011"/>
    </row>
    <row r="61" spans="1:7" s="3348" customFormat="1" ht="3" customHeight="1">
      <c r="A61" s="1011"/>
      <c r="B61" s="1011"/>
      <c r="C61" s="1011"/>
      <c r="D61" s="1011"/>
      <c r="E61" s="1011"/>
      <c r="F61" s="3350"/>
      <c r="G61" s="1011"/>
    </row>
    <row r="62" spans="1:7" s="3348" customFormat="1" ht="25.5">
      <c r="A62" s="1018" t="s">
        <v>3733</v>
      </c>
      <c r="B62" s="1017">
        <f>'Part IV-A-Uses of Funds'!$G$104</f>
        <v>0</v>
      </c>
      <c r="C62" s="1014"/>
      <c r="D62" s="1014"/>
      <c r="E62" s="1011"/>
      <c r="F62" s="3350"/>
      <c r="G62" s="1011"/>
    </row>
    <row r="63" spans="1:7" s="3348" customFormat="1" ht="3.75" customHeight="1">
      <c r="A63" s="1010"/>
      <c r="B63" s="1010"/>
      <c r="C63" s="1010"/>
      <c r="D63" s="1010"/>
      <c r="E63" s="1010"/>
      <c r="F63" s="3351"/>
      <c r="G63" s="1013"/>
    </row>
    <row r="64" spans="1:7" s="3348" customFormat="1">
      <c r="A64" s="1019" t="s">
        <v>3735</v>
      </c>
      <c r="B64" s="1011"/>
      <c r="C64" s="1011"/>
      <c r="D64" s="1011"/>
      <c r="E64" s="1011"/>
      <c r="F64" s="1011"/>
      <c r="G64" s="1011"/>
    </row>
    <row r="65" spans="1:8" s="3348" customFormat="1" ht="41.25" customHeight="1">
      <c r="A65" s="1830" t="str">
        <f>'Part IV-A-Uses of Funds'!$C$110</f>
        <v>&lt;&lt; Enter description here; provide detail &amp; justification in tab Part IV-b &gt;&gt;</v>
      </c>
      <c r="B65" s="1831"/>
      <c r="C65" s="1831"/>
      <c r="D65" s="1832"/>
      <c r="F65" s="3352"/>
      <c r="G65" s="1011"/>
    </row>
    <row r="66" spans="1:8" s="3348" customFormat="1" ht="41.25" customHeight="1">
      <c r="A66" s="1833"/>
      <c r="B66" s="1834"/>
      <c r="C66" s="1834"/>
      <c r="D66" s="1835"/>
      <c r="E66" s="1011"/>
      <c r="F66" s="3353"/>
      <c r="G66" s="1011"/>
    </row>
    <row r="67" spans="1:8" s="3348" customFormat="1" ht="3" customHeight="1">
      <c r="A67" s="1011"/>
      <c r="B67" s="1011"/>
      <c r="C67" s="1011"/>
      <c r="D67" s="1011"/>
      <c r="E67" s="1011"/>
      <c r="F67" s="3353"/>
      <c r="G67" s="1011"/>
    </row>
    <row r="68" spans="1:8" s="3348" customFormat="1" ht="25.5">
      <c r="A68" s="1018" t="s">
        <v>3733</v>
      </c>
      <c r="B68" s="1017">
        <f>'Part IV-A-Uses of Funds'!$G$110</f>
        <v>0</v>
      </c>
      <c r="C68" s="1014"/>
      <c r="D68" s="1014"/>
      <c r="E68" s="1011"/>
      <c r="F68" s="3353"/>
      <c r="G68" s="1011"/>
    </row>
    <row r="69" spans="1:8" s="3348" customFormat="1" ht="3.75" customHeight="1">
      <c r="A69" s="1011"/>
      <c r="B69" s="1012"/>
      <c r="C69" s="1011"/>
      <c r="D69" s="1011"/>
      <c r="E69" s="1011"/>
      <c r="F69" s="3354"/>
      <c r="G69" s="1013"/>
    </row>
    <row r="70" spans="1:8" s="3348" customFormat="1">
      <c r="A70" s="1019" t="s">
        <v>1321</v>
      </c>
      <c r="B70" s="1011"/>
      <c r="C70" s="1011"/>
      <c r="D70" s="1011"/>
      <c r="E70" s="1011"/>
      <c r="F70" s="1011"/>
      <c r="G70" s="1011"/>
    </row>
    <row r="71" spans="1:8" s="3348" customFormat="1" ht="41.25" customHeight="1">
      <c r="A71" s="1830">
        <f>'Part IV-A-Uses of Funds'!$C$125</f>
        <v>0</v>
      </c>
      <c r="B71" s="1831"/>
      <c r="C71" s="1831"/>
      <c r="D71" s="1832"/>
      <c r="F71" s="3352"/>
      <c r="G71" s="1011"/>
      <c r="H71" s="3352"/>
    </row>
    <row r="72" spans="1:8" s="3348" customFormat="1" ht="41.25" customHeight="1">
      <c r="A72" s="1833"/>
      <c r="B72" s="1834"/>
      <c r="C72" s="1834"/>
      <c r="D72" s="1835"/>
      <c r="E72" s="1011"/>
      <c r="F72" s="3353"/>
      <c r="G72" s="1011"/>
      <c r="H72" s="3353"/>
    </row>
    <row r="73" spans="1:8" s="3348" customFormat="1" ht="4.5" customHeight="1">
      <c r="A73" s="1011"/>
      <c r="B73" s="1011"/>
      <c r="C73" s="1011"/>
      <c r="D73" s="1011"/>
      <c r="E73" s="1011"/>
      <c r="F73" s="3353"/>
      <c r="G73" s="1011"/>
      <c r="H73" s="3353"/>
    </row>
    <row r="74" spans="1:8" s="3348" customFormat="1" ht="12.75" customHeight="1">
      <c r="A74" s="1018" t="s">
        <v>3733</v>
      </c>
      <c r="B74" s="1017">
        <f>'Part IV-A-Uses of Funds'!$G$125</f>
        <v>0</v>
      </c>
      <c r="C74" s="1018" t="s">
        <v>1803</v>
      </c>
      <c r="D74" s="1017">
        <f>'Part IV-A-Uses of Funds'!$J$125+'Part IV-A-Uses of Funds'!$M$125+'Part IV-A-Uses of Funds'!$P$125</f>
        <v>0</v>
      </c>
      <c r="E74" s="1011"/>
      <c r="F74" s="3353"/>
      <c r="G74" s="1011"/>
      <c r="H74" s="3353"/>
    </row>
    <row r="75" spans="1:8" s="3348" customFormat="1" ht="6" customHeight="1">
      <c r="A75" s="1011"/>
      <c r="B75" s="1012"/>
      <c r="C75" s="1011"/>
      <c r="D75" s="1011"/>
      <c r="E75" s="1011"/>
      <c r="F75" s="3354"/>
      <c r="G75" s="1013"/>
      <c r="H75" s="3354"/>
    </row>
    <row r="76" spans="1:8" s="3348" customFormat="1">
      <c r="A76" s="1019" t="s">
        <v>3736</v>
      </c>
      <c r="B76" s="1012"/>
      <c r="C76" s="1011"/>
      <c r="D76" s="1011"/>
      <c r="E76" s="1011"/>
      <c r="F76" s="1011"/>
      <c r="G76" s="1013"/>
    </row>
    <row r="77" spans="1:8" s="3348" customFormat="1" ht="41.25" customHeight="1">
      <c r="A77" s="1830">
        <f>'Part IV-A-Uses of Funds'!$C$129</f>
        <v>0</v>
      </c>
      <c r="B77" s="1831"/>
      <c r="C77" s="1831"/>
      <c r="D77" s="1832"/>
      <c r="F77" s="3352"/>
      <c r="G77" s="1011"/>
      <c r="H77" s="3352"/>
    </row>
    <row r="78" spans="1:8" s="3348" customFormat="1" ht="41.25" customHeight="1">
      <c r="A78" s="1833"/>
      <c r="B78" s="1834"/>
      <c r="C78" s="1834"/>
      <c r="D78" s="1835"/>
      <c r="E78" s="1011"/>
      <c r="F78" s="3353"/>
      <c r="G78" s="1011"/>
      <c r="H78" s="3353"/>
    </row>
    <row r="79" spans="1:8" s="3348" customFormat="1" ht="4.5" customHeight="1">
      <c r="A79" s="1011"/>
      <c r="B79" s="1011"/>
      <c r="C79" s="1011"/>
      <c r="D79" s="1011"/>
      <c r="E79" s="1011"/>
      <c r="F79" s="3353"/>
      <c r="G79" s="1011"/>
      <c r="H79" s="3353"/>
    </row>
    <row r="80" spans="1:8" s="3348" customFormat="1" ht="12.75" customHeight="1">
      <c r="A80" s="1018" t="s">
        <v>3733</v>
      </c>
      <c r="B80" s="1017">
        <f>'Part IV-A-Uses of Funds'!$G$129</f>
        <v>0</v>
      </c>
      <c r="C80" s="1018" t="s">
        <v>1803</v>
      </c>
      <c r="D80" s="1017">
        <f>'Part IV-A-Uses of Funds'!$J$129+'Part IV-A-Uses of Funds'!$M$129+'Part IV-A-Uses of Funds'!$P$129</f>
        <v>0</v>
      </c>
      <c r="E80" s="1016"/>
      <c r="F80" s="3353"/>
      <c r="G80" s="1011"/>
      <c r="H80" s="3353"/>
    </row>
    <row r="81" spans="4:8" s="3348" customFormat="1" ht="6" customHeight="1">
      <c r="D81" s="1562"/>
      <c r="E81" s="3355"/>
      <c r="F81" s="3354"/>
      <c r="G81" s="1013"/>
      <c r="H81" s="3354"/>
    </row>
    <row r="82" spans="4:8" s="3348" customFormat="1"/>
    <row r="83" spans="4:8" s="3348" customFormat="1"/>
    <row r="84" spans="4:8" s="3348" customFormat="1"/>
    <row r="85" spans="4:8" s="3348" customFormat="1"/>
    <row r="86" spans="4:8" s="3348" customFormat="1"/>
    <row r="87" spans="4:8" s="3348" customFormat="1"/>
    <row r="88" spans="4:8" s="3348" customFormat="1"/>
    <row r="89" spans="4:8" s="3348" customFormat="1"/>
    <row r="90" spans="4:8" s="3348" customFormat="1"/>
    <row r="91" spans="4:8" s="3348" customFormat="1"/>
    <row r="92" spans="4:8" s="3348" customFormat="1"/>
  </sheetData>
  <sheetProtection algorithmName="SHA-512" hashValue="DggrmNIX4GX4yc1Ypnuhl7WE1LSX2XgIst+qm7ggdVsxj331sN+xJZzGp/auDbHUAPQoFrPlr05HbycobW/q/A==" saltValue="3zF+QGbaB9beWwrUinPNt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8" zoomScale="120" zoomScaleNormal="120" zoomScalePageLayoutView="120" workbookViewId="0">
      <selection activeCell="A2"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4.1" customHeight="1">
      <c r="A1" s="1845" t="str">
        <f>CONCATENATE("PART FIVE - UTILITY ALLOWANCES","  -  ",'Part I-Project Information'!$O$6," ",'Part I-Project Information'!$F$34,", ",'Part I-Project Information'!F38,", ",'Part I-Project Information'!J39," County")</f>
        <v>PART FIVE - UTILITY ALLOWANCES  -  2018-045 Altoview Terrace, Rome, Floyd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93" t="str">
        <f>VLOOKUP('Part I-Project Information'!$J$39,'DCA Underwriting Assumptions'!$G$155:$H$314,2)</f>
        <v>North</v>
      </c>
    </row>
    <row r="4" spans="1:20" s="8" customFormat="1" ht="6" customHeight="1"/>
    <row r="5" spans="1:20">
      <c r="A5" s="260" t="s">
        <v>3832</v>
      </c>
    </row>
    <row r="6" spans="1:20" ht="6" customHeight="1">
      <c r="A6" s="8"/>
    </row>
    <row r="7" spans="1:20" s="8" customFormat="1">
      <c r="A7" s="14" t="s">
        <v>622</v>
      </c>
      <c r="B7" s="14" t="s">
        <v>2243</v>
      </c>
      <c r="F7" s="8" t="s">
        <v>2536</v>
      </c>
      <c r="I7" s="3318" t="s">
        <v>4670</v>
      </c>
      <c r="J7" s="3319"/>
      <c r="K7" s="3319"/>
      <c r="L7" s="3319"/>
      <c r="M7" s="3320"/>
    </row>
    <row r="8" spans="1:20" s="8" customFormat="1" ht="13.35" customHeight="1">
      <c r="A8" s="14"/>
      <c r="F8" s="8" t="s">
        <v>642</v>
      </c>
      <c r="H8" s="28"/>
      <c r="I8" s="3321">
        <v>43018</v>
      </c>
      <c r="J8" s="3322"/>
      <c r="K8" s="63" t="s">
        <v>545</v>
      </c>
      <c r="L8" s="3323" t="s">
        <v>4620</v>
      </c>
      <c r="M8" s="3324"/>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9" t="s">
        <v>648</v>
      </c>
      <c r="G11" s="1589" t="s">
        <v>1864</v>
      </c>
      <c r="I11" s="255" t="s">
        <v>573</v>
      </c>
      <c r="J11" s="256">
        <v>1</v>
      </c>
      <c r="K11" s="256">
        <v>2</v>
      </c>
      <c r="L11" s="256">
        <v>3</v>
      </c>
      <c r="M11" s="256">
        <v>4</v>
      </c>
    </row>
    <row r="12" spans="1:20" s="8" customFormat="1" ht="12" customHeight="1">
      <c r="B12" s="1118" t="s">
        <v>1866</v>
      </c>
      <c r="C12" s="1119"/>
      <c r="D12" s="3325" t="s">
        <v>1608</v>
      </c>
      <c r="E12" s="3326"/>
      <c r="F12" s="3327" t="s">
        <v>443</v>
      </c>
      <c r="G12" s="3327"/>
      <c r="H12" s="1120"/>
      <c r="I12" s="3328"/>
      <c r="J12" s="3328">
        <v>16</v>
      </c>
      <c r="K12" s="3328">
        <v>21</v>
      </c>
      <c r="L12" s="3328">
        <v>25</v>
      </c>
      <c r="M12" s="3328">
        <v>32</v>
      </c>
      <c r="O12" s="1842" t="s">
        <v>3857</v>
      </c>
      <c r="P12" s="1842"/>
    </row>
    <row r="13" spans="1:20" s="8" customFormat="1" ht="12" customHeight="1">
      <c r="B13" s="1112" t="s">
        <v>1609</v>
      </c>
      <c r="C13" s="1109"/>
      <c r="D13" s="3329" t="s">
        <v>1608</v>
      </c>
      <c r="E13" s="3330"/>
      <c r="F13" s="3331" t="s">
        <v>443</v>
      </c>
      <c r="G13" s="3331"/>
      <c r="H13" s="1117"/>
      <c r="I13" s="3332"/>
      <c r="J13" s="3332">
        <v>8</v>
      </c>
      <c r="K13" s="3332">
        <v>11</v>
      </c>
      <c r="L13" s="3333">
        <v>13</v>
      </c>
      <c r="M13" s="3333">
        <v>17</v>
      </c>
      <c r="O13" s="1842"/>
      <c r="P13" s="1842"/>
    </row>
    <row r="14" spans="1:20" s="8" customFormat="1" ht="12" customHeight="1">
      <c r="B14" s="1115" t="s">
        <v>1610</v>
      </c>
      <c r="C14" s="1114"/>
      <c r="D14" s="3329" t="s">
        <v>1608</v>
      </c>
      <c r="E14" s="3330"/>
      <c r="F14" s="3331" t="s">
        <v>443</v>
      </c>
      <c r="G14" s="3331"/>
      <c r="H14" s="257"/>
      <c r="I14" s="3332"/>
      <c r="J14" s="3332">
        <v>23</v>
      </c>
      <c r="K14" s="3332">
        <v>30</v>
      </c>
      <c r="L14" s="3333">
        <v>47</v>
      </c>
      <c r="M14" s="3333">
        <v>46</v>
      </c>
      <c r="O14" s="1842"/>
      <c r="P14" s="1842"/>
    </row>
    <row r="15" spans="1:20" s="8" customFormat="1" ht="12" customHeight="1">
      <c r="B15" s="1110" t="s">
        <v>471</v>
      </c>
      <c r="C15" s="258"/>
      <c r="D15" s="1110" t="s">
        <v>1608</v>
      </c>
      <c r="E15" s="258"/>
      <c r="F15" s="3331"/>
      <c r="G15" s="3331"/>
      <c r="H15" s="1116"/>
      <c r="I15" s="3332"/>
      <c r="J15" s="3332"/>
      <c r="K15" s="3332"/>
      <c r="L15" s="3333"/>
      <c r="M15" s="3333"/>
      <c r="O15" s="1842"/>
      <c r="P15" s="1842"/>
    </row>
    <row r="16" spans="1:20" s="8" customFormat="1" ht="12" customHeight="1">
      <c r="B16" s="1111" t="s">
        <v>3829</v>
      </c>
      <c r="C16" s="1109"/>
      <c r="D16" s="1112" t="s">
        <v>1608</v>
      </c>
      <c r="E16" s="1109"/>
      <c r="F16" s="3331"/>
      <c r="G16" s="3331"/>
      <c r="H16" s="1117"/>
      <c r="I16" s="3332"/>
      <c r="J16" s="3332"/>
      <c r="K16" s="3332"/>
      <c r="L16" s="3333"/>
      <c r="M16" s="3333"/>
      <c r="O16" s="1842"/>
      <c r="P16" s="1842"/>
    </row>
    <row r="17" spans="1:19" s="8" customFormat="1" ht="12" customHeight="1">
      <c r="B17" s="1111" t="s">
        <v>3830</v>
      </c>
      <c r="C17" s="1109"/>
      <c r="D17" s="1112" t="s">
        <v>1608</v>
      </c>
      <c r="E17" s="1109"/>
      <c r="F17" s="3331"/>
      <c r="G17" s="3331"/>
      <c r="H17" s="1117"/>
      <c r="I17" s="3332"/>
      <c r="J17" s="3332"/>
      <c r="K17" s="3332"/>
      <c r="L17" s="3333"/>
      <c r="M17" s="3333"/>
      <c r="O17" s="1842"/>
      <c r="P17" s="1842"/>
    </row>
    <row r="18" spans="1:19" s="8" customFormat="1" ht="12" customHeight="1">
      <c r="B18" s="1113" t="s">
        <v>3831</v>
      </c>
      <c r="C18" s="1114"/>
      <c r="D18" s="1115" t="s">
        <v>1608</v>
      </c>
      <c r="E18" s="1109"/>
      <c r="F18" s="3331" t="s">
        <v>443</v>
      </c>
      <c r="G18" s="3331"/>
      <c r="H18" s="257"/>
      <c r="I18" s="3332"/>
      <c r="J18" s="3332">
        <v>30</v>
      </c>
      <c r="K18" s="3332">
        <v>39</v>
      </c>
      <c r="L18" s="3333">
        <v>36</v>
      </c>
      <c r="M18" s="3333">
        <v>60</v>
      </c>
      <c r="O18" s="1842"/>
      <c r="P18" s="1842"/>
    </row>
    <row r="19" spans="1:19" s="8" customFormat="1" ht="12" customHeight="1">
      <c r="B19" s="1110" t="s">
        <v>1382</v>
      </c>
      <c r="C19" s="258"/>
      <c r="D19" s="668" t="s">
        <v>3490</v>
      </c>
      <c r="E19" s="3334" t="s">
        <v>3009</v>
      </c>
      <c r="F19" s="3331"/>
      <c r="G19" s="3331" t="s">
        <v>443</v>
      </c>
      <c r="H19" s="1116"/>
      <c r="I19" s="3332"/>
      <c r="J19" s="3332"/>
      <c r="K19" s="3332"/>
      <c r="L19" s="3333"/>
      <c r="M19" s="3333"/>
      <c r="O19" s="1842"/>
      <c r="P19" s="1842"/>
    </row>
    <row r="20" spans="1:19" s="8" customFormat="1" ht="12" customHeight="1">
      <c r="B20" s="1121" t="s">
        <v>1865</v>
      </c>
      <c r="C20" s="231"/>
      <c r="D20" s="259"/>
      <c r="E20" s="231"/>
      <c r="F20" s="3335"/>
      <c r="G20" s="3335" t="s">
        <v>443</v>
      </c>
      <c r="H20" s="1122"/>
      <c r="I20" s="3336"/>
      <c r="J20" s="3336"/>
      <c r="K20" s="3336"/>
      <c r="L20" s="3337"/>
      <c r="M20" s="3337"/>
      <c r="O20" s="1842"/>
      <c r="P20" s="1842"/>
    </row>
    <row r="21" spans="1:19" s="8" customFormat="1">
      <c r="B21" s="254" t="s">
        <v>1030</v>
      </c>
      <c r="D21" s="28"/>
      <c r="E21" s="28"/>
      <c r="F21" s="83"/>
      <c r="G21" s="83"/>
      <c r="I21" s="1589">
        <f>IF(SUM(I12:I20)=0,0,IF(OR($D12="&lt;&lt;Select Fuel &gt;&gt;",$D13="&lt;&lt;Select Fuel &gt;&gt;",$D14="&lt;&lt;Select Fuel &gt;&gt;"),"Select Fuel",IF($E19="&lt;Select&gt;","Submeter?",SUM(I12:I20))))</f>
        <v>0</v>
      </c>
      <c r="J21" s="1589">
        <f>IF(SUM(J12:J20)=0,0,IF(OR($D12="&lt;&lt;Select Fuel &gt;&gt;",$D13="&lt;&lt;Select Fuel &gt;&gt;",$D14="&lt;&lt;Select Fuel &gt;&gt;"),"Select Fuel",IF($E19="&lt;Select&gt;","Submeter?",SUM(J12:J20))))</f>
        <v>77</v>
      </c>
      <c r="K21" s="1589">
        <f>IF(SUM(K12:K20)=0,0,IF(OR($D12="&lt;&lt;Select Fuel &gt;&gt;",$D13="&lt;&lt;Select Fuel &gt;&gt;",$D14="&lt;&lt;Select Fuel &gt;&gt;"),"Select Fuel",IF($E19="&lt;Select&gt;","Submeter?",SUM(K12:K20))))</f>
        <v>101</v>
      </c>
      <c r="L21" s="1589">
        <f>IF(SUM(L12:L20)=0,0,IF(OR($D12="&lt;&lt;Select Fuel &gt;&gt;",$D13="&lt;&lt;Select Fuel &gt;&gt;",$D14="&lt;&lt;Select Fuel &gt;&gt;"),"Select Fuel",IF($E19="&lt;Select&gt;","Submeter?",SUM(L12:L20))))</f>
        <v>121</v>
      </c>
      <c r="M21" s="1589">
        <f>IF(SUM(M12:M20)=0,0,IF(OR($D12="&lt;&lt;Select Fuel &gt;&gt;",$D13="&lt;&lt;Select Fuel &gt;&gt;",$D14="&lt;&lt;Select Fuel &gt;&gt;"),"Select Fuel",IF($E19="&lt;Select&gt;","Submeter?",SUM(M12:M20))))</f>
        <v>155</v>
      </c>
    </row>
    <row r="22" spans="1:19" s="8" customFormat="1" ht="7.5" customHeight="1">
      <c r="M22" s="28"/>
      <c r="N22" s="28"/>
      <c r="O22" s="28"/>
      <c r="P22" s="28"/>
      <c r="Q22" s="28"/>
      <c r="R22" s="28"/>
      <c r="S22" s="28"/>
    </row>
    <row r="23" spans="1:19" s="8" customFormat="1">
      <c r="A23" s="14" t="s">
        <v>748</v>
      </c>
      <c r="B23" s="14" t="s">
        <v>2244</v>
      </c>
      <c r="F23" s="8" t="s">
        <v>2536</v>
      </c>
      <c r="I23" s="3338"/>
      <c r="J23" s="3319"/>
      <c r="K23" s="3319"/>
      <c r="L23" s="3319"/>
      <c r="M23" s="3320"/>
    </row>
    <row r="24" spans="1:19" s="8" customFormat="1" ht="13.35" customHeight="1">
      <c r="A24" s="14"/>
      <c r="B24" s="14"/>
      <c r="F24" s="8" t="s">
        <v>642</v>
      </c>
      <c r="H24" s="28"/>
      <c r="I24" s="3321"/>
      <c r="J24" s="3322"/>
      <c r="K24" s="63" t="s">
        <v>545</v>
      </c>
      <c r="L24" s="3323"/>
      <c r="M24" s="3324"/>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9" t="s">
        <v>648</v>
      </c>
      <c r="G27" s="1589" t="s">
        <v>1864</v>
      </c>
      <c r="I27" s="255" t="s">
        <v>573</v>
      </c>
      <c r="J27" s="256">
        <v>1</v>
      </c>
      <c r="K27" s="256">
        <v>2</v>
      </c>
      <c r="L27" s="256">
        <v>3</v>
      </c>
      <c r="M27" s="256">
        <v>4</v>
      </c>
    </row>
    <row r="28" spans="1:19" s="8" customFormat="1" ht="12" customHeight="1">
      <c r="B28" s="1118" t="s">
        <v>1866</v>
      </c>
      <c r="C28" s="1119"/>
      <c r="D28" s="3325" t="s">
        <v>1833</v>
      </c>
      <c r="E28" s="3326"/>
      <c r="F28" s="3327"/>
      <c r="G28" s="3327"/>
      <c r="H28" s="1120"/>
      <c r="I28" s="3328"/>
      <c r="J28" s="3328"/>
      <c r="K28" s="3328"/>
      <c r="L28" s="3328"/>
      <c r="M28" s="3328"/>
      <c r="O28" s="1842" t="s">
        <v>3857</v>
      </c>
      <c r="P28" s="1842"/>
    </row>
    <row r="29" spans="1:19" s="8" customFormat="1" ht="12" customHeight="1">
      <c r="B29" s="1112" t="s">
        <v>1609</v>
      </c>
      <c r="C29" s="1109"/>
      <c r="D29" s="3329" t="s">
        <v>1833</v>
      </c>
      <c r="E29" s="3330"/>
      <c r="F29" s="3331"/>
      <c r="G29" s="3331"/>
      <c r="H29" s="1117"/>
      <c r="I29" s="3332"/>
      <c r="J29" s="3332"/>
      <c r="K29" s="3332"/>
      <c r="L29" s="3333"/>
      <c r="M29" s="3333"/>
      <c r="O29" s="1842"/>
      <c r="P29" s="1842"/>
    </row>
    <row r="30" spans="1:19" s="8" customFormat="1" ht="12" customHeight="1">
      <c r="B30" s="1115" t="s">
        <v>1610</v>
      </c>
      <c r="C30" s="1114"/>
      <c r="D30" s="3329" t="s">
        <v>1833</v>
      </c>
      <c r="E30" s="3330"/>
      <c r="F30" s="3331"/>
      <c r="G30" s="3331"/>
      <c r="H30" s="257"/>
      <c r="I30" s="3332"/>
      <c r="J30" s="3332"/>
      <c r="K30" s="3332"/>
      <c r="L30" s="3333"/>
      <c r="M30" s="3333"/>
      <c r="O30" s="1842"/>
      <c r="P30" s="1842"/>
    </row>
    <row r="31" spans="1:19" s="8" customFormat="1" ht="12" customHeight="1">
      <c r="B31" s="1110" t="s">
        <v>471</v>
      </c>
      <c r="C31" s="258"/>
      <c r="D31" s="1110" t="s">
        <v>1608</v>
      </c>
      <c r="E31" s="258"/>
      <c r="F31" s="3331"/>
      <c r="G31" s="3331"/>
      <c r="H31" s="1116"/>
      <c r="I31" s="3332"/>
      <c r="J31" s="3332"/>
      <c r="K31" s="3332"/>
      <c r="L31" s="3333"/>
      <c r="M31" s="3333"/>
      <c r="O31" s="1842"/>
      <c r="P31" s="1842"/>
    </row>
    <row r="32" spans="1:19" s="8" customFormat="1" ht="12" customHeight="1">
      <c r="B32" s="1111" t="s">
        <v>3829</v>
      </c>
      <c r="C32" s="1109"/>
      <c r="D32" s="1112" t="s">
        <v>1608</v>
      </c>
      <c r="E32" s="1109"/>
      <c r="F32" s="3331"/>
      <c r="G32" s="3331"/>
      <c r="H32" s="1117"/>
      <c r="I32" s="3332"/>
      <c r="J32" s="3332"/>
      <c r="K32" s="3332"/>
      <c r="L32" s="3333"/>
      <c r="M32" s="3333"/>
      <c r="O32" s="1842"/>
      <c r="P32" s="1842"/>
    </row>
    <row r="33" spans="1:19" s="8" customFormat="1" ht="12" customHeight="1">
      <c r="B33" s="1111" t="s">
        <v>3830</v>
      </c>
      <c r="C33" s="1109"/>
      <c r="D33" s="1112" t="s">
        <v>1608</v>
      </c>
      <c r="E33" s="1109"/>
      <c r="F33" s="3331"/>
      <c r="G33" s="3331"/>
      <c r="H33" s="1117"/>
      <c r="I33" s="3332"/>
      <c r="J33" s="3332"/>
      <c r="K33" s="3332"/>
      <c r="L33" s="3333"/>
      <c r="M33" s="3333"/>
      <c r="O33" s="1842"/>
      <c r="P33" s="1842"/>
    </row>
    <row r="34" spans="1:19" s="8" customFormat="1" ht="12" customHeight="1">
      <c r="B34" s="1113" t="s">
        <v>3831</v>
      </c>
      <c r="C34" s="1114"/>
      <c r="D34" s="1115" t="s">
        <v>1608</v>
      </c>
      <c r="E34" s="1109"/>
      <c r="F34" s="3331"/>
      <c r="G34" s="3331"/>
      <c r="H34" s="257"/>
      <c r="I34" s="3332"/>
      <c r="J34" s="3332"/>
      <c r="K34" s="3332"/>
      <c r="L34" s="3333"/>
      <c r="M34" s="3333"/>
      <c r="O34" s="1842"/>
      <c r="P34" s="1842"/>
    </row>
    <row r="35" spans="1:19" s="8" customFormat="1" ht="12" customHeight="1">
      <c r="B35" s="1110" t="s">
        <v>1382</v>
      </c>
      <c r="C35" s="258"/>
      <c r="D35" s="668" t="s">
        <v>3490</v>
      </c>
      <c r="E35" s="3334" t="s">
        <v>203</v>
      </c>
      <c r="F35" s="3331"/>
      <c r="G35" s="3331"/>
      <c r="H35" s="1116"/>
      <c r="I35" s="3332"/>
      <c r="J35" s="3332"/>
      <c r="K35" s="3332"/>
      <c r="L35" s="3333"/>
      <c r="M35" s="3333"/>
      <c r="O35" s="1842"/>
      <c r="P35" s="1842"/>
    </row>
    <row r="36" spans="1:19" s="8" customFormat="1" ht="12" customHeight="1">
      <c r="B36" s="1121" t="s">
        <v>1865</v>
      </c>
      <c r="C36" s="231"/>
      <c r="D36" s="259"/>
      <c r="E36" s="231"/>
      <c r="F36" s="3335"/>
      <c r="G36" s="3335"/>
      <c r="H36" s="1122"/>
      <c r="I36" s="3336"/>
      <c r="J36" s="3336"/>
      <c r="K36" s="3336"/>
      <c r="L36" s="3337"/>
      <c r="M36" s="3337"/>
      <c r="O36" s="1842"/>
      <c r="P36" s="1842"/>
    </row>
    <row r="37" spans="1:19" s="8" customFormat="1">
      <c r="B37" s="254" t="s">
        <v>1030</v>
      </c>
      <c r="D37" s="28"/>
      <c r="E37" s="28"/>
      <c r="F37" s="83"/>
      <c r="G37" s="83"/>
      <c r="I37" s="1589">
        <f>IF(SUM(I28:I36)=0,0,IF(OR($D28="&lt;&lt;Select Fuel &gt;&gt;",$D30="&lt;&lt;Select Fuel &gt;&gt;",$D31="&lt;&lt;Select Fuel &gt;&gt;"),"Select Fuel",IF($E35="&lt;Select&gt;","Submeter?",SUM(I28:I36))))</f>
        <v>0</v>
      </c>
      <c r="J37" s="1589">
        <f>IF(SUM(J28:J36)=0,0,IF(OR($D28="&lt;&lt;Select Fuel &gt;&gt;",$D30="&lt;&lt;Select Fuel &gt;&gt;",$D31="&lt;&lt;Select Fuel &gt;&gt;"),"Select Fuel",IF($E35="&lt;Select&gt;","Submeter?",SUM(J28:J36))))</f>
        <v>0</v>
      </c>
      <c r="K37" s="1589">
        <f>IF(SUM(K28:K36)=0,0,IF(OR($D28="&lt;&lt;Select Fuel &gt;&gt;",$D30="&lt;&lt;Select Fuel &gt;&gt;",$D31="&lt;&lt;Select Fuel &gt;&gt;"),"Select Fuel",IF($E35="&lt;Select&gt;","Submeter?",SUM(K28:K36))))</f>
        <v>0</v>
      </c>
      <c r="L37" s="1589">
        <f>IF(SUM(L28:L36)=0,0,IF(OR($D28="&lt;&lt;Select Fuel &gt;&gt;",$D30="&lt;&lt;Select Fuel &gt;&gt;",$D31="&lt;&lt;Select Fuel &gt;&gt;"),"Select Fuel",IF($E35="&lt;Select&gt;","Submeter?",SUM(L28:L36))))</f>
        <v>0</v>
      </c>
      <c r="M37" s="1589">
        <f>IF(SUM(M28:M36)=0,0,IF(OR($D28="&lt;&lt;Select Fuel &gt;&gt;",$D30="&lt;&lt;Select Fuel &gt;&gt;",$D31="&lt;&lt;Select Fuel &gt;&gt;"),"Select Fuel",IF($E35="&lt;Select&gt;","Submeter?",SUM(M28:M36))))</f>
        <v>0</v>
      </c>
    </row>
    <row r="38" spans="1:19" ht="6" customHeight="1">
      <c r="A38" s="8"/>
    </row>
    <row r="39" spans="1:19" s="8" customFormat="1">
      <c r="B39" s="446" t="s">
        <v>3491</v>
      </c>
      <c r="D39" s="28"/>
      <c r="E39" s="28"/>
      <c r="F39" s="83"/>
      <c r="G39" s="83"/>
      <c r="I39" s="1589"/>
      <c r="J39" s="1589"/>
      <c r="K39" s="1589"/>
      <c r="L39" s="1589"/>
      <c r="M39" s="1589"/>
    </row>
    <row r="40" spans="1:19" s="8" customFormat="1" ht="12" customHeight="1">
      <c r="A40" s="14"/>
      <c r="B40" s="14" t="s">
        <v>577</v>
      </c>
      <c r="M40" s="28"/>
      <c r="N40" s="28"/>
      <c r="O40" s="28"/>
      <c r="P40" s="28"/>
      <c r="Q40" s="28"/>
      <c r="R40" s="28"/>
      <c r="S40" s="28"/>
    </row>
    <row r="41" spans="1:19" s="8" customFormat="1" ht="36.950000000000003" customHeight="1">
      <c r="B41" s="3339" t="s">
        <v>4731</v>
      </c>
      <c r="C41" s="3340"/>
      <c r="D41" s="3340"/>
      <c r="E41" s="3340"/>
      <c r="F41" s="3340"/>
      <c r="G41" s="3340"/>
      <c r="H41" s="3340"/>
      <c r="I41" s="3340"/>
      <c r="J41" s="3340"/>
      <c r="K41" s="3340"/>
      <c r="L41" s="3340"/>
      <c r="M41" s="3341"/>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42"/>
      <c r="C44" s="3343"/>
      <c r="D44" s="3343"/>
      <c r="E44" s="3343"/>
      <c r="F44" s="3343"/>
      <c r="G44" s="3343"/>
      <c r="H44" s="3343"/>
      <c r="I44" s="3343"/>
      <c r="J44" s="3343"/>
      <c r="K44" s="3343"/>
      <c r="L44" s="3343"/>
      <c r="M44" s="3344"/>
      <c r="N44" s="28"/>
      <c r="O44" s="1619"/>
      <c r="P44" s="1619"/>
      <c r="Q44" s="1619"/>
      <c r="R44" s="1619"/>
      <c r="S44" s="1619"/>
    </row>
  </sheetData>
  <sheetProtection algorithmName="SHA-512" hashValue="5bcKF38BDzRLcwTbOHym64DLteA2iHSvVF7kQXOpfDm4vd5AjjvTADqy3jY0K8SZowHct7BdhMssO6G3ZQJC+Q==" saltValue="TqVTsZBV89WP/X+h1UzJ1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2018-06-08T16:11:30Z</cp:lastPrinted>
  <dcterms:created xsi:type="dcterms:W3CDTF">2005-09-15T20:51:37Z</dcterms:created>
  <dcterms:modified xsi:type="dcterms:W3CDTF">2018-08-30T17:45:12Z</dcterms:modified>
</cp:coreProperties>
</file>