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8E79267D-05D8-49E7-88DE-7F8309313291}" xr6:coauthVersionLast="31" xr6:coauthVersionMax="31" xr10:uidLastSave="{00000000-0000-0000-0000-000000000000}"/>
  <bookViews>
    <workbookView xWindow="0" yWindow="0" windowWidth="19200" windowHeight="8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Narrative'!$A$1:$A$22</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B29" i="74"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G923" i="93"/>
  <c r="F924" i="93"/>
  <c r="G924" i="93"/>
  <c r="K915" i="93"/>
  <c r="J915" i="93"/>
  <c r="I915" i="93"/>
  <c r="H915" i="93"/>
  <c r="G915" i="93"/>
  <c r="K914" i="93"/>
  <c r="J914" i="93"/>
  <c r="I914" i="93"/>
  <c r="H914" i="93"/>
  <c r="G914" i="93"/>
  <c r="H910" i="93"/>
  <c r="I910" i="93"/>
  <c r="J910" i="93"/>
  <c r="K910" i="93"/>
  <c r="K912" i="93" s="1"/>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L901" i="93"/>
  <c r="K901" i="93"/>
  <c r="J901" i="93"/>
  <c r="I901" i="93"/>
  <c r="I903" i="93" s="1"/>
  <c r="H901" i="93"/>
  <c r="G901" i="93"/>
  <c r="P897" i="93"/>
  <c r="O897" i="93"/>
  <c r="N897" i="93"/>
  <c r="M897" i="93"/>
  <c r="L897" i="93"/>
  <c r="L898" i="93" s="1"/>
  <c r="K897" i="93"/>
  <c r="J897" i="93"/>
  <c r="I897" i="93"/>
  <c r="H897" i="93"/>
  <c r="G897" i="93"/>
  <c r="G898" i="93" s="1"/>
  <c r="P896" i="93"/>
  <c r="O896" i="93"/>
  <c r="N896" i="93"/>
  <c r="M896" i="93"/>
  <c r="L896" i="93"/>
  <c r="K896" i="93"/>
  <c r="J896" i="93"/>
  <c r="J898" i="93" s="1"/>
  <c r="I896" i="93"/>
  <c r="H896" i="93"/>
  <c r="G896" i="93"/>
  <c r="P893" i="93"/>
  <c r="P894" i="93" s="1"/>
  <c r="O893" i="93"/>
  <c r="N893" i="93"/>
  <c r="M893" i="93"/>
  <c r="L893" i="93"/>
  <c r="K893" i="93"/>
  <c r="K894" i="93" s="1"/>
  <c r="J893" i="93"/>
  <c r="I893" i="93"/>
  <c r="H893" i="93"/>
  <c r="H894" i="93" s="1"/>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M889" i="93" s="1"/>
  <c r="L887" i="93"/>
  <c r="K887" i="93"/>
  <c r="J887" i="93"/>
  <c r="J889" i="93" s="1"/>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FY783" i="93" s="1"/>
  <c r="P782" i="93"/>
  <c r="P781" i="93"/>
  <c r="P780" i="93"/>
  <c r="P779" i="93"/>
  <c r="P778" i="93"/>
  <c r="GR778" i="93" s="1"/>
  <c r="P777" i="93"/>
  <c r="P776" i="93"/>
  <c r="P775" i="93"/>
  <c r="HD775" i="93" s="1"/>
  <c r="P774" i="93"/>
  <c r="P773" i="93"/>
  <c r="P772" i="93"/>
  <c r="P771" i="93"/>
  <c r="P770" i="93"/>
  <c r="P769" i="93"/>
  <c r="P768" i="93"/>
  <c r="P767" i="93"/>
  <c r="FC767" i="93" s="1"/>
  <c r="O804" i="93"/>
  <c r="O803" i="93"/>
  <c r="O802" i="93"/>
  <c r="O801" i="93"/>
  <c r="O800" i="93"/>
  <c r="JF800" i="93" s="1"/>
  <c r="O799" i="93"/>
  <c r="O798" i="93"/>
  <c r="O797" i="93"/>
  <c r="O796" i="93"/>
  <c r="O795" i="93"/>
  <c r="O794" i="93"/>
  <c r="O793" i="93"/>
  <c r="O792" i="93"/>
  <c r="JH792" i="93" s="1"/>
  <c r="O791" i="93"/>
  <c r="O790" i="93"/>
  <c r="O789" i="93"/>
  <c r="O788" i="93"/>
  <c r="O787" i="93"/>
  <c r="O786" i="93"/>
  <c r="O785" i="93"/>
  <c r="O784" i="93"/>
  <c r="JK784" i="93" s="1"/>
  <c r="O783" i="93"/>
  <c r="O782" i="93"/>
  <c r="O781" i="93"/>
  <c r="EM781" i="93" s="1"/>
  <c r="O780" i="93"/>
  <c r="O779" i="93"/>
  <c r="O778" i="93"/>
  <c r="O777" i="93"/>
  <c r="O776" i="93"/>
  <c r="JG776" i="93" s="1"/>
  <c r="O775" i="93"/>
  <c r="O774" i="93"/>
  <c r="O773" i="93"/>
  <c r="IZ773" i="93" s="1"/>
  <c r="O772" i="93"/>
  <c r="O771" i="93"/>
  <c r="O770" i="93"/>
  <c r="O769" i="93"/>
  <c r="O768" i="93"/>
  <c r="JI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DC796" i="93" s="1"/>
  <c r="M795" i="93"/>
  <c r="M794" i="93"/>
  <c r="M793" i="93"/>
  <c r="M792" i="93"/>
  <c r="M791" i="93"/>
  <c r="M790" i="93"/>
  <c r="M789" i="93"/>
  <c r="M788" i="93"/>
  <c r="DA788" i="93" s="1"/>
  <c r="M787" i="93"/>
  <c r="M786" i="93"/>
  <c r="M785" i="93"/>
  <c r="CJ785" i="93" s="1"/>
  <c r="M784" i="93"/>
  <c r="M783" i="93"/>
  <c r="M782" i="93"/>
  <c r="M781" i="93"/>
  <c r="M780" i="93"/>
  <c r="EL780" i="93" s="1"/>
  <c r="M779" i="93"/>
  <c r="M778" i="93"/>
  <c r="M777" i="93"/>
  <c r="IL777" i="93" s="1"/>
  <c r="M776" i="93"/>
  <c r="M775" i="93"/>
  <c r="M774" i="93"/>
  <c r="M773" i="93"/>
  <c r="M772" i="93"/>
  <c r="DB772" i="93" s="1"/>
  <c r="M771" i="93"/>
  <c r="M770" i="93"/>
  <c r="M769" i="93"/>
  <c r="CZ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BS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JF783" i="93" s="1"/>
  <c r="E782" i="93"/>
  <c r="E781" i="93"/>
  <c r="E780" i="93"/>
  <c r="E779" i="93"/>
  <c r="E778" i="93"/>
  <c r="E777" i="93"/>
  <c r="E776" i="93"/>
  <c r="E775" i="93"/>
  <c r="JK775" i="93" s="1"/>
  <c r="E774" i="93"/>
  <c r="E773" i="93"/>
  <c r="E772" i="93"/>
  <c r="E771" i="93"/>
  <c r="E770" i="93"/>
  <c r="E769" i="93"/>
  <c r="E768" i="93"/>
  <c r="E767" i="93"/>
  <c r="JN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HK801" i="93" s="1"/>
  <c r="C800" i="93"/>
  <c r="C799" i="93"/>
  <c r="C798" i="93"/>
  <c r="C797" i="93"/>
  <c r="C796" i="93"/>
  <c r="C795" i="93"/>
  <c r="C794" i="93"/>
  <c r="C793" i="93"/>
  <c r="C792" i="93"/>
  <c r="C791" i="93"/>
  <c r="C790" i="93"/>
  <c r="HS790" i="93" s="1"/>
  <c r="C789" i="93"/>
  <c r="C788" i="93"/>
  <c r="C787" i="93"/>
  <c r="JI787" i="93" s="1"/>
  <c r="C786" i="93"/>
  <c r="C785" i="93"/>
  <c r="C784" i="93"/>
  <c r="C783" i="93"/>
  <c r="C782" i="93"/>
  <c r="HF782" i="93" s="1"/>
  <c r="C781" i="93"/>
  <c r="C780" i="93"/>
  <c r="C779" i="93"/>
  <c r="JI779" i="93" s="1"/>
  <c r="C778" i="93"/>
  <c r="C777" i="93"/>
  <c r="C776" i="93"/>
  <c r="C775" i="93"/>
  <c r="C774" i="93"/>
  <c r="JN774" i="93" s="1"/>
  <c r="C773" i="93"/>
  <c r="C772" i="93"/>
  <c r="C771" i="93"/>
  <c r="HV771" i="93" s="1"/>
  <c r="C770" i="93"/>
  <c r="C769" i="93"/>
  <c r="C768" i="93"/>
  <c r="C767" i="93"/>
  <c r="B768" i="93"/>
  <c r="B769" i="93"/>
  <c r="B770" i="93"/>
  <c r="B771" i="93"/>
  <c r="B772" i="93"/>
  <c r="B773" i="93"/>
  <c r="B774" i="93"/>
  <c r="B775" i="93"/>
  <c r="IH775" i="93" s="1"/>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S909" i="93"/>
  <c r="R904" i="93"/>
  <c r="S900" i="93"/>
  <c r="R895" i="93"/>
  <c r="S891" i="93"/>
  <c r="R886" i="93"/>
  <c r="R882" i="93"/>
  <c r="R881" i="93"/>
  <c r="R879" i="93"/>
  <c r="R869" i="93"/>
  <c r="R860" i="93"/>
  <c r="R842" i="93"/>
  <c r="R828" i="93"/>
  <c r="R824" i="93"/>
  <c r="R820" i="93"/>
  <c r="R810" i="93"/>
  <c r="JR805" i="93"/>
  <c r="FQ804" i="93"/>
  <c r="EZ804" i="93"/>
  <c r="HP801" i="93"/>
  <c r="GU801" i="93"/>
  <c r="GO801" i="93"/>
  <c r="FY801" i="93"/>
  <c r="EZ801" i="93"/>
  <c r="GI800" i="93"/>
  <c r="FF800" i="93"/>
  <c r="IB797" i="93"/>
  <c r="HZ797" i="93"/>
  <c r="HX797" i="93"/>
  <c r="HW797" i="93"/>
  <c r="HT797" i="93"/>
  <c r="HS797" i="93"/>
  <c r="HR797" i="93"/>
  <c r="HO797" i="93"/>
  <c r="HN797" i="93"/>
  <c r="HL797" i="93"/>
  <c r="HJ797" i="93"/>
  <c r="HH797" i="93"/>
  <c r="HG797" i="93"/>
  <c r="HD797" i="93"/>
  <c r="HC797" i="93"/>
  <c r="HB797" i="93"/>
  <c r="GY797" i="93"/>
  <c r="GX797" i="93"/>
  <c r="GV797" i="93"/>
  <c r="GT797" i="93"/>
  <c r="GR797" i="93"/>
  <c r="GQ797" i="93"/>
  <c r="GN797" i="93"/>
  <c r="GM797" i="93"/>
  <c r="GL797" i="93"/>
  <c r="GI797" i="93"/>
  <c r="GH797" i="93"/>
  <c r="GF797" i="93"/>
  <c r="GD797" i="93"/>
  <c r="GB797" i="93"/>
  <c r="GA797" i="93"/>
  <c r="FX797" i="93"/>
  <c r="FW797" i="93"/>
  <c r="FV797" i="93"/>
  <c r="FS797" i="93"/>
  <c r="FR797" i="93"/>
  <c r="FP797" i="93"/>
  <c r="FN797" i="93"/>
  <c r="FL797" i="93"/>
  <c r="FK797" i="93"/>
  <c r="FH797" i="93"/>
  <c r="FG797" i="93"/>
  <c r="FF797" i="93"/>
  <c r="FC797" i="93"/>
  <c r="FB797" i="93"/>
  <c r="EZ797" i="93"/>
  <c r="EX797" i="93"/>
  <c r="JI796" i="93"/>
  <c r="HQ796" i="93"/>
  <c r="HD796" i="93"/>
  <c r="GK796" i="93"/>
  <c r="FX796" i="93"/>
  <c r="FL796" i="93"/>
  <c r="FE796" i="93"/>
  <c r="EW794" i="93"/>
  <c r="JO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JP792" i="93"/>
  <c r="JG792" i="93"/>
  <c r="IA792" i="93"/>
  <c r="HS792" i="93"/>
  <c r="HR792" i="93"/>
  <c r="HK792" i="93"/>
  <c r="HC792" i="93"/>
  <c r="HB792" i="93"/>
  <c r="GU792" i="93"/>
  <c r="GM792" i="93"/>
  <c r="GL792" i="93"/>
  <c r="GE792" i="93"/>
  <c r="FW792" i="93"/>
  <c r="FV792" i="93"/>
  <c r="FO792" i="93"/>
  <c r="FG792" i="93"/>
  <c r="FF792" i="93"/>
  <c r="EY792" i="93"/>
  <c r="CX792" i="93"/>
  <c r="CW792" i="93"/>
  <c r="BU792" i="93"/>
  <c r="JP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J789" i="93"/>
  <c r="JO788" i="93"/>
  <c r="JN788" i="93"/>
  <c r="JK788" i="93"/>
  <c r="JJ788" i="93"/>
  <c r="JG788" i="93"/>
  <c r="JF788" i="93"/>
  <c r="JC788" i="93"/>
  <c r="IC788" i="93"/>
  <c r="HZ788" i="93"/>
  <c r="HY788" i="93"/>
  <c r="HV788" i="93"/>
  <c r="HU788" i="93"/>
  <c r="HR788" i="93"/>
  <c r="HQ788" i="93"/>
  <c r="HN788" i="93"/>
  <c r="HM788" i="93"/>
  <c r="HJ788" i="93"/>
  <c r="HI788" i="93"/>
  <c r="HF788" i="93"/>
  <c r="HE788" i="93"/>
  <c r="HB788" i="93"/>
  <c r="HA788" i="93"/>
  <c r="GX788" i="93"/>
  <c r="GW788" i="93"/>
  <c r="GT788" i="93"/>
  <c r="GS788" i="93"/>
  <c r="GP788" i="93"/>
  <c r="GO788" i="93"/>
  <c r="GL788" i="93"/>
  <c r="GK788" i="93"/>
  <c r="GH788" i="93"/>
  <c r="GG788" i="93"/>
  <c r="GD788" i="93"/>
  <c r="GC788" i="93"/>
  <c r="FZ788" i="93"/>
  <c r="FY788" i="93"/>
  <c r="FV788" i="93"/>
  <c r="FU788" i="93"/>
  <c r="FR788" i="93"/>
  <c r="FQ788" i="93"/>
  <c r="FO788" i="93"/>
  <c r="FN788" i="93"/>
  <c r="FM788" i="93"/>
  <c r="FK788" i="93"/>
  <c r="FJ788" i="93"/>
  <c r="FI788" i="93"/>
  <c r="FG788" i="93"/>
  <c r="FF788" i="93"/>
  <c r="FE788" i="93"/>
  <c r="FC788" i="93"/>
  <c r="FB788" i="93"/>
  <c r="FA788" i="93"/>
  <c r="EY788" i="93"/>
  <c r="EX788" i="93"/>
  <c r="EW788" i="93"/>
  <c r="DB788" i="93"/>
  <c r="CU788" i="93"/>
  <c r="BW788" i="93"/>
  <c r="AP786" i="93"/>
  <c r="JP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JQ784" i="93"/>
  <c r="JP784" i="93"/>
  <c r="JO784" i="93"/>
  <c r="JN784" i="93"/>
  <c r="JM784" i="93"/>
  <c r="JL784" i="93"/>
  <c r="JG784" i="93"/>
  <c r="J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GT783" i="93"/>
  <c r="DJ783" i="93"/>
  <c r="BW783" i="93"/>
  <c r="HP782" i="93"/>
  <c r="JO781" i="93"/>
  <c r="IN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CX781" i="93"/>
  <c r="CH781" i="93"/>
  <c r="BR781" i="93"/>
  <c r="BB781" i="93"/>
  <c r="AL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CZ780" i="93"/>
  <c r="CW780" i="93"/>
  <c r="BX780" i="93"/>
  <c r="BU780" i="93"/>
  <c r="GO779" i="93"/>
  <c r="EL779" i="93"/>
  <c r="IH778" i="93"/>
  <c r="CZ778" i="93"/>
  <c r="JN777" i="93"/>
  <c r="IH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DA777" i="93"/>
  <c r="AK777" i="93"/>
  <c r="JQ776" i="93"/>
  <c r="JP776" i="93"/>
  <c r="JO776" i="93"/>
  <c r="JN776" i="93"/>
  <c r="JM776" i="93"/>
  <c r="JK776" i="93"/>
  <c r="JH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IM775" i="93"/>
  <c r="HZ775" i="93"/>
  <c r="HI775" i="93"/>
  <c r="GH775" i="93"/>
  <c r="FR775" i="93"/>
  <c r="EW775" i="93"/>
  <c r="EH775" i="93"/>
  <c r="DR775" i="93"/>
  <c r="DF775" i="93"/>
  <c r="CY775" i="93"/>
  <c r="CM775" i="93"/>
  <c r="BY775" i="93"/>
  <c r="AM775" i="93"/>
  <c r="Y775" i="93"/>
  <c r="JN773" i="93"/>
  <c r="IX773" i="93"/>
  <c r="IM773" i="93"/>
  <c r="IH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DW773" i="93"/>
  <c r="DG773" i="93"/>
  <c r="DB773" i="93"/>
  <c r="CV773" i="93"/>
  <c r="CQ773" i="93"/>
  <c r="CL773" i="93"/>
  <c r="CF773" i="93"/>
  <c r="CA773" i="93"/>
  <c r="BV773" i="93"/>
  <c r="BP773" i="93"/>
  <c r="BK773" i="93"/>
  <c r="BF773" i="93"/>
  <c r="AZ773" i="93"/>
  <c r="AU773" i="93"/>
  <c r="AP773" i="93"/>
  <c r="AJ773" i="93"/>
  <c r="AE773" i="93"/>
  <c r="Z773" i="93"/>
  <c r="JQ772" i="93"/>
  <c r="JP772" i="93"/>
  <c r="JO772" i="93"/>
  <c r="JN772" i="93"/>
  <c r="JM772" i="93"/>
  <c r="JK772" i="93"/>
  <c r="JJ772" i="93"/>
  <c r="JG772" i="93"/>
  <c r="JF772" i="93"/>
  <c r="JC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C772" i="93"/>
  <c r="CX772" i="93"/>
  <c r="CU772" i="93"/>
  <c r="BV772" i="93"/>
  <c r="IA771" i="93"/>
  <c r="GZ771" i="93"/>
  <c r="GL771" i="93"/>
  <c r="FR771" i="93"/>
  <c r="FF771" i="93"/>
  <c r="AM770" i="93"/>
  <c r="HW769" i="93"/>
  <c r="DA769" i="93"/>
  <c r="BU769" i="93"/>
  <c r="JQ768" i="93"/>
  <c r="JP768" i="93"/>
  <c r="JO768" i="93"/>
  <c r="JN768" i="93"/>
  <c r="JM768" i="93"/>
  <c r="JJ768" i="93"/>
  <c r="J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C768" i="93"/>
  <c r="DB768" i="93"/>
  <c r="DA768" i="93"/>
  <c r="CZ768" i="93"/>
  <c r="CY768" i="93"/>
  <c r="CX768" i="93"/>
  <c r="CW768" i="93"/>
  <c r="CV768" i="93"/>
  <c r="CU768" i="93"/>
  <c r="CT768" i="93"/>
  <c r="BY768" i="93"/>
  <c r="BX768" i="93"/>
  <c r="BW768" i="93"/>
  <c r="BV768" i="93"/>
  <c r="BU768" i="93"/>
  <c r="HO767" i="93"/>
  <c r="FS767" i="93"/>
  <c r="U760" i="93"/>
  <c r="A758" i="93"/>
  <c r="U758" i="93" s="1"/>
  <c r="GI767" i="93" l="1"/>
  <c r="JK768" i="93"/>
  <c r="FJ771" i="93"/>
  <c r="GP771" i="93"/>
  <c r="CV772" i="93"/>
  <c r="DL773" i="93"/>
  <c r="JF773" i="93"/>
  <c r="FX775" i="93"/>
  <c r="HN775" i="93"/>
  <c r="JI776" i="93"/>
  <c r="DT777" i="93"/>
  <c r="JA777" i="93"/>
  <c r="FI779" i="93"/>
  <c r="BV780" i="93"/>
  <c r="CX780" i="93"/>
  <c r="DR781" i="93"/>
  <c r="HO783" i="93"/>
  <c r="JE784" i="93"/>
  <c r="BX788" i="93"/>
  <c r="FK801" i="93"/>
  <c r="IA801" i="93"/>
  <c r="N889" i="93"/>
  <c r="J894" i="93"/>
  <c r="N898" i="93"/>
  <c r="J903" i="93"/>
  <c r="JC768" i="93"/>
  <c r="BY769" i="93"/>
  <c r="JM771" i="93"/>
  <c r="GY767" i="93"/>
  <c r="JD768" i="93"/>
  <c r="JL768" i="93"/>
  <c r="CW769" i="93"/>
  <c r="FN771" i="93"/>
  <c r="GU771" i="93"/>
  <c r="BU772" i="93"/>
  <c r="CW772" i="93"/>
  <c r="DR773" i="93"/>
  <c r="GC775" i="93"/>
  <c r="HT775" i="93"/>
  <c r="JJ776" i="93"/>
  <c r="Y777" i="93"/>
  <c r="EO777" i="93"/>
  <c r="FY779" i="93"/>
  <c r="BW780" i="93"/>
  <c r="CY780" i="93"/>
  <c r="FO782" i="93"/>
  <c r="JF784" i="93"/>
  <c r="BY788" i="93"/>
  <c r="FT801" i="93"/>
  <c r="JN797" i="93"/>
  <c r="JF768" i="93"/>
  <c r="FV771" i="93"/>
  <c r="HF771" i="93"/>
  <c r="BW772" i="93"/>
  <c r="CY772" i="93"/>
  <c r="EB773" i="93"/>
  <c r="GN775" i="93"/>
  <c r="JD776" i="93"/>
  <c r="JL776" i="93"/>
  <c r="AV777" i="93"/>
  <c r="HE779" i="93"/>
  <c r="BY780" i="93"/>
  <c r="DA780" i="93"/>
  <c r="JH784" i="93"/>
  <c r="CW788" i="93"/>
  <c r="IA767" i="93"/>
  <c r="JM775" i="93"/>
  <c r="JO783" i="93"/>
  <c r="IJ773" i="93"/>
  <c r="CP781" i="93"/>
  <c r="EU777" i="93"/>
  <c r="M885" i="93"/>
  <c r="JG768" i="93"/>
  <c r="FZ771" i="93"/>
  <c r="HK771" i="93"/>
  <c r="BX772" i="93"/>
  <c r="CZ772" i="93"/>
  <c r="EH773" i="93"/>
  <c r="FB775" i="93"/>
  <c r="GS775" i="93"/>
  <c r="JE775" i="93"/>
  <c r="JE776" i="93"/>
  <c r="BE777" i="93"/>
  <c r="HU779" i="93"/>
  <c r="CT780" i="93"/>
  <c r="DB780" i="93"/>
  <c r="JI784" i="93"/>
  <c r="CX788" i="93"/>
  <c r="CV796" i="93"/>
  <c r="GQ801" i="93"/>
  <c r="L894" i="93"/>
  <c r="H898" i="93"/>
  <c r="P898" i="93"/>
  <c r="JH768" i="93"/>
  <c r="EM773" i="93"/>
  <c r="FH775" i="93"/>
  <c r="GX775" i="93"/>
  <c r="JF776" i="93"/>
  <c r="BU777" i="93"/>
  <c r="BU779" i="93"/>
  <c r="IX779" i="93"/>
  <c r="CU780" i="93"/>
  <c r="DC780" i="93"/>
  <c r="FC783" i="93"/>
  <c r="JJ784" i="93"/>
  <c r="BT785" i="93"/>
  <c r="FV787" i="93"/>
  <c r="CZ788" i="93"/>
  <c r="EX771" i="93"/>
  <c r="GD771" i="93"/>
  <c r="HP771" i="93"/>
  <c r="BY772" i="93"/>
  <c r="DA772" i="93"/>
  <c r="FB771" i="93"/>
  <c r="GH771" i="93"/>
  <c r="CT772" i="93"/>
  <c r="ER773" i="93"/>
  <c r="IR773" i="93"/>
  <c r="FM775" i="93"/>
  <c r="CK777" i="93"/>
  <c r="CZ779" i="93"/>
  <c r="JQ779" i="93"/>
  <c r="CV780" i="93"/>
  <c r="JC784" i="93"/>
  <c r="BU788" i="93"/>
  <c r="JM770" i="93"/>
  <c r="HX778" i="93"/>
  <c r="HY786" i="93"/>
  <c r="IH799" i="93"/>
  <c r="ID799" i="93"/>
  <c r="IE787" i="93"/>
  <c r="IG787" i="93"/>
  <c r="IH779" i="93"/>
  <c r="ID779" i="93"/>
  <c r="JN771" i="93"/>
  <c r="IC771" i="93"/>
  <c r="HY771" i="93"/>
  <c r="HU771" i="93"/>
  <c r="HQ771" i="93"/>
  <c r="HM771" i="93"/>
  <c r="HI771" i="93"/>
  <c r="HE771" i="93"/>
  <c r="HA771" i="93"/>
  <c r="GW771" i="93"/>
  <c r="GS771" i="93"/>
  <c r="JI791" i="93"/>
  <c r="IT791" i="93"/>
  <c r="HA791" i="93"/>
  <c r="GJ791" i="93"/>
  <c r="FT791" i="93"/>
  <c r="FD791" i="93"/>
  <c r="ET791" i="93"/>
  <c r="EF791" i="93"/>
  <c r="DR791" i="93"/>
  <c r="DC791" i="93"/>
  <c r="CY791" i="93"/>
  <c r="CI791" i="93"/>
  <c r="BY791" i="93"/>
  <c r="BU791" i="93"/>
  <c r="AN791" i="93"/>
  <c r="Z791" i="93"/>
  <c r="JH791" i="93"/>
  <c r="IN791" i="93"/>
  <c r="HT791" i="93"/>
  <c r="GS791" i="93"/>
  <c r="GC791" i="93"/>
  <c r="FM791" i="93"/>
  <c r="EY791" i="93"/>
  <c r="EN791" i="93"/>
  <c r="EA791" i="93"/>
  <c r="DL791" i="93"/>
  <c r="DB791" i="93"/>
  <c r="CW791" i="93"/>
  <c r="CH791" i="93"/>
  <c r="BX791" i="93"/>
  <c r="BB791" i="93"/>
  <c r="AI791" i="93"/>
  <c r="JL791" i="93"/>
  <c r="GK791" i="93"/>
  <c r="FE791" i="93"/>
  <c r="EH791" i="93"/>
  <c r="DF791" i="93"/>
  <c r="CN791" i="93"/>
  <c r="BV791" i="93"/>
  <c r="AA791" i="93"/>
  <c r="JB791" i="93"/>
  <c r="HQ791" i="93"/>
  <c r="GB791" i="93"/>
  <c r="EX791" i="93"/>
  <c r="DX791" i="93"/>
  <c r="DA791" i="93"/>
  <c r="CB791" i="93"/>
  <c r="AV791" i="93"/>
  <c r="HD791" i="93"/>
  <c r="EV791" i="93"/>
  <c r="CZ791" i="93"/>
  <c r="AP791" i="93"/>
  <c r="GR791" i="93"/>
  <c r="EM791" i="93"/>
  <c r="CP791" i="93"/>
  <c r="AF791" i="93"/>
  <c r="IV791" i="93"/>
  <c r="FU791" i="93"/>
  <c r="DS791" i="93"/>
  <c r="BZ791" i="93"/>
  <c r="BW791" i="93"/>
  <c r="IM791" i="93"/>
  <c r="FL791" i="93"/>
  <c r="DK791" i="93"/>
  <c r="JB781" i="93"/>
  <c r="IV781" i="93"/>
  <c r="IQ781" i="93"/>
  <c r="IZ781" i="93"/>
  <c r="IT781" i="93"/>
  <c r="EV781" i="93"/>
  <c r="EQ781" i="93"/>
  <c r="EL781" i="93"/>
  <c r="EF781" i="93"/>
  <c r="EA781" i="93"/>
  <c r="DV781" i="93"/>
  <c r="DP781" i="93"/>
  <c r="DK781" i="93"/>
  <c r="DF781" i="93"/>
  <c r="IY781" i="93"/>
  <c r="IR781" i="93"/>
  <c r="EU781" i="93"/>
  <c r="EP781" i="93"/>
  <c r="EJ781" i="93"/>
  <c r="EE781" i="93"/>
  <c r="DZ781" i="93"/>
  <c r="DT781" i="93"/>
  <c r="DO781" i="93"/>
  <c r="DJ781" i="93"/>
  <c r="DD781" i="93"/>
  <c r="IX781" i="93"/>
  <c r="ET781" i="93"/>
  <c r="EI781" i="93"/>
  <c r="DX781" i="93"/>
  <c r="DN781" i="93"/>
  <c r="JG781" i="93"/>
  <c r="IP781" i="93"/>
  <c r="EN781" i="93"/>
  <c r="ED781" i="93"/>
  <c r="DS781" i="93"/>
  <c r="DH781" i="93"/>
  <c r="CX769" i="93"/>
  <c r="FC771" i="93"/>
  <c r="FW771" i="93"/>
  <c r="GI771" i="93"/>
  <c r="GV771" i="93"/>
  <c r="HB771" i="93"/>
  <c r="HR771" i="93"/>
  <c r="HW771" i="93"/>
  <c r="IB771" i="93"/>
  <c r="JO771" i="93"/>
  <c r="AA773" i="93"/>
  <c r="AF773" i="93"/>
  <c r="AL773" i="93"/>
  <c r="AQ773" i="93"/>
  <c r="AV773" i="93"/>
  <c r="BB773" i="93"/>
  <c r="BG773" i="93"/>
  <c r="BL773" i="93"/>
  <c r="BR773" i="93"/>
  <c r="BW773" i="93"/>
  <c r="CB773" i="93"/>
  <c r="CH773" i="93"/>
  <c r="CM773" i="93"/>
  <c r="CR773" i="93"/>
  <c r="CX773" i="93"/>
  <c r="DC773" i="93"/>
  <c r="DH773" i="93"/>
  <c r="DN773" i="93"/>
  <c r="DS773" i="93"/>
  <c r="DX773" i="93"/>
  <c r="ED773" i="93"/>
  <c r="EI773" i="93"/>
  <c r="EN773" i="93"/>
  <c r="ET773" i="93"/>
  <c r="ID773" i="93"/>
  <c r="II773" i="93"/>
  <c r="IN773" i="93"/>
  <c r="IT773" i="93"/>
  <c r="IY773" i="93"/>
  <c r="JJ773" i="93"/>
  <c r="AC775" i="93"/>
  <c r="AX775" i="93"/>
  <c r="BU775" i="93"/>
  <c r="CC775" i="93"/>
  <c r="CS775" i="93"/>
  <c r="CZ775" i="93"/>
  <c r="DG775" i="93"/>
  <c r="DW775" i="93"/>
  <c r="EL775" i="93"/>
  <c r="EX775" i="93"/>
  <c r="FD775" i="93"/>
  <c r="FI775" i="93"/>
  <c r="FN775" i="93"/>
  <c r="FT775" i="93"/>
  <c r="FY775" i="93"/>
  <c r="GD775" i="93"/>
  <c r="GJ775" i="93"/>
  <c r="GO775" i="93"/>
  <c r="GT775" i="93"/>
  <c r="GZ775" i="93"/>
  <c r="HE775" i="93"/>
  <c r="HJ775" i="93"/>
  <c r="HP775" i="93"/>
  <c r="HU775" i="93"/>
  <c r="IA775" i="93"/>
  <c r="IS775" i="93"/>
  <c r="JF775" i="93"/>
  <c r="AC777" i="93"/>
  <c r="AN777" i="93"/>
  <c r="AW777" i="93"/>
  <c r="BI777" i="93"/>
  <c r="BY777" i="93"/>
  <c r="CO777" i="93"/>
  <c r="DE777" i="93"/>
  <c r="DY777" i="93"/>
  <c r="Y779" i="93"/>
  <c r="BY779" i="93"/>
  <c r="DF779" i="93"/>
  <c r="EW779" i="93"/>
  <c r="FM779" i="93"/>
  <c r="GC779" i="93"/>
  <c r="GS779" i="93"/>
  <c r="HI779" i="93"/>
  <c r="HY779" i="93"/>
  <c r="JE779" i="93"/>
  <c r="Z781" i="93"/>
  <c r="AP781" i="93"/>
  <c r="BF781" i="93"/>
  <c r="BV781" i="93"/>
  <c r="CL781" i="93"/>
  <c r="DB781" i="93"/>
  <c r="DW781" i="93"/>
  <c r="ER781" i="93"/>
  <c r="IU781" i="93"/>
  <c r="CG783" i="93"/>
  <c r="DY783" i="93"/>
  <c r="FI783" i="93"/>
  <c r="GD783" i="93"/>
  <c r="GY783" i="93"/>
  <c r="HW783" i="93"/>
  <c r="X785" i="93"/>
  <c r="IF795" i="93"/>
  <c r="IE795" i="93"/>
  <c r="IG783" i="93"/>
  <c r="IF783" i="93"/>
  <c r="JP775" i="93"/>
  <c r="JL775" i="93"/>
  <c r="JH775" i="93"/>
  <c r="JD775" i="93"/>
  <c r="IT775" i="93"/>
  <c r="II775" i="93"/>
  <c r="IB775" i="93"/>
  <c r="HX775" i="93"/>
  <c r="JN775" i="93"/>
  <c r="JI775" i="93"/>
  <c r="JC775" i="93"/>
  <c r="IO775" i="93"/>
  <c r="IC775" i="93"/>
  <c r="HW775" i="93"/>
  <c r="HS775" i="93"/>
  <c r="HO775" i="93"/>
  <c r="HK775" i="93"/>
  <c r="HG775" i="93"/>
  <c r="HC775" i="93"/>
  <c r="GY775" i="93"/>
  <c r="GU775" i="93"/>
  <c r="GQ775" i="93"/>
  <c r="GM775" i="93"/>
  <c r="GI775" i="93"/>
  <c r="GE775" i="93"/>
  <c r="GA775" i="93"/>
  <c r="FW775" i="93"/>
  <c r="FS775" i="93"/>
  <c r="FO775" i="93"/>
  <c r="FK775" i="93"/>
  <c r="FG775" i="93"/>
  <c r="FC775" i="93"/>
  <c r="EY775" i="93"/>
  <c r="EQ775" i="93"/>
  <c r="EG775" i="93"/>
  <c r="DV775" i="93"/>
  <c r="DK775" i="93"/>
  <c r="DB775" i="93"/>
  <c r="CX775" i="93"/>
  <c r="CO775" i="93"/>
  <c r="CD775" i="93"/>
  <c r="BW775" i="93"/>
  <c r="BJ775" i="93"/>
  <c r="AO775" i="93"/>
  <c r="AD775"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DE783" i="93"/>
  <c r="DA783" i="93"/>
  <c r="CU783" i="93"/>
  <c r="CL783" i="93"/>
  <c r="CB783" i="93"/>
  <c r="BV783" i="93"/>
  <c r="BI783" i="93"/>
  <c r="AN783" i="93"/>
  <c r="AC783" i="93"/>
  <c r="JN783" i="93"/>
  <c r="JI783" i="93"/>
  <c r="JD783" i="93"/>
  <c r="IW783" i="93"/>
  <c r="JL783" i="93"/>
  <c r="JC783" i="93"/>
  <c r="IL783" i="93"/>
  <c r="IB783" i="93"/>
  <c r="HT783" i="93"/>
  <c r="HN783" i="93"/>
  <c r="HI783" i="93"/>
  <c r="HC783" i="93"/>
  <c r="GX783" i="93"/>
  <c r="GS783" i="93"/>
  <c r="GM783" i="93"/>
  <c r="GH783" i="93"/>
  <c r="GC783" i="93"/>
  <c r="FW783" i="93"/>
  <c r="FR783" i="93"/>
  <c r="FM783" i="93"/>
  <c r="FG783" i="93"/>
  <c r="FB783" i="93"/>
  <c r="EW783" i="93"/>
  <c r="EJ783" i="93"/>
  <c r="DU783" i="93"/>
  <c r="DI783" i="93"/>
  <c r="CZ783" i="93"/>
  <c r="CR783" i="93"/>
  <c r="CC783" i="93"/>
  <c r="BU783" i="93"/>
  <c r="AX783" i="93"/>
  <c r="AG783" i="93"/>
  <c r="JJ783" i="93"/>
  <c r="JA783" i="93"/>
  <c r="IK783" i="93"/>
  <c r="HY783" i="93"/>
  <c r="HS783" i="93"/>
  <c r="HM783" i="93"/>
  <c r="HG783" i="93"/>
  <c r="HB783" i="93"/>
  <c r="GW783" i="93"/>
  <c r="GQ783" i="93"/>
  <c r="GL783" i="93"/>
  <c r="GG783" i="93"/>
  <c r="GA783" i="93"/>
  <c r="FV783" i="93"/>
  <c r="FQ783" i="93"/>
  <c r="FK783" i="93"/>
  <c r="FF783" i="93"/>
  <c r="FA783" i="93"/>
  <c r="ET783" i="93"/>
  <c r="EF783" i="93"/>
  <c r="DT783" i="93"/>
  <c r="DD783" i="93"/>
  <c r="CY783" i="93"/>
  <c r="CN783" i="93"/>
  <c r="BY783" i="93"/>
  <c r="BT783" i="93"/>
  <c r="AW783" i="93"/>
  <c r="AB783" i="93"/>
  <c r="JH783" i="93"/>
  <c r="HQ783" i="93"/>
  <c r="HF783" i="93"/>
  <c r="GU783" i="93"/>
  <c r="GK783" i="93"/>
  <c r="FZ783" i="93"/>
  <c r="FO783" i="93"/>
  <c r="FE783" i="93"/>
  <c r="EP783" i="93"/>
  <c r="DN783" i="93"/>
  <c r="CV783" i="93"/>
  <c r="BX783" i="93"/>
  <c r="AL783" i="93"/>
  <c r="IV783" i="93"/>
  <c r="HX783" i="93"/>
  <c r="HK783" i="93"/>
  <c r="HA783" i="93"/>
  <c r="GP783" i="93"/>
  <c r="GE783" i="93"/>
  <c r="FU783" i="93"/>
  <c r="FJ783" i="93"/>
  <c r="EY783" i="93"/>
  <c r="ED783" i="93"/>
  <c r="DC783" i="93"/>
  <c r="CH783" i="93"/>
  <c r="BR783" i="93"/>
  <c r="X783" i="93"/>
  <c r="HY799" i="93"/>
  <c r="EQ799" i="93"/>
  <c r="DA799" i="93"/>
  <c r="BV799" i="93"/>
  <c r="IY799" i="93"/>
  <c r="GC799" i="93"/>
  <c r="DW799" i="93"/>
  <c r="CR799" i="93"/>
  <c r="AI799" i="93"/>
  <c r="ER799" i="93"/>
  <c r="BX799" i="93"/>
  <c r="IX799" i="93"/>
  <c r="DN799" i="93"/>
  <c r="AA799" i="93"/>
  <c r="DB799" i="93"/>
  <c r="FM799" i="93"/>
  <c r="CP799" i="93"/>
  <c r="IK777" i="93"/>
  <c r="I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IJ777" i="93"/>
  <c r="I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IM777" i="93"/>
  <c r="IE777" i="93"/>
  <c r="CV777" i="93"/>
  <c r="CN777" i="93"/>
  <c r="CF777" i="93"/>
  <c r="BX777" i="93"/>
  <c r="BP777" i="93"/>
  <c r="BH777" i="93"/>
  <c r="AZ777" i="93"/>
  <c r="AR777" i="93"/>
  <c r="AJ777" i="93"/>
  <c r="AB777" i="93"/>
  <c r="II777" i="93"/>
  <c r="CZ777" i="93"/>
  <c r="CR777" i="93"/>
  <c r="CJ777" i="93"/>
  <c r="CB777" i="93"/>
  <c r="BT777" i="93"/>
  <c r="BL777" i="93"/>
  <c r="IK785" i="93"/>
  <c r="IG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IJ785" i="93"/>
  <c r="IM785" i="93"/>
  <c r="II785" i="93"/>
  <c r="IE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D785" i="93"/>
  <c r="CX785" i="93"/>
  <c r="CP785" i="93"/>
  <c r="CH785" i="93"/>
  <c r="BZ785" i="93"/>
  <c r="BR785" i="93"/>
  <c r="BJ785" i="93"/>
  <c r="BB785" i="93"/>
  <c r="AT785" i="93"/>
  <c r="AL785" i="93"/>
  <c r="AD785" i="93"/>
  <c r="IL785" i="93"/>
  <c r="CV785" i="93"/>
  <c r="CN785" i="93"/>
  <c r="CF785" i="93"/>
  <c r="BX785" i="93"/>
  <c r="BP785" i="93"/>
  <c r="BH785" i="93"/>
  <c r="AZ785" i="93"/>
  <c r="AR785" i="93"/>
  <c r="AJ785" i="93"/>
  <c r="AB785" i="93"/>
  <c r="CT785" i="93"/>
  <c r="CD785" i="93"/>
  <c r="BN785" i="93"/>
  <c r="AX785" i="93"/>
  <c r="AH785" i="93"/>
  <c r="IH785" i="93"/>
  <c r="CR785" i="93"/>
  <c r="CB785" i="93"/>
  <c r="BL785" i="93"/>
  <c r="AV785" i="93"/>
  <c r="AF785" i="93"/>
  <c r="IF785" i="93"/>
  <c r="DB785" i="93"/>
  <c r="CL785" i="93"/>
  <c r="BV785" i="93"/>
  <c r="BF785" i="93"/>
  <c r="AP785" i="93"/>
  <c r="Z785" i="93"/>
  <c r="IJ789" i="93"/>
  <c r="DA789" i="93"/>
  <c r="CS789" i="93"/>
  <c r="CK789" i="93"/>
  <c r="CC789" i="93"/>
  <c r="BU789" i="93"/>
  <c r="BM789" i="93"/>
  <c r="BG789" i="93"/>
  <c r="BB789" i="93"/>
  <c r="AW789" i="93"/>
  <c r="AQ789" i="93"/>
  <c r="AL789" i="93"/>
  <c r="AG789" i="93"/>
  <c r="AA789" i="93"/>
  <c r="IG789" i="93"/>
  <c r="CT789" i="93"/>
  <c r="CH789" i="93"/>
  <c r="BY789" i="93"/>
  <c r="BN789" i="93"/>
  <c r="BF789" i="93"/>
  <c r="AY789" i="93"/>
  <c r="AS789" i="93"/>
  <c r="AK789" i="93"/>
  <c r="AD789" i="93"/>
  <c r="W789" i="93"/>
  <c r="DB789" i="93"/>
  <c r="CP789" i="93"/>
  <c r="CG789" i="93"/>
  <c r="BV789" i="93"/>
  <c r="BK789" i="93"/>
  <c r="BE789" i="93"/>
  <c r="AX789" i="93"/>
  <c r="AP789" i="93"/>
  <c r="AI789" i="93"/>
  <c r="AC789" i="93"/>
  <c r="IK789" i="93"/>
  <c r="CX789" i="93"/>
  <c r="CO789" i="93"/>
  <c r="CD789" i="93"/>
  <c r="BR789" i="93"/>
  <c r="BJ789" i="93"/>
  <c r="BC789" i="93"/>
  <c r="AU789" i="93"/>
  <c r="AO789" i="93"/>
  <c r="AH789" i="93"/>
  <c r="Z789" i="93"/>
  <c r="CL789" i="93"/>
  <c r="BA789" i="93"/>
  <c r="Y789" i="93"/>
  <c r="BZ789" i="93"/>
  <c r="AT789" i="93"/>
  <c r="CW789" i="93"/>
  <c r="AE789" i="93"/>
  <c r="IF789" i="93"/>
  <c r="BQ789" i="93"/>
  <c r="BI789" i="93"/>
  <c r="IZ777" i="93"/>
  <c r="IU777" i="93"/>
  <c r="IO777" i="93"/>
  <c r="ER777" i="93"/>
  <c r="EM777" i="93"/>
  <c r="EG777" i="93"/>
  <c r="EB777" i="93"/>
  <c r="DW777" i="93"/>
  <c r="DQ777" i="93"/>
  <c r="DL777" i="93"/>
  <c r="DG777" i="93"/>
  <c r="JJ777" i="93"/>
  <c r="IY777" i="93"/>
  <c r="IS777" i="93"/>
  <c r="IN777" i="93"/>
  <c r="EV777" i="93"/>
  <c r="EQ777" i="93"/>
  <c r="EK777" i="93"/>
  <c r="EF777" i="93"/>
  <c r="EA777" i="93"/>
  <c r="DU777" i="93"/>
  <c r="DP777" i="93"/>
  <c r="DK777" i="93"/>
  <c r="DF777" i="93"/>
  <c r="IW777" i="93"/>
  <c r="ES777" i="93"/>
  <c r="EI777" i="93"/>
  <c r="DX777" i="93"/>
  <c r="DM777" i="93"/>
  <c r="DD777" i="93"/>
  <c r="JF777" i="93"/>
  <c r="IR777" i="93"/>
  <c r="EN777" i="93"/>
  <c r="EC777" i="93"/>
  <c r="DS777" i="93"/>
  <c r="DH777" i="93"/>
  <c r="IX789" i="93"/>
  <c r="EU789" i="93"/>
  <c r="EE789" i="93"/>
  <c r="DO789" i="93"/>
  <c r="IQ789" i="93"/>
  <c r="IY789" i="93"/>
  <c r="DZ789" i="93"/>
  <c r="DG789" i="93"/>
  <c r="IP789" i="93"/>
  <c r="EP789" i="93"/>
  <c r="DW789" i="93"/>
  <c r="EM789" i="93"/>
  <c r="DR789" i="93"/>
  <c r="EH789" i="93"/>
  <c r="IN793" i="93"/>
  <c r="EB793" i="93"/>
  <c r="DF793" i="93"/>
  <c r="JB793" i="93"/>
  <c r="EP793" i="93"/>
  <c r="DU793" i="93"/>
  <c r="EF793" i="93"/>
  <c r="DQ793" i="93"/>
  <c r="IR793" i="93"/>
  <c r="EL793" i="93"/>
  <c r="DJ793" i="93"/>
  <c r="IX793" i="93"/>
  <c r="EI797" i="93"/>
  <c r="EP797" i="93"/>
  <c r="FG767" i="93"/>
  <c r="GM767" i="93"/>
  <c r="BV769" i="93"/>
  <c r="DB769" i="93"/>
  <c r="EY771" i="93"/>
  <c r="FK771" i="93"/>
  <c r="FS771" i="93"/>
  <c r="GA771" i="93"/>
  <c r="GM771" i="93"/>
  <c r="HG771" i="93"/>
  <c r="BV767" i="93"/>
  <c r="FK767" i="93"/>
  <c r="GA767" i="93"/>
  <c r="GQ767" i="93"/>
  <c r="HG767" i="93"/>
  <c r="HW767" i="93"/>
  <c r="BW769" i="93"/>
  <c r="CU769" i="93"/>
  <c r="CY769" i="93"/>
  <c r="DC769" i="93"/>
  <c r="CP771" i="93"/>
  <c r="EZ771" i="93"/>
  <c r="FD771" i="93"/>
  <c r="FH771" i="93"/>
  <c r="FL771" i="93"/>
  <c r="FP771" i="93"/>
  <c r="FT771" i="93"/>
  <c r="FX771" i="93"/>
  <c r="GB771" i="93"/>
  <c r="GF771" i="93"/>
  <c r="GJ771" i="93"/>
  <c r="GN771" i="93"/>
  <c r="GR771" i="93"/>
  <c r="GX771" i="93"/>
  <c r="HC771" i="93"/>
  <c r="HH771" i="93"/>
  <c r="HN771" i="93"/>
  <c r="HS771" i="93"/>
  <c r="HX771" i="93"/>
  <c r="IL771" i="93"/>
  <c r="JP771" i="93"/>
  <c r="W773" i="93"/>
  <c r="AB773" i="93"/>
  <c r="AH773" i="93"/>
  <c r="AM773" i="93"/>
  <c r="AR773" i="93"/>
  <c r="AX773" i="93"/>
  <c r="BC773" i="93"/>
  <c r="BH773" i="93"/>
  <c r="BN773" i="93"/>
  <c r="BS773" i="93"/>
  <c r="BX773" i="93"/>
  <c r="CD773" i="93"/>
  <c r="CI773" i="93"/>
  <c r="CN773" i="93"/>
  <c r="CT773" i="93"/>
  <c r="CY773" i="93"/>
  <c r="DD773" i="93"/>
  <c r="DJ773" i="93"/>
  <c r="DO773" i="93"/>
  <c r="DT773" i="93"/>
  <c r="DZ773" i="93"/>
  <c r="EE773" i="93"/>
  <c r="EJ773" i="93"/>
  <c r="EP773" i="93"/>
  <c r="EU773" i="93"/>
  <c r="IE773" i="93"/>
  <c r="IP773" i="93"/>
  <c r="IU773" i="93"/>
  <c r="AH775" i="93"/>
  <c r="AY775" i="93"/>
  <c r="BV775" i="93"/>
  <c r="CH775" i="93"/>
  <c r="CT775" i="93"/>
  <c r="DA775" i="93"/>
  <c r="DM775" i="93"/>
  <c r="EA775" i="93"/>
  <c r="EM775" i="93"/>
  <c r="EZ775" i="93"/>
  <c r="FE775" i="93"/>
  <c r="FJ775" i="93"/>
  <c r="FP775" i="93"/>
  <c r="FU775" i="93"/>
  <c r="FZ775" i="93"/>
  <c r="GF775" i="93"/>
  <c r="GK775" i="93"/>
  <c r="GP775" i="93"/>
  <c r="GV775" i="93"/>
  <c r="HA775" i="93"/>
  <c r="HF775" i="93"/>
  <c r="HL775" i="93"/>
  <c r="HQ775" i="93"/>
  <c r="HV775" i="93"/>
  <c r="ID775" i="93"/>
  <c r="IX775" i="93"/>
  <c r="JG775" i="93"/>
  <c r="JO775" i="93"/>
  <c r="AF777" i="93"/>
  <c r="AO777" i="93"/>
  <c r="BA777" i="93"/>
  <c r="BM777" i="93"/>
  <c r="CC777" i="93"/>
  <c r="CS777" i="93"/>
  <c r="DI777" i="93"/>
  <c r="EE777" i="93"/>
  <c r="IQ777" i="93"/>
  <c r="AI779" i="93"/>
  <c r="CI779" i="93"/>
  <c r="DQ779" i="93"/>
  <c r="FA779" i="93"/>
  <c r="FQ779" i="93"/>
  <c r="GG779" i="93"/>
  <c r="GW779" i="93"/>
  <c r="HM779" i="93"/>
  <c r="IC779" i="93"/>
  <c r="AD781" i="93"/>
  <c r="AT781" i="93"/>
  <c r="BJ781" i="93"/>
  <c r="BZ781" i="93"/>
  <c r="DG781" i="93"/>
  <c r="EB781" i="93"/>
  <c r="JC781" i="93"/>
  <c r="AH783" i="93"/>
  <c r="CS783" i="93"/>
  <c r="EO783" i="93"/>
  <c r="FN783" i="93"/>
  <c r="GI783" i="93"/>
  <c r="HE783" i="93"/>
  <c r="IC783" i="93"/>
  <c r="AN785" i="93"/>
  <c r="CZ785" i="93"/>
  <c r="IF791" i="93"/>
  <c r="IH791" i="93"/>
  <c r="JP779" i="93"/>
  <c r="JL779" i="93"/>
  <c r="JH779" i="93"/>
  <c r="JD779" i="93"/>
  <c r="IT779" i="93"/>
  <c r="II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ES779" i="93"/>
  <c r="EH779" i="93"/>
  <c r="DW779" i="93"/>
  <c r="DM779" i="93"/>
  <c r="DC779" i="93"/>
  <c r="CY779" i="93"/>
  <c r="CS779" i="93"/>
  <c r="CH779" i="93"/>
  <c r="BX779" i="93"/>
  <c r="BS779" i="93"/>
  <c r="AX779" i="93"/>
  <c r="AH779" i="93"/>
  <c r="W779" i="93"/>
  <c r="JO779" i="93"/>
  <c r="JK779" i="93"/>
  <c r="JG779" i="93"/>
  <c r="JC779" i="93"/>
  <c r="IS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EQ779" i="93"/>
  <c r="EG779" i="93"/>
  <c r="DV779" i="93"/>
  <c r="DK779" i="93"/>
  <c r="DB779" i="93"/>
  <c r="CX779" i="93"/>
  <c r="CO779" i="93"/>
  <c r="CD779" i="93"/>
  <c r="BW779" i="93"/>
  <c r="BJ779" i="93"/>
  <c r="AO779" i="93"/>
  <c r="AD779" i="93"/>
  <c r="JN779" i="93"/>
  <c r="JF779" i="93"/>
  <c r="IO779" i="93"/>
  <c r="HZ779" i="93"/>
  <c r="HR779" i="93"/>
  <c r="HJ779" i="93"/>
  <c r="HB779" i="93"/>
  <c r="GT779" i="93"/>
  <c r="GL779" i="93"/>
  <c r="GD779" i="93"/>
  <c r="FV779" i="93"/>
  <c r="FN779" i="93"/>
  <c r="FF779" i="93"/>
  <c r="EX779" i="93"/>
  <c r="EC779" i="93"/>
  <c r="DG779" i="93"/>
  <c r="CW779" i="93"/>
  <c r="CC779" i="93"/>
  <c r="BI779" i="93"/>
  <c r="AC779" i="93"/>
  <c r="JJ779" i="93"/>
  <c r="IY779" i="93"/>
  <c r="HV779" i="93"/>
  <c r="HN779" i="93"/>
  <c r="HF779" i="93"/>
  <c r="GX779" i="93"/>
  <c r="GP779" i="93"/>
  <c r="GH779" i="93"/>
  <c r="FZ779" i="93"/>
  <c r="FR779" i="93"/>
  <c r="FJ779" i="93"/>
  <c r="FB779" i="93"/>
  <c r="EM779" i="93"/>
  <c r="DR779" i="93"/>
  <c r="DA779" i="93"/>
  <c r="CM779" i="93"/>
  <c r="BV779" i="93"/>
  <c r="AM779"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JM787" i="93"/>
  <c r="JE787" i="93"/>
  <c r="IU787" i="93"/>
  <c r="HU787" i="93"/>
  <c r="HJ787" i="93"/>
  <c r="HA787" i="93"/>
  <c r="GO787" i="93"/>
  <c r="GD787" i="93"/>
  <c r="FU787" i="93"/>
  <c r="FI787" i="93"/>
  <c r="EZ787" i="93"/>
  <c r="ET787" i="93"/>
  <c r="ED787" i="93"/>
  <c r="DO787" i="93"/>
  <c r="DC787" i="93"/>
  <c r="CU787" i="93"/>
  <c r="CK787" i="93"/>
  <c r="BY787" i="93"/>
  <c r="BQ787" i="93"/>
  <c r="AU787" i="93"/>
  <c r="AK787" i="93"/>
  <c r="Z787" i="93"/>
  <c r="JK787" i="93"/>
  <c r="JD787" i="93"/>
  <c r="IQ787" i="93"/>
  <c r="IC787" i="93"/>
  <c r="HR787" i="93"/>
  <c r="HI787" i="93"/>
  <c r="GW787" i="93"/>
  <c r="GL787" i="93"/>
  <c r="GC787" i="93"/>
  <c r="FQ787" i="93"/>
  <c r="FF787" i="93"/>
  <c r="EY787" i="93"/>
  <c r="EO787" i="93"/>
  <c r="DZ787" i="93"/>
  <c r="DN787" i="93"/>
  <c r="DA787" i="93"/>
  <c r="CT787" i="93"/>
  <c r="CG787" i="93"/>
  <c r="BW787" i="93"/>
  <c r="BM787" i="93"/>
  <c r="AQ787" i="93"/>
  <c r="AG787" i="93"/>
  <c r="JQ787" i="93"/>
  <c r="JJ787" i="93"/>
  <c r="JB787" i="93"/>
  <c r="IL787" i="93"/>
  <c r="HZ787" i="93"/>
  <c r="HQ787" i="93"/>
  <c r="HE787" i="93"/>
  <c r="GT787" i="93"/>
  <c r="GK787" i="93"/>
  <c r="FY787" i="93"/>
  <c r="FN787" i="93"/>
  <c r="FE787" i="93"/>
  <c r="EW787" i="93"/>
  <c r="EK787" i="93"/>
  <c r="DY787" i="93"/>
  <c r="DI787" i="93"/>
  <c r="CZ787" i="93"/>
  <c r="CQ787" i="93"/>
  <c r="CA787" i="93"/>
  <c r="BV787" i="93"/>
  <c r="BF787" i="93"/>
  <c r="AP787" i="93"/>
  <c r="AE787" i="93"/>
  <c r="IW787" i="93"/>
  <c r="HB787" i="93"/>
  <c r="FM787" i="93"/>
  <c r="DS787" i="93"/>
  <c r="BZ787" i="93"/>
  <c r="AA787" i="93"/>
  <c r="IK787" i="93"/>
  <c r="GS787" i="93"/>
  <c r="FA787" i="93"/>
  <c r="DE787" i="93"/>
  <c r="BU787" i="93"/>
  <c r="HY787" i="93"/>
  <c r="EU787" i="93"/>
  <c r="BB787" i="93"/>
  <c r="HM787" i="93"/>
  <c r="EI787" i="93"/>
  <c r="AL787" i="93"/>
  <c r="JP787" i="93"/>
  <c r="GG787" i="93"/>
  <c r="CY787" i="93"/>
  <c r="JG795" i="93"/>
  <c r="IU795" i="93"/>
  <c r="HB795" i="93"/>
  <c r="FV795" i="93"/>
  <c r="EY795" i="93"/>
  <c r="EN795" i="93"/>
  <c r="DY795" i="93"/>
  <c r="DK795" i="93"/>
  <c r="DB795" i="93"/>
  <c r="CW795" i="93"/>
  <c r="CI795" i="93"/>
  <c r="BX795" i="93"/>
  <c r="BD795" i="93"/>
  <c r="AC795" i="93"/>
  <c r="JF795" i="93"/>
  <c r="IR795" i="93"/>
  <c r="HA795" i="93"/>
  <c r="FU795" i="93"/>
  <c r="EX795" i="93"/>
  <c r="EK795" i="93"/>
  <c r="DX795" i="93"/>
  <c r="DI795" i="93"/>
  <c r="DA795" i="93"/>
  <c r="CR795" i="93"/>
  <c r="CC795" i="93"/>
  <c r="BW795" i="93"/>
  <c r="AY795" i="93"/>
  <c r="AB795" i="93"/>
  <c r="IZ795" i="93"/>
  <c r="HQ795" i="93"/>
  <c r="FE795" i="93"/>
  <c r="EE795" i="93"/>
  <c r="DC795" i="93"/>
  <c r="CK795" i="93"/>
  <c r="BU795" i="93"/>
  <c r="JK795" i="93"/>
  <c r="IM795" i="93"/>
  <c r="GL795" i="93"/>
  <c r="EU795" i="93"/>
  <c r="DS795" i="93"/>
  <c r="CZ795" i="93"/>
  <c r="CB795" i="93"/>
  <c r="AK795" i="93"/>
  <c r="HR795" i="93"/>
  <c r="EF795" i="93"/>
  <c r="CQ795" i="93"/>
  <c r="W795" i="93"/>
  <c r="JJ795" i="93"/>
  <c r="GK795" i="93"/>
  <c r="DP795" i="93"/>
  <c r="BY795" i="93"/>
  <c r="JA795" i="93"/>
  <c r="FF795" i="93"/>
  <c r="DD795" i="93"/>
  <c r="BV795" i="93"/>
  <c r="IK795" i="93"/>
  <c r="ES795" i="93"/>
  <c r="CY795" i="93"/>
  <c r="AI795" i="93"/>
  <c r="FK803" i="93"/>
  <c r="CZ803" i="93"/>
  <c r="IS803" i="93"/>
  <c r="ED803" i="93"/>
  <c r="CD803" i="93"/>
  <c r="HW803" i="93"/>
  <c r="BW803" i="93"/>
  <c r="GA803" i="93"/>
  <c r="DT803" i="93"/>
  <c r="DA803" i="93"/>
  <c r="A787" i="93"/>
  <c r="IK773" i="93"/>
  <c r="IG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IL781" i="93"/>
  <c r="IH781" i="93"/>
  <c r="ID781" i="93"/>
  <c r="IM781" i="93"/>
  <c r="IG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IK781" i="93"/>
  <c r="IF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IJ781" i="93"/>
  <c r="DC781" i="93"/>
  <c r="CU781" i="93"/>
  <c r="CM781" i="93"/>
  <c r="CE781" i="93"/>
  <c r="BW781" i="93"/>
  <c r="BO781" i="93"/>
  <c r="BG781" i="93"/>
  <c r="AY781" i="93"/>
  <c r="AQ781" i="93"/>
  <c r="AI781" i="93"/>
  <c r="AA781" i="93"/>
  <c r="IE781" i="93"/>
  <c r="CY781" i="93"/>
  <c r="CQ781" i="93"/>
  <c r="CI781" i="93"/>
  <c r="CA781" i="93"/>
  <c r="BS781" i="93"/>
  <c r="BK781" i="93"/>
  <c r="BC781" i="93"/>
  <c r="AU781" i="93"/>
  <c r="AM781" i="93"/>
  <c r="AE781" i="93"/>
  <c r="W781" i="93"/>
  <c r="CT793" i="93"/>
  <c r="CJ793" i="93"/>
  <c r="BY793" i="93"/>
  <c r="BN793" i="93"/>
  <c r="BD793" i="93"/>
  <c r="AS793" i="93"/>
  <c r="AH793" i="93"/>
  <c r="Z793" i="93"/>
  <c r="IJ793" i="93"/>
  <c r="DA793" i="93"/>
  <c r="CP793" i="93"/>
  <c r="CF793" i="93"/>
  <c r="BU793" i="93"/>
  <c r="BJ793" i="93"/>
  <c r="AZ793" i="93"/>
  <c r="AO793" i="93"/>
  <c r="AE793" i="93"/>
  <c r="W793" i="93"/>
  <c r="IH793" i="93"/>
  <c r="CV793" i="93"/>
  <c r="BZ793" i="93"/>
  <c r="BE793" i="93"/>
  <c r="AJ793" i="93"/>
  <c r="ID793" i="93"/>
  <c r="CO793" i="93"/>
  <c r="BT793" i="93"/>
  <c r="AX793" i="93"/>
  <c r="AD793" i="93"/>
  <c r="CZ793" i="93"/>
  <c r="BI793" i="93"/>
  <c r="CK793" i="93"/>
  <c r="AT793" i="93"/>
  <c r="CD793" i="93"/>
  <c r="AN793" i="93"/>
  <c r="BP793" i="93"/>
  <c r="AA793" i="93"/>
  <c r="BH797" i="93"/>
  <c r="CX797" i="93"/>
  <c r="AO797" i="93"/>
  <c r="BR797" i="93"/>
  <c r="AN797" i="93"/>
  <c r="IL797" i="93"/>
  <c r="CM797" i="93"/>
  <c r="X797" i="93"/>
  <c r="JA773" i="93"/>
  <c r="IW773" i="93"/>
  <c r="IS773" i="93"/>
  <c r="IO773" i="93"/>
  <c r="ES773" i="93"/>
  <c r="EO773" i="93"/>
  <c r="EK773" i="93"/>
  <c r="EG773" i="93"/>
  <c r="EC773" i="93"/>
  <c r="DY773" i="93"/>
  <c r="DU773" i="93"/>
  <c r="DQ773" i="93"/>
  <c r="DM773" i="93"/>
  <c r="DI773" i="93"/>
  <c r="DE773" i="93"/>
  <c r="JL785" i="93"/>
  <c r="IW785" i="93"/>
  <c r="IO785" i="93"/>
  <c r="EO785" i="93"/>
  <c r="EG785" i="93"/>
  <c r="DY785" i="93"/>
  <c r="DQ785" i="93"/>
  <c r="DI785" i="93"/>
  <c r="JH785" i="93"/>
  <c r="IV785" i="93"/>
  <c r="IN785" i="93"/>
  <c r="JA785" i="93"/>
  <c r="IS785" i="93"/>
  <c r="ES785" i="93"/>
  <c r="EK785" i="93"/>
  <c r="EC785" i="93"/>
  <c r="DU785" i="93"/>
  <c r="DM785" i="93"/>
  <c r="DE785" i="93"/>
  <c r="IR785" i="93"/>
  <c r="EN785" i="93"/>
  <c r="DX785" i="93"/>
  <c r="DH785" i="93"/>
  <c r="EJ785" i="93"/>
  <c r="DT785" i="93"/>
  <c r="DD785" i="93"/>
  <c r="IZ785" i="93"/>
  <c r="EV785" i="93"/>
  <c r="DP785" i="93"/>
  <c r="ER785" i="93"/>
  <c r="DL785" i="93"/>
  <c r="EF785" i="93"/>
  <c r="FW767" i="93"/>
  <c r="HC767" i="93"/>
  <c r="HS767" i="93"/>
  <c r="CT769" i="93"/>
  <c r="BI771" i="93"/>
  <c r="FG771" i="93"/>
  <c r="FO771" i="93"/>
  <c r="GE771" i="93"/>
  <c r="GQ771" i="93"/>
  <c r="HL771" i="93"/>
  <c r="EY767" i="93"/>
  <c r="FO767" i="93"/>
  <c r="GE767" i="93"/>
  <c r="GU767" i="93"/>
  <c r="HK767" i="93"/>
  <c r="BX769" i="93"/>
  <c r="CV769" i="93"/>
  <c r="EW771" i="93"/>
  <c r="FA771" i="93"/>
  <c r="FE771" i="93"/>
  <c r="FI771" i="93"/>
  <c r="FM771" i="93"/>
  <c r="FQ771" i="93"/>
  <c r="FU771" i="93"/>
  <c r="FY771" i="93"/>
  <c r="GC771" i="93"/>
  <c r="GG771" i="93"/>
  <c r="GK771" i="93"/>
  <c r="GO771" i="93"/>
  <c r="GT771" i="93"/>
  <c r="GY771" i="93"/>
  <c r="HD771" i="93"/>
  <c r="HJ771" i="93"/>
  <c r="HO771" i="93"/>
  <c r="HT771" i="93"/>
  <c r="HZ771" i="93"/>
  <c r="JB771" i="93"/>
  <c r="JQ771" i="93"/>
  <c r="X773" i="93"/>
  <c r="AD773" i="93"/>
  <c r="AI773" i="93"/>
  <c r="AN773" i="93"/>
  <c r="AT773" i="93"/>
  <c r="AY773" i="93"/>
  <c r="BD773" i="93"/>
  <c r="BJ773" i="93"/>
  <c r="BO773" i="93"/>
  <c r="BT773" i="93"/>
  <c r="BZ773" i="93"/>
  <c r="CE773" i="93"/>
  <c r="CJ773" i="93"/>
  <c r="CP773" i="93"/>
  <c r="CU773" i="93"/>
  <c r="CZ773" i="93"/>
  <c r="DF773" i="93"/>
  <c r="DK773" i="93"/>
  <c r="DP773" i="93"/>
  <c r="DV773" i="93"/>
  <c r="EA773" i="93"/>
  <c r="EF773" i="93"/>
  <c r="EL773" i="93"/>
  <c r="EQ773" i="93"/>
  <c r="EV773" i="93"/>
  <c r="IF773" i="93"/>
  <c r="IL773" i="93"/>
  <c r="IQ773" i="93"/>
  <c r="IV773" i="93"/>
  <c r="JB773" i="93"/>
  <c r="W775" i="93"/>
  <c r="AI775" i="93"/>
  <c r="BI775" i="93"/>
  <c r="BX775" i="93"/>
  <c r="CI775" i="93"/>
  <c r="CW775" i="93"/>
  <c r="DC775" i="93"/>
  <c r="DQ775" i="93"/>
  <c r="EC775" i="93"/>
  <c r="ES775" i="93"/>
  <c r="FA775" i="93"/>
  <c r="FF775" i="93"/>
  <c r="FL775" i="93"/>
  <c r="FQ775" i="93"/>
  <c r="FV775" i="93"/>
  <c r="GB775" i="93"/>
  <c r="GG775" i="93"/>
  <c r="GL775" i="93"/>
  <c r="GR775" i="93"/>
  <c r="GW775" i="93"/>
  <c r="HB775" i="93"/>
  <c r="HH775" i="93"/>
  <c r="HM775" i="93"/>
  <c r="HR775" i="93"/>
  <c r="HY775" i="93"/>
  <c r="IY775" i="93"/>
  <c r="JJ775" i="93"/>
  <c r="JQ775" i="93"/>
  <c r="X777" i="93"/>
  <c r="AG777" i="93"/>
  <c r="AS777" i="93"/>
  <c r="BD777" i="93"/>
  <c r="BQ777" i="93"/>
  <c r="CG777" i="93"/>
  <c r="CW777" i="93"/>
  <c r="DO777" i="93"/>
  <c r="EJ777" i="93"/>
  <c r="ID777" i="93"/>
  <c r="IV777" i="93"/>
  <c r="AY779" i="93"/>
  <c r="CT779" i="93"/>
  <c r="EA779" i="93"/>
  <c r="FE779" i="93"/>
  <c r="FU779" i="93"/>
  <c r="GK779" i="93"/>
  <c r="HA779" i="93"/>
  <c r="HQ779" i="93"/>
  <c r="IM779" i="93"/>
  <c r="JM779" i="93"/>
  <c r="AH781" i="93"/>
  <c r="AX781" i="93"/>
  <c r="BN781" i="93"/>
  <c r="CD781" i="93"/>
  <c r="CT781" i="93"/>
  <c r="DL781" i="93"/>
  <c r="EH781" i="93"/>
  <c r="II781" i="93"/>
  <c r="BH783" i="93"/>
  <c r="DB783" i="93"/>
  <c r="EX783" i="93"/>
  <c r="FS783" i="93"/>
  <c r="GO783" i="93"/>
  <c r="HJ783" i="93"/>
  <c r="IP783" i="93"/>
  <c r="BD785" i="93"/>
  <c r="EB785" i="93"/>
  <c r="CL787" i="93"/>
  <c r="AM789" i="93"/>
  <c r="JL792" i="93"/>
  <c r="JD792" i="93"/>
  <c r="HW792" i="93"/>
  <c r="HO792" i="93"/>
  <c r="HG792" i="93"/>
  <c r="GY792" i="93"/>
  <c r="GQ792" i="93"/>
  <c r="GI792" i="93"/>
  <c r="GA792" i="93"/>
  <c r="FS792" i="93"/>
  <c r="FK792" i="93"/>
  <c r="FC792" i="93"/>
  <c r="DB792" i="93"/>
  <c r="BY792" i="93"/>
  <c r="JK792" i="93"/>
  <c r="JC792" i="93"/>
  <c r="HV792" i="93"/>
  <c r="HN792" i="93"/>
  <c r="HF792" i="93"/>
  <c r="GX792" i="93"/>
  <c r="GP792" i="93"/>
  <c r="GH792" i="93"/>
  <c r="FZ792" i="93"/>
  <c r="FR792" i="93"/>
  <c r="FJ792" i="93"/>
  <c r="FB792" i="93"/>
  <c r="DA792" i="93"/>
  <c r="BX792" i="93"/>
  <c r="JQ796" i="93"/>
  <c r="IB796" i="93"/>
  <c r="HL796" i="93"/>
  <c r="GV796" i="93"/>
  <c r="GF796" i="93"/>
  <c r="FQ796" i="93"/>
  <c r="FI796" i="93"/>
  <c r="FA796" i="93"/>
  <c r="CZ796" i="93"/>
  <c r="BW796" i="93"/>
  <c r="JN796" i="93"/>
  <c r="HY796" i="93"/>
  <c r="HI796" i="93"/>
  <c r="GS796" i="93"/>
  <c r="GC796" i="93"/>
  <c r="FP796" i="93"/>
  <c r="FH796" i="93"/>
  <c r="EZ796" i="93"/>
  <c r="CY796" i="93"/>
  <c r="BV796" i="93"/>
  <c r="HQ800" i="93"/>
  <c r="HK800" i="93"/>
  <c r="FZ800" i="93"/>
  <c r="CZ800" i="93"/>
  <c r="JQ800" i="93"/>
  <c r="HB800" i="93"/>
  <c r="FU800" i="93"/>
  <c r="JE804" i="93"/>
  <c r="HE804" i="93"/>
  <c r="CY804" i="93"/>
  <c r="GV804" i="93"/>
  <c r="EW796" i="93"/>
  <c r="FM796" i="93"/>
  <c r="GN796" i="93"/>
  <c r="HT796" i="93"/>
  <c r="GW800" i="93"/>
  <c r="HU804" i="93"/>
  <c r="EX792" i="93"/>
  <c r="FN792" i="93"/>
  <c r="GD792" i="93"/>
  <c r="GT792" i="93"/>
  <c r="HJ792" i="93"/>
  <c r="HZ792" i="93"/>
  <c r="JO792" i="93"/>
  <c r="CT796" i="93"/>
  <c r="FD796" i="93"/>
  <c r="FU796" i="93"/>
  <c r="HA796" i="93"/>
  <c r="JF796" i="93"/>
  <c r="EX800" i="93"/>
  <c r="HZ800" i="93"/>
  <c r="N885" i="93"/>
  <c r="J885" i="93"/>
  <c r="BU800" i="93"/>
  <c r="FK800" i="93"/>
  <c r="GO800" i="93"/>
  <c r="BV804" i="93"/>
  <c r="GB804" i="93"/>
  <c r="JQ788" i="93"/>
  <c r="JM788" i="93"/>
  <c r="JI788" i="93"/>
  <c r="JE788" i="93"/>
  <c r="IB788" i="93"/>
  <c r="HX788" i="93"/>
  <c r="HT788" i="93"/>
  <c r="HP788" i="93"/>
  <c r="HL788" i="93"/>
  <c r="HH788" i="93"/>
  <c r="HD788" i="93"/>
  <c r="GZ788" i="93"/>
  <c r="GV788" i="93"/>
  <c r="GR788" i="93"/>
  <c r="GN788" i="93"/>
  <c r="GJ788" i="93"/>
  <c r="GF788" i="93"/>
  <c r="GB788" i="93"/>
  <c r="FX788" i="93"/>
  <c r="FT788" i="93"/>
  <c r="FP788" i="93"/>
  <c r="FL788" i="93"/>
  <c r="FH788" i="93"/>
  <c r="FD788" i="93"/>
  <c r="EZ788" i="93"/>
  <c r="DC788" i="93"/>
  <c r="CY788" i="93"/>
  <c r="CT788" i="93"/>
  <c r="BV788" i="93"/>
  <c r="JP788" i="93"/>
  <c r="JL788" i="93"/>
  <c r="JH788" i="93"/>
  <c r="JD788" i="93"/>
  <c r="IA788" i="93"/>
  <c r="HW788" i="93"/>
  <c r="HS788" i="93"/>
  <c r="HO788" i="93"/>
  <c r="HK788" i="93"/>
  <c r="HG788" i="93"/>
  <c r="HC788" i="93"/>
  <c r="GY788" i="93"/>
  <c r="GU788" i="93"/>
  <c r="GQ788" i="93"/>
  <c r="GM788" i="93"/>
  <c r="GI788" i="93"/>
  <c r="GE788" i="93"/>
  <c r="GA788" i="93"/>
  <c r="FW788" i="93"/>
  <c r="FS788" i="93"/>
  <c r="JN792" i="93"/>
  <c r="JJ792" i="93"/>
  <c r="JF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CZ792" i="93"/>
  <c r="CV792" i="93"/>
  <c r="BW792" i="93"/>
  <c r="JQ792" i="93"/>
  <c r="JM792" i="93"/>
  <c r="JI792" i="93"/>
  <c r="JE792" i="93"/>
  <c r="IB792" i="93"/>
  <c r="HX792" i="93"/>
  <c r="HT792" i="93"/>
  <c r="HP792" i="93"/>
  <c r="HL792" i="93"/>
  <c r="HH792" i="93"/>
  <c r="HD792" i="93"/>
  <c r="GZ792" i="93"/>
  <c r="GV792" i="93"/>
  <c r="GR792" i="93"/>
  <c r="GN792" i="93"/>
  <c r="GJ792" i="93"/>
  <c r="GF792" i="93"/>
  <c r="GB792" i="93"/>
  <c r="FX792" i="93"/>
  <c r="FT792" i="93"/>
  <c r="FP792" i="93"/>
  <c r="FL792" i="93"/>
  <c r="FH792" i="93"/>
  <c r="FD792" i="93"/>
  <c r="EZ792" i="93"/>
  <c r="DC792" i="93"/>
  <c r="CY792" i="93"/>
  <c r="CT792" i="93"/>
  <c r="BV792" i="93"/>
  <c r="JP796" i="93"/>
  <c r="JL796" i="93"/>
  <c r="JH796" i="93"/>
  <c r="JD796" i="93"/>
  <c r="IA796" i="93"/>
  <c r="HW796" i="93"/>
  <c r="HS796" i="93"/>
  <c r="HO796" i="93"/>
  <c r="HK796" i="93"/>
  <c r="HG796" i="93"/>
  <c r="HC796" i="93"/>
  <c r="GY796" i="93"/>
  <c r="GU796" i="93"/>
  <c r="GQ796" i="93"/>
  <c r="GM796" i="93"/>
  <c r="GI796" i="93"/>
  <c r="GE796" i="93"/>
  <c r="GA796" i="93"/>
  <c r="FW796" i="93"/>
  <c r="JO796" i="93"/>
  <c r="JK796" i="93"/>
  <c r="JG796" i="93"/>
  <c r="JC796" i="93"/>
  <c r="HZ796" i="93"/>
  <c r="HV796" i="93"/>
  <c r="HR796" i="93"/>
  <c r="HN796" i="93"/>
  <c r="HJ796" i="93"/>
  <c r="HF796" i="93"/>
  <c r="HB796" i="93"/>
  <c r="GX796" i="93"/>
  <c r="GT796" i="93"/>
  <c r="GP796" i="93"/>
  <c r="GL796" i="93"/>
  <c r="GH796" i="93"/>
  <c r="GD796" i="93"/>
  <c r="FZ796" i="93"/>
  <c r="FV796" i="93"/>
  <c r="FR796" i="93"/>
  <c r="JM796" i="93"/>
  <c r="JE796" i="93"/>
  <c r="HX796" i="93"/>
  <c r="HP796" i="93"/>
  <c r="HH796" i="93"/>
  <c r="GZ796" i="93"/>
  <c r="GR796" i="93"/>
  <c r="GJ796" i="93"/>
  <c r="GB796" i="93"/>
  <c r="FT796" i="93"/>
  <c r="FO796" i="93"/>
  <c r="FK796" i="93"/>
  <c r="FG796" i="93"/>
  <c r="FC796" i="93"/>
  <c r="EY796" i="93"/>
  <c r="DB796" i="93"/>
  <c r="CX796" i="93"/>
  <c r="BY796" i="93"/>
  <c r="BU796" i="93"/>
  <c r="JJ796" i="93"/>
  <c r="IC796" i="93"/>
  <c r="HU796" i="93"/>
  <c r="HM796" i="93"/>
  <c r="HE796" i="93"/>
  <c r="GW796" i="93"/>
  <c r="GO796" i="93"/>
  <c r="GG796" i="93"/>
  <c r="FY796" i="93"/>
  <c r="FS796" i="93"/>
  <c r="FN796" i="93"/>
  <c r="FJ796" i="93"/>
  <c r="FF796" i="93"/>
  <c r="FB796" i="93"/>
  <c r="EX796" i="93"/>
  <c r="DA796" i="93"/>
  <c r="CW796" i="93"/>
  <c r="BX796" i="93"/>
  <c r="JK800" i="93"/>
  <c r="JN800" i="93"/>
  <c r="JC800" i="93"/>
  <c r="HV800" i="93"/>
  <c r="HO800" i="93"/>
  <c r="HG800" i="93"/>
  <c r="HA800" i="93"/>
  <c r="GT800" i="93"/>
  <c r="GL800" i="93"/>
  <c r="GE800" i="93"/>
  <c r="FY800" i="93"/>
  <c r="FQ800" i="93"/>
  <c r="FJ800" i="93"/>
  <c r="FC800" i="93"/>
  <c r="DB800" i="93"/>
  <c r="CU800" i="93"/>
  <c r="JJ800" i="93"/>
  <c r="IA800" i="93"/>
  <c r="HU800" i="93"/>
  <c r="HM800" i="93"/>
  <c r="HF800" i="93"/>
  <c r="GY800" i="93"/>
  <c r="GQ800" i="93"/>
  <c r="GK800" i="93"/>
  <c r="GD800" i="93"/>
  <c r="FV800" i="93"/>
  <c r="FO800" i="93"/>
  <c r="FI800" i="93"/>
  <c r="FA800" i="93"/>
  <c r="DA800" i="93"/>
  <c r="BY800" i="93"/>
  <c r="JO800" i="93"/>
  <c r="HW800" i="93"/>
  <c r="HJ800" i="93"/>
  <c r="GU800" i="93"/>
  <c r="GG800" i="93"/>
  <c r="FS800" i="93"/>
  <c r="FE800" i="93"/>
  <c r="CV800" i="93"/>
  <c r="JI800" i="93"/>
  <c r="HR800" i="93"/>
  <c r="HE800" i="93"/>
  <c r="GP800" i="93"/>
  <c r="GA800" i="93"/>
  <c r="FN800" i="93"/>
  <c r="EY800" i="93"/>
  <c r="BW800" i="93"/>
  <c r="JI804" i="93"/>
  <c r="JQ804" i="93"/>
  <c r="IC804" i="93"/>
  <c r="HP804" i="93"/>
  <c r="GZ804" i="93"/>
  <c r="GN804" i="93"/>
  <c r="FY804" i="93"/>
  <c r="FI804" i="93"/>
  <c r="DC804" i="93"/>
  <c r="CV804" i="93"/>
  <c r="JM804" i="93"/>
  <c r="IB804" i="93"/>
  <c r="HL804" i="93"/>
  <c r="GW804" i="93"/>
  <c r="GJ804" i="93"/>
  <c r="FT804" i="93"/>
  <c r="FH804" i="93"/>
  <c r="DB804" i="93"/>
  <c r="BY804" i="93"/>
  <c r="HT804" i="93"/>
  <c r="GO804" i="93"/>
  <c r="FP804" i="93"/>
  <c r="CX804" i="93"/>
  <c r="JJ804" i="93"/>
  <c r="HH804" i="93"/>
  <c r="GF804" i="93"/>
  <c r="FD804" i="93"/>
  <c r="BX804" i="93"/>
  <c r="JM799" i="93"/>
  <c r="IQ799" i="93"/>
  <c r="HI799" i="93"/>
  <c r="FA799" i="93"/>
  <c r="EH799" i="93"/>
  <c r="DG799" i="93"/>
  <c r="CZ799" i="93"/>
  <c r="CE799" i="93"/>
  <c r="BU799" i="93"/>
  <c r="X799" i="93"/>
  <c r="JI799" i="93"/>
  <c r="GS799" i="93"/>
  <c r="EW799" i="93"/>
  <c r="EA799" i="93"/>
  <c r="DF799" i="93"/>
  <c r="CW799" i="93"/>
  <c r="BY799" i="93"/>
  <c r="BD799" i="93"/>
  <c r="JL803" i="93"/>
  <c r="HG803" i="93"/>
  <c r="EZ803" i="93"/>
  <c r="DE803" i="93"/>
  <c r="CR803" i="93"/>
  <c r="BV803" i="93"/>
  <c r="IV803" i="93"/>
  <c r="GQ803" i="93"/>
  <c r="ER803" i="93"/>
  <c r="DC803" i="93"/>
  <c r="CH803" i="93"/>
  <c r="AH803" i="93"/>
  <c r="CD797" i="93"/>
  <c r="BG797" i="93"/>
  <c r="AF797" i="93"/>
  <c r="CY797" i="93"/>
  <c r="CB797" i="93"/>
  <c r="AV797" i="93"/>
  <c r="Y797" i="93"/>
  <c r="CX801" i="93"/>
  <c r="CA801" i="93"/>
  <c r="JQ767" i="93"/>
  <c r="DN797" i="93"/>
  <c r="JH797" i="93"/>
  <c r="JB769" i="93"/>
  <c r="IN799" i="93"/>
  <c r="JH803" i="93"/>
  <c r="H912" i="93"/>
  <c r="IG767" i="93"/>
  <c r="EI804" i="93"/>
  <c r="IU796" i="93"/>
  <c r="CO788" i="93"/>
  <c r="AF784" i="93"/>
  <c r="DQ780" i="93"/>
  <c r="EG776" i="93"/>
  <c r="IJ772" i="93"/>
  <c r="N147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JO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P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M767" i="93"/>
  <c r="JI771" i="93"/>
  <c r="K932" i="93"/>
  <c r="CL767" i="93"/>
  <c r="FF774" i="93"/>
  <c r="HL774" i="93"/>
  <c r="ID784" i="93"/>
  <c r="AT788" i="93"/>
  <c r="IH788" i="93"/>
  <c r="HX801" i="93"/>
  <c r="HA801" i="93"/>
  <c r="GF801" i="93"/>
  <c r="FO801" i="93"/>
  <c r="EY801" i="93"/>
  <c r="AL801" i="93"/>
  <c r="IF803" i="93"/>
  <c r="DB803" i="93"/>
  <c r="CS803" i="93"/>
  <c r="BY803" i="93"/>
  <c r="BU803" i="93"/>
  <c r="EF802" i="93"/>
  <c r="CC780" i="93"/>
  <c r="EU796" i="93"/>
  <c r="AG797" i="93"/>
  <c r="AX797" i="93"/>
  <c r="BS797" i="93"/>
  <c r="CN797" i="93"/>
  <c r="DT797" i="93"/>
  <c r="EY797" i="93"/>
  <c r="FD797" i="93"/>
  <c r="FJ797" i="93"/>
  <c r="FO797" i="93"/>
  <c r="FT797" i="93"/>
  <c r="FZ797" i="93"/>
  <c r="GE797" i="93"/>
  <c r="GJ797" i="93"/>
  <c r="GP797" i="93"/>
  <c r="GU797" i="93"/>
  <c r="GZ797" i="93"/>
  <c r="HF797" i="93"/>
  <c r="HK797" i="93"/>
  <c r="HP797" i="93"/>
  <c r="HV797" i="93"/>
  <c r="IA797" i="93"/>
  <c r="AJ799" i="93"/>
  <c r="BW799" i="93"/>
  <c r="CI799" i="93"/>
  <c r="CY799" i="93"/>
  <c r="DC799" i="93"/>
  <c r="DP799" i="93"/>
  <c r="EI799" i="93"/>
  <c r="BX800" i="93"/>
  <c r="CX800" i="93"/>
  <c r="EW800" i="93"/>
  <c r="FB800" i="93"/>
  <c r="FG800" i="93"/>
  <c r="FM800" i="93"/>
  <c r="FR800" i="93"/>
  <c r="FW800" i="93"/>
  <c r="GC800" i="93"/>
  <c r="GH800" i="93"/>
  <c r="GM800" i="93"/>
  <c r="GS800" i="93"/>
  <c r="GX800" i="93"/>
  <c r="HC800" i="93"/>
  <c r="HI800" i="93"/>
  <c r="HN800" i="93"/>
  <c r="HS800" i="93"/>
  <c r="HY800" i="93"/>
  <c r="JE800" i="93"/>
  <c r="BF801" i="93"/>
  <c r="FD801" i="93"/>
  <c r="GE801" i="93"/>
  <c r="HE801" i="93"/>
  <c r="AC803" i="93"/>
  <c r="BX803" i="93"/>
  <c r="CY803" i="93"/>
  <c r="DD803" i="93"/>
  <c r="EF803" i="93"/>
  <c r="IH803" i="93"/>
  <c r="BU804" i="93"/>
  <c r="CT804" i="93"/>
  <c r="DA804" i="93"/>
  <c r="FA804" i="93"/>
  <c r="FL804" i="93"/>
  <c r="FX804" i="93"/>
  <c r="GG804" i="93"/>
  <c r="GR804" i="93"/>
  <c r="HD804" i="93"/>
  <c r="HM804" i="93"/>
  <c r="HX804" i="93"/>
  <c r="GL774" i="93"/>
  <c r="AH776" i="93"/>
  <c r="BA784" i="93"/>
  <c r="AV796" i="93"/>
  <c r="JM800" i="93"/>
  <c r="JG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C800" i="93"/>
  <c r="CY800" i="93"/>
  <c r="CT800" i="93"/>
  <c r="BV800" i="93"/>
  <c r="JN804" i="93"/>
  <c r="JF804" i="93"/>
  <c r="HY804" i="93"/>
  <c r="HQ804" i="93"/>
  <c r="HI804" i="93"/>
  <c r="HA804" i="93"/>
  <c r="GS804" i="93"/>
  <c r="GK804" i="93"/>
  <c r="GC804" i="93"/>
  <c r="FU804" i="93"/>
  <c r="FM804" i="93"/>
  <c r="FE804" i="93"/>
  <c r="EW804" i="93"/>
  <c r="CZ804" i="93"/>
  <c r="CU804" i="93"/>
  <c r="BW804" i="93"/>
  <c r="C970" i="93"/>
  <c r="C971" i="93"/>
  <c r="JI772" i="93"/>
  <c r="DP803" i="93"/>
  <c r="EO803" i="93"/>
  <c r="CU775" i="93"/>
  <c r="CU779" i="93"/>
  <c r="CW783" i="93"/>
  <c r="CV787" i="93"/>
  <c r="P885" i="93"/>
  <c r="L885" i="93"/>
  <c r="H885" i="93"/>
  <c r="I885" i="93"/>
  <c r="I889" i="93"/>
  <c r="G894" i="93"/>
  <c r="O894" i="93"/>
  <c r="K898" i="93"/>
  <c r="O898" i="93"/>
  <c r="M903" i="93"/>
  <c r="I907" i="93"/>
  <c r="M907" i="93"/>
  <c r="G907" i="93"/>
  <c r="K907" i="93"/>
  <c r="O907" i="93"/>
  <c r="H916" i="93"/>
  <c r="G916" i="93"/>
  <c r="K923" i="93"/>
  <c r="P924" i="93"/>
  <c r="O885" i="93"/>
  <c r="K885" i="93"/>
  <c r="I916" i="93"/>
  <c r="JD772" i="93"/>
  <c r="JH772" i="93"/>
  <c r="JL772" i="93"/>
  <c r="JE772" i="93"/>
  <c r="JF771" i="93"/>
  <c r="JJ771" i="93"/>
  <c r="DR771" i="93"/>
  <c r="JC771" i="93"/>
  <c r="JG771" i="93"/>
  <c r="JK771" i="93"/>
  <c r="JA771" i="93"/>
  <c r="JD771" i="93"/>
  <c r="JH771" i="93"/>
  <c r="JL771" i="93"/>
  <c r="JE771" i="93"/>
  <c r="AC771" i="93"/>
  <c r="BV771" i="93"/>
  <c r="CY771" i="93"/>
  <c r="DZ771" i="93"/>
  <c r="ID771" i="93"/>
  <c r="AK771" i="93"/>
  <c r="BZ771" i="93"/>
  <c r="DC771" i="93"/>
  <c r="EH771" i="93"/>
  <c r="AS771" i="93"/>
  <c r="CH771" i="93"/>
  <c r="DJ771" i="93"/>
  <c r="EP771" i="93"/>
  <c r="IT771" i="93"/>
  <c r="AD771" i="93"/>
  <c r="BN771" i="93"/>
  <c r="BW771" i="93"/>
  <c r="CC771" i="93"/>
  <c r="CK771" i="93"/>
  <c r="CS771" i="93"/>
  <c r="CZ771" i="93"/>
  <c r="DE771" i="93"/>
  <c r="DM771" i="93"/>
  <c r="DU771" i="93"/>
  <c r="EC771" i="93"/>
  <c r="EK771" i="93"/>
  <c r="ES771" i="93"/>
  <c r="IG771" i="93"/>
  <c r="IO771" i="93"/>
  <c r="IW771" i="93"/>
  <c r="AX771" i="93"/>
  <c r="Y771" i="93"/>
  <c r="AG771" i="93"/>
  <c r="AO771" i="93"/>
  <c r="BA771" i="93"/>
  <c r="BQ771" i="93"/>
  <c r="BX771" i="93"/>
  <c r="CD771" i="93"/>
  <c r="CL771" i="93"/>
  <c r="CV771" i="93"/>
  <c r="DA771" i="93"/>
  <c r="DF771" i="93"/>
  <c r="DN771" i="93"/>
  <c r="DV771" i="93"/>
  <c r="ED771" i="93"/>
  <c r="EL771" i="93"/>
  <c r="ET771" i="93"/>
  <c r="IH771" i="93"/>
  <c r="IP771" i="93"/>
  <c r="IX771" i="93"/>
  <c r="IZ771" i="93"/>
  <c r="A771" i="93"/>
  <c r="AL771" i="93"/>
  <c r="Z771" i="93"/>
  <c r="AH771" i="93"/>
  <c r="AP771" i="93"/>
  <c r="BF771" i="93"/>
  <c r="BU771" i="93"/>
  <c r="BY771" i="93"/>
  <c r="CG771" i="93"/>
  <c r="CO771" i="93"/>
  <c r="CW771" i="93"/>
  <c r="DB771" i="93"/>
  <c r="DI771" i="93"/>
  <c r="DQ771" i="93"/>
  <c r="DY771" i="93"/>
  <c r="EG771" i="93"/>
  <c r="EO771" i="93"/>
  <c r="IK771" i="93"/>
  <c r="IS771" i="93"/>
  <c r="JJ767" i="93"/>
  <c r="BP772" i="93"/>
  <c r="CX771" i="93"/>
  <c r="HK770" i="93"/>
  <c r="FE770" i="93"/>
  <c r="HG769" i="93"/>
  <c r="DL772" i="93"/>
  <c r="EU769" i="93"/>
  <c r="AY769" i="93"/>
  <c r="BO769" i="93"/>
  <c r="DO769" i="93"/>
  <c r="IM769" i="93"/>
  <c r="AI769" i="93"/>
  <c r="CE769" i="93"/>
  <c r="EE769" i="93"/>
  <c r="FK769" i="93"/>
  <c r="GA769" i="93"/>
  <c r="JQ769" i="93"/>
  <c r="GQ769" i="93"/>
  <c r="JG767" i="93"/>
  <c r="EK767" i="93"/>
  <c r="JK767" i="93"/>
  <c r="JC767" i="93"/>
  <c r="JD767" i="93"/>
  <c r="JH767" i="93"/>
  <c r="JL767" i="93"/>
  <c r="IZ767" i="93"/>
  <c r="DE767" i="93"/>
  <c r="JE767" i="93"/>
  <c r="JI767" i="93"/>
  <c r="DU767" i="93"/>
  <c r="IW767" i="93"/>
  <c r="JF767" i="93"/>
  <c r="GK770" i="93"/>
  <c r="EY769" i="93"/>
  <c r="FO769" i="93"/>
  <c r="GE769" i="93"/>
  <c r="GU769" i="93"/>
  <c r="HK769" i="93"/>
  <c r="IA769" i="93"/>
  <c r="FC769" i="93"/>
  <c r="FS769" i="93"/>
  <c r="GI769" i="93"/>
  <c r="GY769" i="93"/>
  <c r="HO769" i="93"/>
  <c r="FG769" i="93"/>
  <c r="FW769" i="93"/>
  <c r="GM769" i="93"/>
  <c r="HC769" i="93"/>
  <c r="HS769" i="93"/>
  <c r="JE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I769" i="93"/>
  <c r="EW769" i="93"/>
  <c r="FE769" i="93"/>
  <c r="FM769" i="93"/>
  <c r="FU769" i="93"/>
  <c r="GC769" i="93"/>
  <c r="GO769" i="93"/>
  <c r="GW769" i="93"/>
  <c r="HI769" i="93"/>
  <c r="IC769" i="93"/>
  <c r="FA769" i="93"/>
  <c r="FI769" i="93"/>
  <c r="FQ769" i="93"/>
  <c r="FY769" i="93"/>
  <c r="GG769" i="93"/>
  <c r="GK769" i="93"/>
  <c r="GS769" i="93"/>
  <c r="HA769" i="93"/>
  <c r="HE769" i="93"/>
  <c r="HM769" i="93"/>
  <c r="HQ769" i="93"/>
  <c r="HU769" i="93"/>
  <c r="HY769" i="93"/>
  <c r="JM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DI767" i="93"/>
  <c r="DY767" i="93"/>
  <c r="EO767" i="93"/>
  <c r="IK767" i="93"/>
  <c r="JA767" i="93"/>
  <c r="BZ767" i="93"/>
  <c r="BH767" i="93"/>
  <c r="CV767" i="93"/>
  <c r="DM767" i="93"/>
  <c r="EC767" i="93"/>
  <c r="ES767" i="93"/>
  <c r="IO767" i="93"/>
  <c r="CP767" i="93"/>
  <c r="CD767" i="93"/>
  <c r="BP767" i="93"/>
  <c r="CH767" i="93"/>
  <c r="DA767" i="93"/>
  <c r="DQ767" i="93"/>
  <c r="EG767" i="93"/>
  <c r="IS767" i="93"/>
  <c r="A767" i="93"/>
  <c r="BI767" i="93"/>
  <c r="BQ767" i="93"/>
  <c r="BW767" i="93"/>
  <c r="CA767" i="93"/>
  <c r="CE767" i="93"/>
  <c r="CI767" i="93"/>
  <c r="CM767" i="93"/>
  <c r="CQ767" i="93"/>
  <c r="CW767" i="93"/>
  <c r="DB767" i="93"/>
  <c r="DF767" i="93"/>
  <c r="DJ767" i="93"/>
  <c r="DN767" i="93"/>
  <c r="DR767" i="93"/>
  <c r="DV767" i="93"/>
  <c r="DZ767" i="93"/>
  <c r="ED767" i="93"/>
  <c r="EH767" i="93"/>
  <c r="EL767" i="93"/>
  <c r="EP767" i="93"/>
  <c r="ET767" i="93"/>
  <c r="ID767" i="93"/>
  <c r="IH767" i="93"/>
  <c r="IL767" i="93"/>
  <c r="IP767" i="93"/>
  <c r="IT767" i="93"/>
  <c r="IX767" i="93"/>
  <c r="JB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E767" i="93"/>
  <c r="II767" i="93"/>
  <c r="IM767" i="93"/>
  <c r="IQ767" i="93"/>
  <c r="IU767" i="93"/>
  <c r="IY767" i="93"/>
  <c r="BE767" i="93"/>
  <c r="BM767" i="93"/>
  <c r="BU767" i="93"/>
  <c r="BY767" i="93"/>
  <c r="CC767" i="93"/>
  <c r="CG767" i="93"/>
  <c r="CK767" i="93"/>
  <c r="CO767" i="93"/>
  <c r="CS767" i="93"/>
  <c r="CZ767" i="93"/>
  <c r="DD767" i="93"/>
  <c r="DH767" i="93"/>
  <c r="DL767" i="93"/>
  <c r="DP767" i="93"/>
  <c r="DT767" i="93"/>
  <c r="DX767" i="93"/>
  <c r="EB767" i="93"/>
  <c r="EF767" i="93"/>
  <c r="EJ767" i="93"/>
  <c r="EN767" i="93"/>
  <c r="ER767" i="93"/>
  <c r="EV767" i="93"/>
  <c r="IF767" i="93"/>
  <c r="IJ767" i="93"/>
  <c r="IN767" i="93"/>
  <c r="IR767" i="93"/>
  <c r="IV767" i="93"/>
  <c r="IU768" i="93"/>
  <c r="CU767" i="93"/>
  <c r="AA769" i="93"/>
  <c r="AQ769" i="93"/>
  <c r="BG769" i="93"/>
  <c r="CM769" i="93"/>
  <c r="DG769" i="93"/>
  <c r="DW769" i="93"/>
  <c r="EM769" i="93"/>
  <c r="IE769" i="93"/>
  <c r="IU769" i="93"/>
  <c r="W769" i="93"/>
  <c r="AM769" i="93"/>
  <c r="BC769" i="93"/>
  <c r="BS769" i="93"/>
  <c r="CI769" i="93"/>
  <c r="DS769" i="93"/>
  <c r="EI769" i="93"/>
  <c r="IQ769" i="93"/>
  <c r="AE769" i="93"/>
  <c r="AU769" i="93"/>
  <c r="BK769" i="93"/>
  <c r="CA769" i="93"/>
  <c r="CQ769" i="93"/>
  <c r="DK769" i="93"/>
  <c r="EA769" i="93"/>
  <c r="EQ769" i="93"/>
  <c r="II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EM768" i="93"/>
  <c r="IE800" i="93"/>
  <c r="AM800" i="93"/>
  <c r="DZ800" i="93"/>
  <c r="EE792" i="93"/>
  <c r="AB792" i="93"/>
  <c r="FW790" i="93"/>
  <c r="FG790" i="93"/>
  <c r="JH770" i="93"/>
  <c r="JI774" i="93"/>
  <c r="BG768" i="93"/>
  <c r="CI770" i="93"/>
  <c r="FO770" i="93"/>
  <c r="GP770" i="93"/>
  <c r="HQ770" i="93"/>
  <c r="AJ772" i="93"/>
  <c r="CF772" i="93"/>
  <c r="EB772" i="93"/>
  <c r="IZ772" i="93"/>
  <c r="AQ774" i="93"/>
  <c r="FP774" i="93"/>
  <c r="GQ774" i="93"/>
  <c r="HR774" i="93"/>
  <c r="BC776" i="93"/>
  <c r="IH776" i="93"/>
  <c r="FL778" i="93"/>
  <c r="GZ778" i="93"/>
  <c r="AM780" i="93"/>
  <c r="FZ782" i="93"/>
  <c r="IA782" i="93"/>
  <c r="DM784" i="93"/>
  <c r="IZ784" i="93"/>
  <c r="FB786" i="93"/>
  <c r="BP788" i="93"/>
  <c r="DL788" i="93"/>
  <c r="ID792" i="93"/>
  <c r="BT804" i="93"/>
  <c r="DG768" i="93"/>
  <c r="IE768" i="93"/>
  <c r="ES770" i="93"/>
  <c r="FU770" i="93"/>
  <c r="GU770" i="93"/>
  <c r="IA770" i="93"/>
  <c r="AZ772" i="93"/>
  <c r="ER772" i="93"/>
  <c r="CM774" i="93"/>
  <c r="FV774" i="93"/>
  <c r="GV774" i="93"/>
  <c r="IB774" i="93"/>
  <c r="DK776" i="93"/>
  <c r="FT778" i="93"/>
  <c r="HH778" i="93"/>
  <c r="BI780" i="93"/>
  <c r="IM780" i="93"/>
  <c r="GJ782" i="93"/>
  <c r="CP784" i="93"/>
  <c r="EH784" i="93"/>
  <c r="GS786" i="93"/>
  <c r="EG788" i="93"/>
  <c r="CA792" i="93"/>
  <c r="CX791" i="93"/>
  <c r="CV791" i="93"/>
  <c r="BP791" i="93"/>
  <c r="BK791" i="93"/>
  <c r="CX795" i="93"/>
  <c r="CV795" i="93"/>
  <c r="BS795" i="93"/>
  <c r="AQ795" i="93"/>
  <c r="BM795" i="93"/>
  <c r="CX799" i="93"/>
  <c r="CV799" i="93"/>
  <c r="AZ799" i="93"/>
  <c r="BT799" i="93"/>
  <c r="CU803" i="93"/>
  <c r="CX803" i="93"/>
  <c r="BE803" i="93"/>
  <c r="CW803" i="93"/>
  <c r="BD803" i="93"/>
  <c r="CT803" i="93"/>
  <c r="IM789" i="93"/>
  <c r="II789" i="93"/>
  <c r="IE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IL789" i="93"/>
  <c r="IH789" i="93"/>
  <c r="ID789" i="93"/>
  <c r="DC789" i="93"/>
  <c r="CY789" i="93"/>
  <c r="CU789" i="93"/>
  <c r="CQ789" i="93"/>
  <c r="CM789" i="93"/>
  <c r="CI789" i="93"/>
  <c r="CE789" i="93"/>
  <c r="CA789" i="93"/>
  <c r="BW789" i="93"/>
  <c r="BS789" i="93"/>
  <c r="BO789" i="93"/>
  <c r="IL793" i="93"/>
  <c r="IG793" i="93"/>
  <c r="CX793" i="93"/>
  <c r="CS793" i="93"/>
  <c r="CN793" i="93"/>
  <c r="CH793" i="93"/>
  <c r="CC793" i="93"/>
  <c r="BX793" i="93"/>
  <c r="BR793" i="93"/>
  <c r="BM793" i="93"/>
  <c r="BH793" i="93"/>
  <c r="BB793" i="93"/>
  <c r="AW793" i="93"/>
  <c r="AR793" i="93"/>
  <c r="AL793" i="93"/>
  <c r="AG793" i="93"/>
  <c r="AC793" i="93"/>
  <c r="Y793" i="93"/>
  <c r="IK793" i="93"/>
  <c r="IF793" i="93"/>
  <c r="DB793" i="93"/>
  <c r="CW793" i="93"/>
  <c r="CR793" i="93"/>
  <c r="CL793" i="93"/>
  <c r="CG793" i="93"/>
  <c r="CB793" i="93"/>
  <c r="BV793" i="93"/>
  <c r="BQ793" i="93"/>
  <c r="BL793" i="93"/>
  <c r="BF793" i="93"/>
  <c r="BA793" i="93"/>
  <c r="AV793" i="93"/>
  <c r="AP793" i="93"/>
  <c r="AK793" i="93"/>
  <c r="AF793" i="93"/>
  <c r="AB793" i="93"/>
  <c r="X793" i="93"/>
  <c r="IH797" i="93"/>
  <c r="CT797" i="93"/>
  <c r="CI797" i="93"/>
  <c r="BX797" i="93"/>
  <c r="BN797" i="93"/>
  <c r="BC797" i="93"/>
  <c r="AS797" i="93"/>
  <c r="AK797" i="93"/>
  <c r="AC797" i="93"/>
  <c r="IF797" i="93"/>
  <c r="DC797" i="93"/>
  <c r="CR797" i="93"/>
  <c r="CH797" i="93"/>
  <c r="BW797" i="93"/>
  <c r="BL797" i="93"/>
  <c r="BB797" i="93"/>
  <c r="AR797" i="93"/>
  <c r="AJ797" i="93"/>
  <c r="AB797" i="93"/>
  <c r="IM797" i="93"/>
  <c r="CP801" i="93"/>
  <c r="BS801" i="93"/>
  <c r="AX801" i="93"/>
  <c r="AD801" i="93"/>
  <c r="CL801" i="93"/>
  <c r="BR801" i="93"/>
  <c r="AU801" i="93"/>
  <c r="Z801" i="93"/>
  <c r="CY801" i="93"/>
  <c r="CD801" i="93"/>
  <c r="BJ801" i="93"/>
  <c r="AM801" i="93"/>
  <c r="JK791" i="93"/>
  <c r="JG791" i="93"/>
  <c r="IB791" i="93"/>
  <c r="HL791" i="93"/>
  <c r="GW791" i="93"/>
  <c r="GO791" i="93"/>
  <c r="GG791" i="93"/>
  <c r="FY791" i="93"/>
  <c r="FQ791" i="93"/>
  <c r="FI791" i="93"/>
  <c r="FA791" i="93"/>
  <c r="EW791" i="93"/>
  <c r="JJ791" i="93"/>
  <c r="HY791" i="93"/>
  <c r="HI791" i="93"/>
  <c r="GV791" i="93"/>
  <c r="GN791" i="93"/>
  <c r="GF791" i="93"/>
  <c r="FX791" i="93"/>
  <c r="FP791" i="93"/>
  <c r="FH791" i="93"/>
  <c r="EZ791" i="93"/>
  <c r="JO795" i="93"/>
  <c r="JI795" i="93"/>
  <c r="HZ795" i="93"/>
  <c r="HJ795" i="93"/>
  <c r="GT795" i="93"/>
  <c r="GD795" i="93"/>
  <c r="FN795" i="93"/>
  <c r="FA795" i="93"/>
  <c r="EW795" i="93"/>
  <c r="JL795" i="93"/>
  <c r="JH795" i="93"/>
  <c r="HY795" i="93"/>
  <c r="HI795" i="93"/>
  <c r="GS795" i="93"/>
  <c r="GC795" i="93"/>
  <c r="FM795" i="93"/>
  <c r="EZ795" i="93"/>
  <c r="JL799" i="93"/>
  <c r="JH799" i="93"/>
  <c r="HV799" i="93"/>
  <c r="HF799" i="93"/>
  <c r="GP799" i="93"/>
  <c r="FZ799" i="93"/>
  <c r="FJ799" i="93"/>
  <c r="EZ799" i="93"/>
  <c r="JK799" i="93"/>
  <c r="HQ799" i="93"/>
  <c r="HA799" i="93"/>
  <c r="GK799" i="93"/>
  <c r="FU799" i="93"/>
  <c r="FE799" i="93"/>
  <c r="EY799" i="93"/>
  <c r="JJ799" i="93"/>
  <c r="HN799" i="93"/>
  <c r="GX799" i="93"/>
  <c r="GH799" i="93"/>
  <c r="FR799" i="93"/>
  <c r="FB799" i="93"/>
  <c r="EX799" i="93"/>
  <c r="JK803" i="93"/>
  <c r="JE803" i="93"/>
  <c r="HP803" i="93"/>
  <c r="GZ803" i="93"/>
  <c r="GJ803" i="93"/>
  <c r="FT803" i="93"/>
  <c r="FD803" i="93"/>
  <c r="EY803" i="93"/>
  <c r="JQ803" i="93"/>
  <c r="JJ803" i="93"/>
  <c r="JD803" i="93"/>
  <c r="HO803" i="93"/>
  <c r="GY803" i="93"/>
  <c r="GI803" i="93"/>
  <c r="FS803" i="93"/>
  <c r="FC803" i="93"/>
  <c r="EX803" i="93"/>
  <c r="JP803" i="93"/>
  <c r="JI803" i="93"/>
  <c r="HX803" i="93"/>
  <c r="HH803" i="93"/>
  <c r="GR803" i="93"/>
  <c r="GB803" i="93"/>
  <c r="FL803" i="93"/>
  <c r="FA803" i="93"/>
  <c r="EW803" i="93"/>
  <c r="JD789" i="93"/>
  <c r="IU789" i="93"/>
  <c r="ET789" i="93"/>
  <c r="EL789" i="93"/>
  <c r="ED789" i="93"/>
  <c r="DV789" i="93"/>
  <c r="DN789" i="93"/>
  <c r="DF789" i="93"/>
  <c r="JB789" i="93"/>
  <c r="IT789" i="93"/>
  <c r="EQ789" i="93"/>
  <c r="EI789" i="93"/>
  <c r="EA789" i="93"/>
  <c r="DS789" i="93"/>
  <c r="DK789" i="93"/>
  <c r="IW793" i="93"/>
  <c r="EV793" i="93"/>
  <c r="EK793" i="93"/>
  <c r="DZ793" i="93"/>
  <c r="DP793" i="93"/>
  <c r="DE793" i="93"/>
  <c r="JC793" i="93"/>
  <c r="IS793" i="93"/>
  <c r="ER793" i="93"/>
  <c r="EG793" i="93"/>
  <c r="DV793" i="93"/>
  <c r="DL793" i="93"/>
  <c r="IX797" i="93"/>
  <c r="EE797" i="93"/>
  <c r="DJ797" i="93"/>
  <c r="IV797" i="93"/>
  <c r="ET797" i="93"/>
  <c r="DX797" i="93"/>
  <c r="EC801" i="93"/>
  <c r="JL801" i="93"/>
  <c r="DX801" i="93"/>
  <c r="J912" i="93"/>
  <c r="CM768" i="93"/>
  <c r="DW768" i="93"/>
  <c r="EY770" i="93"/>
  <c r="FZ770" i="93"/>
  <c r="HF770" i="93"/>
  <c r="EZ774" i="93"/>
  <c r="GA774" i="93"/>
  <c r="HG774" i="93"/>
  <c r="CS776" i="93"/>
  <c r="BV778" i="93"/>
  <c r="GB778" i="93"/>
  <c r="AO782" i="93"/>
  <c r="Y788" i="93"/>
  <c r="BX790" i="93"/>
  <c r="DS796" i="93"/>
  <c r="X767" i="93"/>
  <c r="AB767" i="93"/>
  <c r="AF767" i="93"/>
  <c r="AJ767" i="93"/>
  <c r="AN767" i="93"/>
  <c r="AR767" i="93"/>
  <c r="AV767" i="93"/>
  <c r="AZ767" i="93"/>
  <c r="Z767" i="93"/>
  <c r="AH767" i="93"/>
  <c r="AL767" i="93"/>
  <c r="AT767" i="93"/>
  <c r="BB767" i="93"/>
  <c r="AA767" i="93"/>
  <c r="AI767" i="93"/>
  <c r="AQ767" i="93"/>
  <c r="AY767" i="93"/>
  <c r="Y767" i="93"/>
  <c r="AC767" i="93"/>
  <c r="AG767" i="93"/>
  <c r="AK767" i="93"/>
  <c r="AO767" i="93"/>
  <c r="AS767" i="93"/>
  <c r="AW767" i="93"/>
  <c r="BA767" i="93"/>
  <c r="AD767" i="93"/>
  <c r="AP767" i="93"/>
  <c r="AX767" i="93"/>
  <c r="W767" i="93"/>
  <c r="AE767" i="93"/>
  <c r="AM767" i="93"/>
  <c r="AU767" i="93"/>
  <c r="CV788" i="93"/>
  <c r="CU792" i="93"/>
  <c r="CU796" i="93"/>
  <c r="CW800" i="93"/>
  <c r="CW804" i="93"/>
  <c r="DB770" i="93"/>
  <c r="CY774" i="93"/>
  <c r="DR778" i="93"/>
  <c r="ER782" i="93"/>
  <c r="IM786" i="93"/>
  <c r="EH790" i="93"/>
  <c r="AB794" i="93"/>
  <c r="JP800" i="93"/>
  <c r="JP804" i="93"/>
  <c r="DQ770" i="93"/>
  <c r="ES774" i="93"/>
  <c r="DL782" i="93"/>
  <c r="IP790" i="93"/>
  <c r="Z768" i="93"/>
  <c r="AD768" i="93"/>
  <c r="AH768" i="93"/>
  <c r="AL768" i="93"/>
  <c r="AP768" i="93"/>
  <c r="AT768" i="93"/>
  <c r="AX768" i="93"/>
  <c r="BB768" i="93"/>
  <c r="AB768" i="93"/>
  <c r="AF768" i="93"/>
  <c r="AN768" i="93"/>
  <c r="AV768" i="93"/>
  <c r="Y768" i="93"/>
  <c r="AG768" i="93"/>
  <c r="AO768" i="93"/>
  <c r="AW768" i="93"/>
  <c r="W768" i="93"/>
  <c r="AA768" i="93"/>
  <c r="AE768" i="93"/>
  <c r="AI768" i="93"/>
  <c r="AM768" i="93"/>
  <c r="AQ768" i="93"/>
  <c r="AU768" i="93"/>
  <c r="AY768" i="93"/>
  <c r="X768" i="93"/>
  <c r="AJ768" i="93"/>
  <c r="AR768" i="93"/>
  <c r="AZ768" i="93"/>
  <c r="AC768" i="93"/>
  <c r="AK768" i="93"/>
  <c r="AS768" i="93"/>
  <c r="BA768" i="93"/>
  <c r="HL801" i="93"/>
  <c r="O839" i="93"/>
  <c r="O838" i="93"/>
  <c r="G889" i="93"/>
  <c r="K889" i="93"/>
  <c r="O889" i="93"/>
  <c r="I894" i="93"/>
  <c r="M894" i="93"/>
  <c r="I898" i="93"/>
  <c r="M898" i="93"/>
  <c r="G903" i="93"/>
  <c r="K903" i="93"/>
  <c r="O903" i="93"/>
  <c r="K942" i="93"/>
  <c r="HV770" i="93"/>
  <c r="HW774" i="93"/>
  <c r="HP778" i="93"/>
  <c r="GU782" i="93"/>
  <c r="FP802" i="93"/>
  <c r="G885" i="93"/>
  <c r="H889" i="93"/>
  <c r="L889" i="93"/>
  <c r="P889" i="93"/>
  <c r="H903" i="93"/>
  <c r="L903" i="93"/>
  <c r="P903" i="93"/>
  <c r="H907" i="93"/>
  <c r="L907" i="93"/>
  <c r="P907" i="93"/>
  <c r="J907" i="93"/>
  <c r="N907" i="93"/>
  <c r="K916" i="93"/>
  <c r="A1097" i="93"/>
  <c r="H1097" i="93" s="1"/>
  <c r="I912" i="93"/>
  <c r="F934" i="93"/>
  <c r="O1477"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U561"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512" i="93" l="1"/>
  <c r="S562" i="93"/>
  <c r="S453" i="93"/>
  <c r="M459" i="93"/>
  <c r="P554" i="93"/>
  <c r="V568" i="93"/>
  <c r="U540" i="93"/>
  <c r="J604" i="93"/>
  <c r="U546" i="93"/>
  <c r="J562" i="93"/>
  <c r="M566" i="93"/>
  <c r="J746" i="93"/>
  <c r="U450" i="93"/>
  <c r="P453" i="93"/>
  <c r="S459" i="93"/>
  <c r="S513" i="93"/>
  <c r="P519" i="93"/>
  <c r="C978" i="93"/>
  <c r="N868" i="93"/>
  <c r="S500" i="93"/>
  <c r="J500" i="93"/>
  <c r="G453" i="93"/>
  <c r="J453" i="93"/>
  <c r="J463" i="93"/>
  <c r="S463" i="93"/>
  <c r="M474" i="93"/>
  <c r="A452" i="93"/>
  <c r="U565" i="93"/>
  <c r="L730" i="93"/>
  <c r="L393" i="93"/>
  <c r="D474" i="93"/>
  <c r="M513" i="93"/>
  <c r="J868" i="93"/>
  <c r="J867" i="93"/>
  <c r="M863" i="93"/>
  <c r="N864" i="93"/>
  <c r="O943" i="93"/>
  <c r="J862" i="93"/>
  <c r="K863" i="93"/>
  <c r="M868" i="93"/>
  <c r="J861" i="93"/>
  <c r="L867" i="93"/>
  <c r="N861" i="93"/>
  <c r="O850" i="93"/>
  <c r="O846" i="93"/>
  <c r="O941" i="93"/>
  <c r="L864" i="93"/>
  <c r="K862" i="93"/>
  <c r="N863" i="93"/>
  <c r="M864" i="93"/>
  <c r="O847" i="93"/>
  <c r="M867" i="93"/>
  <c r="M843" i="93"/>
  <c r="K861" i="93"/>
  <c r="O844" i="93"/>
  <c r="O858" i="93"/>
  <c r="M872" i="93"/>
  <c r="M874" i="93" s="1"/>
  <c r="M876" i="93" s="1"/>
  <c r="M815" i="93"/>
  <c r="M817" i="93" s="1"/>
  <c r="M819" i="93" s="1"/>
  <c r="O833" i="93"/>
  <c r="O816" i="93"/>
  <c r="J827" i="93"/>
  <c r="O814" i="93"/>
  <c r="G463" i="93"/>
  <c r="U451" i="93"/>
  <c r="J469" i="93"/>
  <c r="P474" i="93"/>
  <c r="S474" i="93"/>
  <c r="G513" i="93"/>
  <c r="J519" i="93"/>
  <c r="M519" i="93"/>
  <c r="M562" i="93"/>
  <c r="G566" i="93"/>
  <c r="J566" i="93"/>
  <c r="P566" i="93"/>
  <c r="S566" i="93"/>
  <c r="J730" i="93"/>
  <c r="I746" i="93"/>
  <c r="M746" i="93"/>
  <c r="K746" i="93"/>
  <c r="N827" i="93"/>
  <c r="G474" i="93"/>
  <c r="M453" i="93"/>
  <c r="M469" i="93"/>
  <c r="P469" i="93"/>
  <c r="S469" i="93"/>
  <c r="G541" i="93"/>
  <c r="K730" i="93"/>
  <c r="L868" i="93"/>
  <c r="N862" i="93"/>
  <c r="N867" i="93"/>
  <c r="O855" i="93"/>
  <c r="O942" i="93"/>
  <c r="U452" i="93"/>
  <c r="A450" i="93"/>
  <c r="J474" i="93"/>
  <c r="G500" i="93"/>
  <c r="M500" i="93"/>
  <c r="P500" i="93"/>
  <c r="S527" i="93"/>
  <c r="S541" i="93"/>
  <c r="G547" i="93"/>
  <c r="S547" i="93"/>
  <c r="G554" i="93"/>
  <c r="J582" i="93"/>
  <c r="J586" i="93" s="1"/>
  <c r="N815" i="93"/>
  <c r="N817" i="93" s="1"/>
  <c r="N819" i="93" s="1"/>
  <c r="U512" i="93"/>
  <c r="J513" i="93"/>
  <c r="P513" i="93"/>
  <c r="S519" i="93"/>
  <c r="P562" i="93"/>
  <c r="P582" i="93"/>
  <c r="P586" i="93" s="1"/>
  <c r="I730" i="93"/>
  <c r="M730" i="93"/>
  <c r="L746"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E473" i="93"/>
  <c r="E472" i="93"/>
  <c r="B480" i="93"/>
  <c r="D976" i="93"/>
  <c r="D992" i="93" s="1"/>
  <c r="S568" i="93"/>
  <c r="E471" i="93"/>
  <c r="E474" i="93" s="1"/>
  <c r="G470" i="93" s="1"/>
  <c r="J568" i="93"/>
  <c r="J585" i="93" s="1"/>
  <c r="J587" i="93" s="1"/>
  <c r="J589" i="93" s="1"/>
  <c r="M568" i="93"/>
  <c r="M585" i="93" s="1"/>
  <c r="M587" i="93" s="1"/>
  <c r="M589" i="93" s="1"/>
  <c r="O864" i="93"/>
  <c r="O868" i="93"/>
  <c r="O867" i="93"/>
  <c r="O862" i="93"/>
  <c r="O863" i="93"/>
  <c r="O843" i="93"/>
  <c r="O823" i="93"/>
  <c r="O841" i="93"/>
  <c r="P944" i="93" s="1"/>
  <c r="P945" i="93" s="1"/>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D978" i="93"/>
  <c r="H83" i="93"/>
  <c r="O945" i="93"/>
  <c r="O944" i="93"/>
  <c r="J938"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C1036" i="93" l="1"/>
  <c r="C1051" i="93" s="1"/>
  <c r="B1038" i="93"/>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F1036" i="93" l="1"/>
  <c r="F1051" i="93" s="1"/>
  <c r="E1038" i="93"/>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D1066" i="93"/>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K185" i="75"/>
  <c r="C60" i="84" s="1"/>
  <c r="F177" i="75"/>
  <c r="K175"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59" i="84" l="1"/>
  <c r="I11" i="75"/>
  <c r="I14" i="75"/>
  <c r="I10" i="75"/>
  <c r="I13" i="75"/>
  <c r="I12" i="75"/>
  <c r="I15" i="75"/>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A2011" i="93"/>
  <c r="T1727" i="93"/>
  <c r="T1729" i="93"/>
  <c r="F1910" i="93"/>
  <c r="A623" i="93"/>
  <c r="I712" i="93"/>
  <c r="A364" i="93"/>
  <c r="F112" i="74"/>
  <c r="F1068" i="93" s="1"/>
  <c r="F1075" i="93" s="1"/>
  <c r="N401" i="93"/>
  <c r="Q769" i="93"/>
  <c r="D114" i="74"/>
  <c r="D1070" i="93" s="1"/>
  <c r="N403" i="93"/>
  <c r="L31" i="68"/>
  <c r="L394" i="93" s="1"/>
  <c r="L395" i="93" s="1"/>
  <c r="F115" i="78"/>
  <c r="C133" i="90"/>
  <c r="L59" i="85" s="1"/>
  <c r="Q770" i="93"/>
  <c r="K61" i="84"/>
  <c r="G61" i="84"/>
  <c r="E61" i="84"/>
  <c r="I61" i="84"/>
  <c r="I60" i="84"/>
  <c r="E60" i="84"/>
  <c r="G60" i="84"/>
  <c r="K60" i="84"/>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C111" i="74"/>
  <c r="N400" i="93"/>
  <c r="G55" i="84"/>
  <c r="E55" i="84"/>
  <c r="I55" i="84"/>
  <c r="K55" i="84"/>
  <c r="I59" i="84"/>
  <c r="G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N55" i="66"/>
  <c r="C28" i="74"/>
  <c r="D28" i="74" s="1"/>
  <c r="F116" i="78"/>
  <c r="F113" i="78"/>
  <c r="F117" i="78"/>
  <c r="O272" i="72"/>
  <c r="O1826" i="93" s="1"/>
  <c r="Q55" i="73"/>
  <c r="P42" i="73"/>
  <c r="P1136" i="93" s="1"/>
  <c r="O40" i="66"/>
  <c r="J64" i="74"/>
  <c r="D121"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P67" i="72" l="1"/>
  <c r="P1621" i="93" s="1"/>
  <c r="F119" i="74"/>
  <c r="G62" i="74"/>
  <c r="F923" i="93"/>
  <c r="F925" i="93" s="1"/>
  <c r="K1039" i="93"/>
  <c r="K1046" i="93" s="1"/>
  <c r="J1039" i="93"/>
  <c r="G1039" i="93"/>
  <c r="G1046" i="93" s="1"/>
  <c r="B993" i="93"/>
  <c r="F1067" i="93"/>
  <c r="F1078" i="93" s="1"/>
  <c r="C37" i="74"/>
  <c r="I1039" i="93"/>
  <c r="C1067" i="93"/>
  <c r="C1074" i="93" s="1"/>
  <c r="I770" i="93"/>
  <c r="K770" i="93" s="1"/>
  <c r="L770" i="93" s="1"/>
  <c r="K13" i="75"/>
  <c r="L13" i="75" s="1"/>
  <c r="I767" i="93"/>
  <c r="K767" i="93" s="1"/>
  <c r="L767" i="93" s="1"/>
  <c r="K10" i="75"/>
  <c r="L10" i="75" s="1"/>
  <c r="I772" i="93"/>
  <c r="K772" i="93" s="1"/>
  <c r="L772" i="93" s="1"/>
  <c r="K15" i="75"/>
  <c r="L15" i="75" s="1"/>
  <c r="I771" i="93"/>
  <c r="K771" i="93" s="1"/>
  <c r="L771" i="93" s="1"/>
  <c r="K14" i="75"/>
  <c r="L14" i="75" s="1"/>
  <c r="I769" i="93"/>
  <c r="K769" i="93" s="1"/>
  <c r="L769" i="93" s="1"/>
  <c r="K12" i="75"/>
  <c r="L12" i="75" s="1"/>
  <c r="I768" i="93"/>
  <c r="K768" i="93" s="1"/>
  <c r="L768" i="93" s="1"/>
  <c r="K11" i="75"/>
  <c r="L11" i="75" s="1"/>
  <c r="O67" i="72"/>
  <c r="O1621" i="93"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F1074" i="93"/>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I1046" i="93"/>
  <c r="D1077" i="93"/>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G1009" i="93"/>
  <c r="E23" i="87"/>
  <c r="B979" i="93"/>
  <c r="E8" i="87"/>
  <c r="C75" i="84"/>
  <c r="J1046" i="93"/>
  <c r="F1009" i="93"/>
  <c r="E22" i="87"/>
  <c r="I979" i="93"/>
  <c r="E15" i="87"/>
  <c r="J151" i="78"/>
  <c r="J153" i="78" s="1"/>
  <c r="E3"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K989" i="93"/>
  <c r="G1143"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R15" i="75" l="1"/>
  <c r="R772" i="93" s="1"/>
  <c r="R14" i="75"/>
  <c r="R771" i="93" s="1"/>
  <c r="R13" i="75"/>
  <c r="R770" i="93" s="1"/>
  <c r="R11" i="75"/>
  <c r="R768" i="93" s="1"/>
  <c r="R12" i="75"/>
  <c r="R769" i="93" s="1"/>
  <c r="R10" i="75"/>
  <c r="R767" i="93" s="1"/>
  <c r="F168" i="75"/>
  <c r="C993" i="93"/>
  <c r="D10" i="86"/>
  <c r="D37" i="74"/>
  <c r="L48" i="75"/>
  <c r="L49" i="75" s="1"/>
  <c r="L805" i="93"/>
  <c r="L806" i="93" s="1"/>
  <c r="J1050" i="93"/>
  <c r="G1160" i="93"/>
  <c r="G1151" i="93"/>
  <c r="G1139" i="93"/>
  <c r="I1139" i="93" s="1"/>
  <c r="G1152" i="93"/>
  <c r="G1150" i="93"/>
  <c r="G1145" i="93"/>
  <c r="G1159" i="93"/>
  <c r="I1159" i="93" s="1"/>
  <c r="G1136" i="93"/>
  <c r="I1136" i="93" s="1"/>
  <c r="G1156" i="93"/>
  <c r="G1137" i="93"/>
  <c r="I1137" i="93" s="1"/>
  <c r="G1144" i="93"/>
  <c r="I1144" i="93" s="1"/>
  <c r="G1157" i="93"/>
  <c r="I1157" i="93" s="1"/>
  <c r="G1142" i="93"/>
  <c r="G1153" i="93"/>
  <c r="G1135" i="93"/>
  <c r="I1135" i="93" s="1"/>
  <c r="I1140" i="93" s="1"/>
  <c r="G1138" i="93"/>
  <c r="I1138" i="93" s="1"/>
  <c r="G1158" i="93"/>
  <c r="G1149" i="93"/>
  <c r="I1149" i="93" s="1"/>
  <c r="I1154" i="93" s="1"/>
  <c r="G1146" i="93"/>
  <c r="I1146" i="93" s="1"/>
  <c r="H73"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M1150" i="93"/>
  <c r="N1150" i="93"/>
  <c r="N1159" i="93"/>
  <c r="M1159" i="93"/>
  <c r="I1156" i="93"/>
  <c r="I1161" i="93" s="1"/>
  <c r="G35" i="86"/>
  <c r="F15" i="86"/>
  <c r="O17" i="86"/>
  <c r="E35" i="86"/>
  <c r="H35" i="86"/>
  <c r="G15" i="86"/>
  <c r="I35" i="86"/>
  <c r="E15" i="86"/>
  <c r="H55" i="86"/>
  <c r="H15" i="86"/>
  <c r="O16" i="86"/>
  <c r="O19" i="86" s="1"/>
  <c r="O23" i="86" s="1"/>
  <c r="O25" i="86" s="1"/>
  <c r="O31" i="86" s="1"/>
  <c r="D35" i="86"/>
  <c r="I15" i="86"/>
  <c r="F35" i="86"/>
  <c r="C55" i="86"/>
  <c r="C35" i="86"/>
  <c r="D55" i="86"/>
  <c r="D15" i="86"/>
  <c r="C15" i="86"/>
  <c r="G55" i="86"/>
  <c r="E55" i="86"/>
  <c r="F55" i="86"/>
  <c r="K1050" i="93"/>
  <c r="K987" i="93"/>
  <c r="C1078" i="93"/>
  <c r="G991" i="93"/>
  <c r="G987" i="93"/>
  <c r="E987" i="93"/>
  <c r="E991" i="93"/>
  <c r="F1046" i="93"/>
  <c r="F1050" i="93"/>
  <c r="M1145" i="93"/>
  <c r="N1145" i="93"/>
  <c r="N1158" i="93"/>
  <c r="M1158" i="93"/>
  <c r="K1147" i="93"/>
  <c r="M1142" i="93"/>
  <c r="N1142" i="93"/>
  <c r="N1147" i="93" s="1"/>
  <c r="M1152" i="93"/>
  <c r="N1152" i="93"/>
  <c r="M1151" i="93"/>
  <c r="N1151" i="93"/>
  <c r="I1158" i="93"/>
  <c r="D1017" i="93"/>
  <c r="D1021" i="93"/>
  <c r="F1017" i="93"/>
  <c r="F1021" i="93"/>
  <c r="E75" i="84"/>
  <c r="E77" i="84" s="1"/>
  <c r="C77" i="84"/>
  <c r="K75" i="84"/>
  <c r="K77" i="84" s="1"/>
  <c r="G75" i="84"/>
  <c r="G77" i="84" s="1"/>
  <c r="I75" i="84"/>
  <c r="I77" i="84" s="1"/>
  <c r="G1017" i="93"/>
  <c r="G1021" i="93"/>
  <c r="D1074" i="93"/>
  <c r="J1017" i="93"/>
  <c r="J1021" i="93"/>
  <c r="F987" i="93"/>
  <c r="F991" i="93"/>
  <c r="D1078" i="93"/>
  <c r="H1017" i="93"/>
  <c r="H1021" i="93"/>
  <c r="C1050" i="93"/>
  <c r="C1046" i="93"/>
  <c r="D987" i="93"/>
  <c r="D991" i="93"/>
  <c r="I1017" i="93"/>
  <c r="I1021" i="93"/>
  <c r="K40" i="84"/>
  <c r="D18" i="84"/>
  <c r="C38" i="84"/>
  <c r="M1938" i="93"/>
  <c r="M1939" i="93" s="1"/>
  <c r="J1938" i="93"/>
  <c r="J1939" i="93" s="1"/>
  <c r="G1050" i="93"/>
  <c r="E7" i="88"/>
  <c r="M1144" i="93"/>
  <c r="N1144" i="93"/>
  <c r="H1156" i="93"/>
  <c r="F1161" i="93"/>
  <c r="N1137" i="93"/>
  <c r="M1137" i="93"/>
  <c r="N1157" i="93"/>
  <c r="M1157" i="93"/>
  <c r="M1146" i="93"/>
  <c r="N1146" i="93"/>
  <c r="T1731" i="93"/>
  <c r="P934" i="93"/>
  <c r="N1153" i="93"/>
  <c r="M1153" i="93"/>
  <c r="E53" i="82"/>
  <c r="E984" i="93"/>
  <c r="I1143" i="93"/>
  <c r="I1150" i="93"/>
  <c r="I1151" i="93"/>
  <c r="H1050" i="93"/>
  <c r="H1046" i="93"/>
  <c r="D1046" i="93"/>
  <c r="D1050" i="93"/>
  <c r="H987" i="93"/>
  <c r="H991" i="93"/>
  <c r="J18" i="84"/>
  <c r="C40" i="84"/>
  <c r="B1074" i="93"/>
  <c r="B1078" i="93"/>
  <c r="E1050" i="93"/>
  <c r="E1046" i="93"/>
  <c r="B1050" i="93"/>
  <c r="B1046" i="93"/>
  <c r="B1017" i="93"/>
  <c r="B1021" i="93"/>
  <c r="C1017" i="93"/>
  <c r="C1021" i="93"/>
  <c r="F1140" i="93"/>
  <c r="H1135" i="93"/>
  <c r="F1147" i="93"/>
  <c r="H1142" i="93"/>
  <c r="L1954" i="93"/>
  <c r="D8" i="88"/>
  <c r="E8" i="88" s="1"/>
  <c r="N1139" i="93"/>
  <c r="M1139" i="93"/>
  <c r="M1149" i="93"/>
  <c r="K1154" i="93"/>
  <c r="N1149" i="93"/>
  <c r="N1154" i="93" s="1"/>
  <c r="I1152" i="93"/>
  <c r="I1145" i="93"/>
  <c r="I1160" i="93"/>
  <c r="I1142" i="93"/>
  <c r="I1147" i="93" s="1"/>
  <c r="I1153" i="93"/>
  <c r="E1017" i="93"/>
  <c r="E1021" i="93"/>
  <c r="C987" i="93"/>
  <c r="C991" i="93"/>
  <c r="I987" i="93"/>
  <c r="I991" i="93"/>
  <c r="K1021" i="93"/>
  <c r="K1017" i="93"/>
  <c r="J987" i="93"/>
  <c r="J991" i="93"/>
  <c r="E1074" i="93"/>
  <c r="E1078" i="93"/>
  <c r="P414" i="93"/>
  <c r="P413" i="93"/>
  <c r="I423"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C58" i="84" l="1"/>
  <c r="P415" i="93"/>
  <c r="D993" i="93"/>
  <c r="E37" i="74"/>
  <c r="E10" i="86"/>
  <c r="B970" i="93"/>
  <c r="H122" i="75"/>
  <c r="B14" i="74"/>
  <c r="G14" i="74" s="1"/>
  <c r="H79" i="93"/>
  <c r="L1968" i="93"/>
  <c r="P67" i="93"/>
  <c r="D12" i="88"/>
  <c r="K1163" i="93"/>
  <c r="L1952" i="93"/>
  <c r="L1953" i="93" s="1"/>
  <c r="M1952" i="93" s="1"/>
  <c r="E13" i="84"/>
  <c r="F53" i="82"/>
  <c r="F984" i="93"/>
  <c r="F1163" i="93"/>
  <c r="E13" i="88"/>
  <c r="C81" i="84"/>
  <c r="C80"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C62" i="84" l="1"/>
  <c r="I58" i="84"/>
  <c r="I62" i="84" s="1"/>
  <c r="K58" i="84"/>
  <c r="K62" i="84" s="1"/>
  <c r="G58" i="84"/>
  <c r="G62" i="84" s="1"/>
  <c r="E58" i="84"/>
  <c r="E62" i="84" s="1"/>
  <c r="B971" i="93"/>
  <c r="B972" i="93" s="1"/>
  <c r="E993" i="93"/>
  <c r="F37" i="74"/>
  <c r="F10" i="86"/>
  <c r="D14" i="74"/>
  <c r="E14" i="74"/>
  <c r="C52" i="84"/>
  <c r="B15" i="74"/>
  <c r="H15" i="74" s="1"/>
  <c r="F14" i="74"/>
  <c r="C14" i="74"/>
  <c r="H879" i="93"/>
  <c r="O879" i="93" s="1"/>
  <c r="O122" i="75"/>
  <c r="P590" i="93"/>
  <c r="P591" i="93" s="1"/>
  <c r="P593" i="93" s="1"/>
  <c r="G53" i="82"/>
  <c r="G984" i="93"/>
  <c r="M590" i="93"/>
  <c r="M591" i="93" s="1"/>
  <c r="M593" i="93" s="1"/>
  <c r="J1599" i="93"/>
  <c r="F479" i="93"/>
  <c r="P167" i="93"/>
  <c r="P168" i="93"/>
  <c r="O168" i="93"/>
  <c r="G570" i="93"/>
  <c r="P479" i="93"/>
  <c r="K18" i="88"/>
  <c r="H16" i="85"/>
  <c r="I7" i="88"/>
  <c r="I13" i="88" s="1"/>
  <c r="H12" i="88"/>
  <c r="D34" i="90" s="1"/>
  <c r="B977" i="93"/>
  <c r="P936" i="93"/>
  <c r="J590" i="93"/>
  <c r="J591" i="93" s="1"/>
  <c r="J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F993" i="93"/>
  <c r="G37" i="74"/>
  <c r="G10" i="86"/>
  <c r="B16" i="74"/>
  <c r="K5" i="74" s="1"/>
  <c r="C53" i="84"/>
  <c r="F15" i="74"/>
  <c r="F16" i="74" s="1"/>
  <c r="E15" i="74"/>
  <c r="E16" i="74" s="1"/>
  <c r="G15" i="74"/>
  <c r="C15" i="74"/>
  <c r="C16" i="74" s="1"/>
  <c r="D15" i="74"/>
  <c r="D16" i="74" s="1"/>
  <c r="I52" i="84"/>
  <c r="E52" i="84"/>
  <c r="G52" i="84"/>
  <c r="K52" i="84"/>
  <c r="J594" i="93"/>
  <c r="J157" i="78"/>
  <c r="J158" i="78" s="1"/>
  <c r="G15" i="82"/>
  <c r="G19" i="82" s="1"/>
  <c r="E47" i="78"/>
  <c r="N94" i="93"/>
  <c r="L1951" i="93"/>
  <c r="O1980" i="93"/>
  <c r="O1981" i="93" s="1"/>
  <c r="J1836" i="93"/>
  <c r="L1836" i="93" s="1"/>
  <c r="O1975" i="93"/>
  <c r="O1976" i="93" s="1"/>
  <c r="M1962" i="93"/>
  <c r="D570" i="93"/>
  <c r="F560" i="93"/>
  <c r="E483" i="93"/>
  <c r="J479" i="93"/>
  <c r="E514" i="93"/>
  <c r="N97" i="93"/>
  <c r="C13" i="84"/>
  <c r="F54" i="89"/>
  <c r="D33" i="90" s="1"/>
  <c r="D55" i="92" s="1"/>
  <c r="P937" i="93"/>
  <c r="M937" i="93"/>
  <c r="H53" i="82"/>
  <c r="H984"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C20" i="74" l="1"/>
  <c r="D20" i="74"/>
  <c r="B20" i="74"/>
  <c r="F20" i="74"/>
  <c r="G16" i="74"/>
  <c r="G20" i="74" s="1"/>
  <c r="E20" i="74"/>
  <c r="G993" i="93"/>
  <c r="H37" i="74"/>
  <c r="H10" i="86"/>
  <c r="E53" i="84"/>
  <c r="E54" i="84" s="1"/>
  <c r="K53" i="84"/>
  <c r="K54" i="84" s="1"/>
  <c r="I53" i="84"/>
  <c r="G53" i="84"/>
  <c r="G54" i="84" s="1"/>
  <c r="G56" i="84" s="1"/>
  <c r="G64" i="84" s="1"/>
  <c r="C54" i="84"/>
  <c r="C56" i="84" s="1"/>
  <c r="C64" i="84" s="1"/>
  <c r="K7" i="74"/>
  <c r="J4" i="91"/>
  <c r="D35" i="90"/>
  <c r="I64" i="92" s="1"/>
  <c r="F52" i="89"/>
  <c r="K19" i="88"/>
  <c r="F16" i="85"/>
  <c r="D16" i="83"/>
  <c r="H19" i="84"/>
  <c r="C19" i="84"/>
  <c r="L301" i="73"/>
  <c r="M1395" i="93"/>
  <c r="L1395" i="93" s="1"/>
  <c r="L305" i="73"/>
  <c r="M1399" i="93"/>
  <c r="L1399" i="93" s="1"/>
  <c r="I53" i="82"/>
  <c r="I984"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K56" i="84"/>
  <c r="K64" i="84" s="1"/>
  <c r="H993" i="93"/>
  <c r="I37" i="74"/>
  <c r="C30" i="86" s="1"/>
  <c r="I10" i="86"/>
  <c r="I54" i="84"/>
  <c r="I56" i="84" s="1"/>
  <c r="I64" i="84" s="1"/>
  <c r="E56" i="84"/>
  <c r="E64" i="84" s="1"/>
  <c r="J53" i="82"/>
  <c r="J984" i="93"/>
  <c r="I39" i="88"/>
  <c r="K38" i="88" s="1"/>
  <c r="K21" i="88"/>
  <c r="K30" i="88" s="1"/>
  <c r="K34" i="88" s="1"/>
  <c r="E32" i="72"/>
  <c r="E1586" i="93" s="1"/>
  <c r="O1707" i="93"/>
  <c r="P270" i="72"/>
  <c r="P1824" i="93" s="1"/>
  <c r="P1836" i="93"/>
  <c r="K13" i="88"/>
  <c r="P1157" i="93"/>
  <c r="J598" i="93"/>
  <c r="O396" i="72"/>
  <c r="J162" i="78"/>
  <c r="J163" i="78" s="1"/>
  <c r="J599" i="93" s="1"/>
  <c r="K28" i="74"/>
  <c r="K984" i="93" s="1"/>
  <c r="O270" i="72"/>
  <c r="O1824" i="93" s="1"/>
  <c r="J16" i="74"/>
  <c r="J20" i="74" s="1"/>
  <c r="K14" i="74"/>
  <c r="B43" i="74"/>
  <c r="K15" i="74"/>
  <c r="K21" i="74"/>
  <c r="E33" i="86" s="1"/>
  <c r="C68" i="84" l="1"/>
  <c r="P175" i="75"/>
  <c r="N171" i="75"/>
  <c r="N172" i="75"/>
  <c r="N929" i="93"/>
  <c r="N928" i="93"/>
  <c r="P932" i="93"/>
  <c r="I993" i="93"/>
  <c r="J37" i="74"/>
  <c r="E40" i="72"/>
  <c r="E1594" i="93" s="1"/>
  <c r="O1950" i="93"/>
  <c r="G598" i="93"/>
  <c r="J601" i="93"/>
  <c r="J603" i="93" s="1"/>
  <c r="J605" i="93" s="1"/>
  <c r="J607" i="93" s="1"/>
  <c r="K53" i="82"/>
  <c r="G162" i="78"/>
  <c r="J165" i="78"/>
  <c r="J167" i="78" s="1"/>
  <c r="K16" i="74"/>
  <c r="K20" i="74" s="1"/>
  <c r="C43" i="74"/>
  <c r="B51" i="74"/>
  <c r="F33" i="86" s="1"/>
  <c r="B45" i="74"/>
  <c r="B44" i="74"/>
  <c r="O933" i="93" l="1"/>
  <c r="M932" i="93"/>
  <c r="P947" i="93"/>
  <c r="F122" i="78"/>
  <c r="F557" i="93"/>
  <c r="P190" i="75"/>
  <c r="B975" i="93"/>
  <c r="F121" i="78"/>
  <c r="F558" i="93"/>
  <c r="B19" i="74"/>
  <c r="C49" i="74" s="1"/>
  <c r="O176" i="75"/>
  <c r="M175" i="75"/>
  <c r="E68" i="84"/>
  <c r="E70" i="84" s="1"/>
  <c r="I68" i="84"/>
  <c r="I70" i="84" s="1"/>
  <c r="K68" i="84"/>
  <c r="K70" i="84" s="1"/>
  <c r="G68" i="84"/>
  <c r="G70" i="84" s="1"/>
  <c r="C70" i="84"/>
  <c r="J611" i="93"/>
  <c r="E535" i="93" s="1"/>
  <c r="J535" i="93" s="1"/>
  <c r="M609" i="93"/>
  <c r="B15" i="82"/>
  <c r="J169" i="78"/>
  <c r="J171" i="78" s="1"/>
  <c r="J993" i="93"/>
  <c r="K37" i="74"/>
  <c r="D30" i="86"/>
  <c r="O43" i="72"/>
  <c r="O1597" i="93" s="1"/>
  <c r="R1597" i="93" s="1"/>
  <c r="D43" i="74"/>
  <c r="C44" i="74"/>
  <c r="C45" i="74"/>
  <c r="C51" i="74"/>
  <c r="G33" i="86" s="1"/>
  <c r="B46" i="74"/>
  <c r="B50" i="74" s="1"/>
  <c r="C72" i="84" l="1"/>
  <c r="C76" i="84"/>
  <c r="C73" i="84" s="1"/>
  <c r="E76" i="84"/>
  <c r="E73" i="84" s="1"/>
  <c r="E72" i="84"/>
  <c r="H19" i="74"/>
  <c r="F19" i="74"/>
  <c r="B22" i="74"/>
  <c r="C19" i="74"/>
  <c r="D19" i="74"/>
  <c r="I19" i="74"/>
  <c r="G19" i="74"/>
  <c r="E19" i="74"/>
  <c r="J19" i="74"/>
  <c r="K19" i="74"/>
  <c r="B36" i="74"/>
  <c r="B49" i="74"/>
  <c r="B66" i="74" s="1"/>
  <c r="I72" i="84"/>
  <c r="I76" i="84"/>
  <c r="I73" i="84" s="1"/>
  <c r="B978" i="93"/>
  <c r="B992" i="93"/>
  <c r="G76" i="84"/>
  <c r="G73" i="84" s="1"/>
  <c r="G72" i="84"/>
  <c r="K76" i="84"/>
  <c r="K73" i="84" s="1"/>
  <c r="K72" i="84"/>
  <c r="J175" i="78"/>
  <c r="M173" i="78"/>
  <c r="K993" i="93"/>
  <c r="B67" i="74"/>
  <c r="E30" i="86"/>
  <c r="P43" i="72"/>
  <c r="R43" i="72"/>
  <c r="C46" i="74"/>
  <c r="D44" i="74"/>
  <c r="E43" i="74"/>
  <c r="D51" i="74"/>
  <c r="H33" i="86" s="1"/>
  <c r="D49" i="74"/>
  <c r="D45" i="74"/>
  <c r="B52" i="74" l="1"/>
  <c r="B58" i="74" s="1"/>
  <c r="B991" i="93"/>
  <c r="B987" i="93"/>
  <c r="G22" i="74"/>
  <c r="G36" i="74"/>
  <c r="K36" i="74"/>
  <c r="K22" i="74"/>
  <c r="I22" i="74"/>
  <c r="I36" i="74"/>
  <c r="F22" i="74"/>
  <c r="F36" i="74"/>
  <c r="B35" i="74"/>
  <c r="B31" i="74"/>
  <c r="B44" i="82"/>
  <c r="B64" i="82"/>
  <c r="B71" i="82" s="1"/>
  <c r="J36" i="74"/>
  <c r="J22" i="74"/>
  <c r="D22" i="74"/>
  <c r="D36" i="74"/>
  <c r="H36" i="74"/>
  <c r="H22" i="74"/>
  <c r="C50" i="74"/>
  <c r="C66" i="74" s="1"/>
  <c r="E22" i="74"/>
  <c r="E36" i="74"/>
  <c r="C22" i="74"/>
  <c r="C36" i="74"/>
  <c r="C21" i="86"/>
  <c r="M61" i="85"/>
  <c r="P61" i="85" s="1"/>
  <c r="L49" i="68"/>
  <c r="L50" i="68"/>
  <c r="N50" i="68" s="1"/>
  <c r="L413" i="93"/>
  <c r="N413" i="93" s="1"/>
  <c r="I9" i="66"/>
  <c r="L412" i="93"/>
  <c r="N412" i="93" s="1"/>
  <c r="E99" i="78"/>
  <c r="J99" i="78" s="1"/>
  <c r="I20" i="93"/>
  <c r="B1023" i="93"/>
  <c r="C67" i="74"/>
  <c r="F30" i="86"/>
  <c r="P441" i="72"/>
  <c r="P444" i="72" s="1"/>
  <c r="P1597" i="93"/>
  <c r="P1995" i="93" s="1"/>
  <c r="D46" i="74"/>
  <c r="E44" i="74"/>
  <c r="F43" i="74"/>
  <c r="E49" i="74"/>
  <c r="E45" i="74"/>
  <c r="E51" i="74"/>
  <c r="I33" i="86" s="1"/>
  <c r="B66" i="82" l="1"/>
  <c r="B73" i="82"/>
  <c r="B1014" i="93"/>
  <c r="B61" i="74"/>
  <c r="B65" i="74"/>
  <c r="C44" i="82"/>
  <c r="C31" i="74"/>
  <c r="C35" i="74"/>
  <c r="I31" i="74"/>
  <c r="I35" i="74"/>
  <c r="I44" i="82"/>
  <c r="G44" i="82"/>
  <c r="G31" i="74"/>
  <c r="G35" i="74"/>
  <c r="D50" i="74"/>
  <c r="D66" i="74" s="1"/>
  <c r="D31" i="74"/>
  <c r="D44" i="82"/>
  <c r="D35" i="74"/>
  <c r="C52" i="74"/>
  <c r="C58" i="74" s="1"/>
  <c r="K44" i="82"/>
  <c r="K31" i="74"/>
  <c r="K35" i="74"/>
  <c r="E31" i="74"/>
  <c r="E35" i="74"/>
  <c r="E44" i="82"/>
  <c r="H44" i="82"/>
  <c r="H35" i="74"/>
  <c r="H31" i="74"/>
  <c r="J31" i="74"/>
  <c r="J35" i="74"/>
  <c r="J44" i="82"/>
  <c r="B51" i="82"/>
  <c r="B46" i="82"/>
  <c r="F31" i="74"/>
  <c r="F44" i="82"/>
  <c r="F35" i="74"/>
  <c r="N49" i="68"/>
  <c r="B14" i="82"/>
  <c r="C22" i="86"/>
  <c r="C42" i="86" s="1"/>
  <c r="D42" i="86" s="1"/>
  <c r="E42" i="86" s="1"/>
  <c r="C41" i="86"/>
  <c r="D41" i="86" s="1"/>
  <c r="E41" i="86" s="1"/>
  <c r="D21" i="86"/>
  <c r="C1023" i="93"/>
  <c r="D67" i="74"/>
  <c r="G30" i="86"/>
  <c r="P1998" i="93"/>
  <c r="P1560" i="93"/>
  <c r="P6" i="72"/>
  <c r="E46" i="74"/>
  <c r="E50" i="74" s="1"/>
  <c r="E66" i="74" s="1"/>
  <c r="G43" i="74"/>
  <c r="F45" i="74"/>
  <c r="F51" i="74"/>
  <c r="C53" i="86" s="1"/>
  <c r="F49" i="74"/>
  <c r="F44" i="74"/>
  <c r="C73" i="82" l="1"/>
  <c r="C1014" i="93"/>
  <c r="F51" i="82"/>
  <c r="F46" i="82"/>
  <c r="J46" i="82"/>
  <c r="J51" i="82"/>
  <c r="H51" i="82"/>
  <c r="H46" i="82"/>
  <c r="C64" i="82"/>
  <c r="C61" i="74"/>
  <c r="C65" i="74"/>
  <c r="E51" i="82"/>
  <c r="E46" i="82"/>
  <c r="C51" i="82"/>
  <c r="C46" i="82"/>
  <c r="K46" i="82"/>
  <c r="K51" i="82"/>
  <c r="G51" i="82"/>
  <c r="G46" i="82"/>
  <c r="I51" i="82"/>
  <c r="I46" i="82"/>
  <c r="E52" i="74"/>
  <c r="D51" i="82"/>
  <c r="D46" i="82"/>
  <c r="D52" i="74"/>
  <c r="D58" i="74" s="1"/>
  <c r="G20" i="82"/>
  <c r="B20" i="82"/>
  <c r="B21" i="82" s="1"/>
  <c r="D22" i="86"/>
  <c r="E21" i="86"/>
  <c r="D1023" i="93"/>
  <c r="E67" i="74"/>
  <c r="H30" i="86"/>
  <c r="F46" i="74"/>
  <c r="F50" i="74" s="1"/>
  <c r="F66" i="74" s="1"/>
  <c r="H43" i="74"/>
  <c r="G44" i="74"/>
  <c r="G45" i="74"/>
  <c r="G51" i="74"/>
  <c r="D53" i="86" s="1"/>
  <c r="G49" i="74"/>
  <c r="E65" i="74" l="1"/>
  <c r="E58" i="74"/>
  <c r="D73" i="82"/>
  <c r="D1014" i="93"/>
  <c r="E64" i="82"/>
  <c r="E71" i="82" s="1"/>
  <c r="E61" i="74"/>
  <c r="D64" i="82"/>
  <c r="D65" i="74"/>
  <c r="D61" i="74"/>
  <c r="F52" i="74"/>
  <c r="C71" i="82"/>
  <c r="C66" i="82"/>
  <c r="F21" i="86"/>
  <c r="E22" i="86"/>
  <c r="E66" i="82"/>
  <c r="F65" i="74"/>
  <c r="E1023" i="93"/>
  <c r="F67" i="74"/>
  <c r="I30" i="86"/>
  <c r="I43" i="74"/>
  <c r="H44" i="74"/>
  <c r="H45" i="74"/>
  <c r="H51" i="74"/>
  <c r="E53" i="86" s="1"/>
  <c r="H49" i="74"/>
  <c r="G46" i="74"/>
  <c r="G50" i="74" s="1"/>
  <c r="G66" i="74" s="1"/>
  <c r="F61" i="74" l="1"/>
  <c r="F58" i="74"/>
  <c r="E73" i="82"/>
  <c r="E1014" i="93"/>
  <c r="F64" i="82"/>
  <c r="G52" i="74"/>
  <c r="D71" i="82"/>
  <c r="D66" i="82"/>
  <c r="G21" i="86"/>
  <c r="F22" i="86"/>
  <c r="F1023" i="93"/>
  <c r="G67" i="74"/>
  <c r="C50" i="86"/>
  <c r="F71" i="82"/>
  <c r="F66" i="82"/>
  <c r="B25" i="82" s="1"/>
  <c r="H46" i="74"/>
  <c r="H50" i="74" s="1"/>
  <c r="H66" i="74" s="1"/>
  <c r="I44" i="74"/>
  <c r="I49" i="74"/>
  <c r="J43" i="74"/>
  <c r="I51" i="74"/>
  <c r="F53" i="86" s="1"/>
  <c r="I45" i="74"/>
  <c r="G65" i="74" l="1"/>
  <c r="G58" i="74"/>
  <c r="F73" i="82"/>
  <c r="F1014" i="93"/>
  <c r="G61" i="74"/>
  <c r="G64" i="82"/>
  <c r="G66" i="82" s="1"/>
  <c r="H52" i="74"/>
  <c r="G22" i="86"/>
  <c r="H21" i="86"/>
  <c r="G1023" i="93"/>
  <c r="H67" i="74"/>
  <c r="D50" i="86"/>
  <c r="D57" i="86" s="1"/>
  <c r="D58" i="86" s="1"/>
  <c r="D60" i="86" s="1"/>
  <c r="D64" i="86" s="1"/>
  <c r="K21" i="86" s="1"/>
  <c r="G71"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I46" i="74"/>
  <c r="K43" i="74"/>
  <c r="J49" i="74"/>
  <c r="J44" i="74"/>
  <c r="J51" i="74"/>
  <c r="G53" i="86" s="1"/>
  <c r="J45" i="74"/>
  <c r="H58" i="74" l="1"/>
  <c r="G73" i="82"/>
  <c r="G1014" i="93"/>
  <c r="G1016" i="93" s="1"/>
  <c r="G60" i="74"/>
  <c r="H65" i="74"/>
  <c r="H64" i="82"/>
  <c r="H71" i="82" s="1"/>
  <c r="H61" i="74"/>
  <c r="I50" i="74"/>
  <c r="I66" i="74" s="1"/>
  <c r="H22" i="86"/>
  <c r="I21" i="86"/>
  <c r="I22" i="86" s="1"/>
  <c r="H1023" i="93"/>
  <c r="I67" i="74"/>
  <c r="E50" i="86"/>
  <c r="E57" i="86" s="1"/>
  <c r="E58" i="86" s="1"/>
  <c r="E60" i="86" s="1"/>
  <c r="E64" i="86" s="1"/>
  <c r="K22" i="86"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G74" i="82"/>
  <c r="G75" i="82" s="1"/>
  <c r="G76" i="82" s="1"/>
  <c r="B73" i="74"/>
  <c r="K44" i="74"/>
  <c r="K45" i="74"/>
  <c r="K51" i="74"/>
  <c r="H53" i="86" s="1"/>
  <c r="K49" i="74"/>
  <c r="J46" i="74"/>
  <c r="H73" i="82" l="1"/>
  <c r="H74" i="82" s="1"/>
  <c r="H75" i="82" s="1"/>
  <c r="H76" i="82" s="1"/>
  <c r="H1014" i="93"/>
  <c r="H1016" i="93" s="1"/>
  <c r="H60" i="74"/>
  <c r="H66" i="82"/>
  <c r="J50" i="74"/>
  <c r="J66" i="74" s="1"/>
  <c r="I52" i="74"/>
  <c r="I58" i="74" s="1"/>
  <c r="I1023" i="93"/>
  <c r="J67" i="74"/>
  <c r="F50" i="86"/>
  <c r="F57" i="86" s="1"/>
  <c r="F58" i="86" s="1"/>
  <c r="F60" i="86" s="1"/>
  <c r="F64" i="86" s="1"/>
  <c r="K23" i="86" s="1"/>
  <c r="B29" i="82"/>
  <c r="G21" i="82"/>
  <c r="B56" i="82"/>
  <c r="K46" i="74"/>
  <c r="C73" i="74"/>
  <c r="B81" i="74"/>
  <c r="B74" i="74"/>
  <c r="B79" i="74"/>
  <c r="B75" i="74"/>
  <c r="I73" i="82" l="1"/>
  <c r="I1014" i="93"/>
  <c r="I1016" i="93" s="1"/>
  <c r="K50" i="74"/>
  <c r="K66" i="74" s="1"/>
  <c r="I60" i="74"/>
  <c r="I61" i="74"/>
  <c r="I65" i="74"/>
  <c r="I64" i="82"/>
  <c r="J52" i="74"/>
  <c r="J58" i="74" s="1"/>
  <c r="J1023" i="93"/>
  <c r="K67" i="74"/>
  <c r="G50" i="86"/>
  <c r="G57" i="86" s="1"/>
  <c r="G58" i="86" s="1"/>
  <c r="G60" i="86" s="1"/>
  <c r="G64" i="86" s="1"/>
  <c r="K24" i="86" s="1"/>
  <c r="D73" i="74"/>
  <c r="C79" i="74"/>
  <c r="C81" i="74"/>
  <c r="C75" i="74"/>
  <c r="C74" i="74"/>
  <c r="B76" i="74"/>
  <c r="J1014" i="93" l="1"/>
  <c r="J1016" i="93" s="1"/>
  <c r="J73" i="82"/>
  <c r="I66" i="82"/>
  <c r="I71" i="82"/>
  <c r="I74" i="82" s="1"/>
  <c r="I75" i="82" s="1"/>
  <c r="I76" i="82" s="1"/>
  <c r="J60" i="74"/>
  <c r="J64" i="82"/>
  <c r="J61" i="74"/>
  <c r="J65" i="74"/>
  <c r="K52" i="74"/>
  <c r="K58" i="74" s="1"/>
  <c r="B80" i="74"/>
  <c r="B95" i="74" s="1"/>
  <c r="K1023" i="93"/>
  <c r="L63" i="85"/>
  <c r="C85" i="90"/>
  <c r="L93" i="85"/>
  <c r="O8" i="86"/>
  <c r="O14" i="86" s="1"/>
  <c r="O33" i="86" s="1"/>
  <c r="H63" i="86" s="1"/>
  <c r="B96" i="74"/>
  <c r="H50" i="86"/>
  <c r="H57" i="86" s="1"/>
  <c r="H58" i="86" s="1"/>
  <c r="H60" i="86" s="1"/>
  <c r="H64" i="86" s="1"/>
  <c r="K25" i="86" s="1"/>
  <c r="C76" i="74"/>
  <c r="C80" i="74" s="1"/>
  <c r="C95" i="74" s="1"/>
  <c r="E73" i="74"/>
  <c r="D81" i="74"/>
  <c r="D75" i="74"/>
  <c r="D79" i="74"/>
  <c r="D74" i="74"/>
  <c r="K1014" i="93" l="1"/>
  <c r="K1016" i="93" s="1"/>
  <c r="K73" i="82"/>
  <c r="B88" i="74"/>
  <c r="K60" i="74"/>
  <c r="K65" i="74"/>
  <c r="K64" i="82"/>
  <c r="K61" i="74"/>
  <c r="C82" i="74"/>
  <c r="C90" i="74" s="1"/>
  <c r="B82" i="74"/>
  <c r="J71" i="82"/>
  <c r="J74" i="82" s="1"/>
  <c r="J75" i="82" s="1"/>
  <c r="J76" i="82" s="1"/>
  <c r="J66" i="82"/>
  <c r="B1052" i="93"/>
  <c r="C96" i="74"/>
  <c r="D76" i="74"/>
  <c r="F73" i="74"/>
  <c r="E74" i="74"/>
  <c r="E79" i="74"/>
  <c r="E75" i="74"/>
  <c r="E81" i="74"/>
  <c r="B1044" i="93" l="1"/>
  <c r="B1045" i="93" s="1"/>
  <c r="C88" i="74"/>
  <c r="C94" i="74"/>
  <c r="B90" i="74"/>
  <c r="B94" i="74"/>
  <c r="B89" i="74"/>
  <c r="K71" i="82"/>
  <c r="K74" i="82" s="1"/>
  <c r="K75" i="82" s="1"/>
  <c r="K76" i="82" s="1"/>
  <c r="K66" i="82"/>
  <c r="D80" i="74"/>
  <c r="D95" i="74" s="1"/>
  <c r="C1052" i="93"/>
  <c r="D96" i="74"/>
  <c r="E76" i="74"/>
  <c r="G73" i="74"/>
  <c r="F75" i="74"/>
  <c r="F74" i="74"/>
  <c r="F81" i="74"/>
  <c r="F79" i="74"/>
  <c r="C1044" i="93" l="1"/>
  <c r="C1045" i="93" s="1"/>
  <c r="D88" i="74"/>
  <c r="C89" i="74"/>
  <c r="D82" i="74"/>
  <c r="E80" i="74"/>
  <c r="E95" i="74" s="1"/>
  <c r="D1052" i="93"/>
  <c r="E96" i="74"/>
  <c r="H73" i="74"/>
  <c r="G74" i="74"/>
  <c r="G79" i="74"/>
  <c r="G75" i="74"/>
  <c r="G81" i="74"/>
  <c r="F76" i="74"/>
  <c r="F80" i="74" s="1"/>
  <c r="F95" i="74" s="1"/>
  <c r="D1044" i="93" l="1"/>
  <c r="D1045" i="93" s="1"/>
  <c r="E88" i="74"/>
  <c r="D94" i="74"/>
  <c r="D89" i="74"/>
  <c r="D90" i="74"/>
  <c r="F82" i="74"/>
  <c r="F90" i="74" s="1"/>
  <c r="E82" i="74"/>
  <c r="E1052" i="93"/>
  <c r="F96" i="74"/>
  <c r="G76" i="74"/>
  <c r="I73" i="74"/>
  <c r="H81" i="74"/>
  <c r="H75" i="74"/>
  <c r="H74" i="74"/>
  <c r="H79" i="74"/>
  <c r="E1044" i="93" l="1"/>
  <c r="E1045" i="93" s="1"/>
  <c r="F88" i="74"/>
  <c r="F89" i="74"/>
  <c r="F94" i="74"/>
  <c r="E90" i="74"/>
  <c r="E89" i="74"/>
  <c r="E94" i="74"/>
  <c r="G80" i="74"/>
  <c r="G95" i="74" s="1"/>
  <c r="F1052" i="93"/>
  <c r="G96" i="74"/>
  <c r="J73" i="74"/>
  <c r="I79" i="74"/>
  <c r="I74" i="74"/>
  <c r="I81" i="74"/>
  <c r="I75" i="74"/>
  <c r="H76" i="74"/>
  <c r="F1044" i="93" l="1"/>
  <c r="F1045" i="93" s="1"/>
  <c r="G88" i="74"/>
  <c r="G82" i="74"/>
  <c r="H80" i="74"/>
  <c r="H95" i="74" s="1"/>
  <c r="G1052" i="93"/>
  <c r="H96" i="74"/>
  <c r="I76" i="74"/>
  <c r="K73" i="74"/>
  <c r="J79" i="74"/>
  <c r="J81" i="74"/>
  <c r="J75" i="74"/>
  <c r="J74" i="74"/>
  <c r="G1044" i="93" l="1"/>
  <c r="G1045" i="93" s="1"/>
  <c r="H88" i="74"/>
  <c r="I80" i="74"/>
  <c r="I95" i="74" s="1"/>
  <c r="G89" i="74"/>
  <c r="G94" i="74"/>
  <c r="G90" i="74"/>
  <c r="H82" i="74"/>
  <c r="H1052" i="93"/>
  <c r="I96" i="74"/>
  <c r="J76" i="74"/>
  <c r="B101" i="74"/>
  <c r="K74" i="74"/>
  <c r="K75" i="74"/>
  <c r="K81" i="74"/>
  <c r="K79" i="74"/>
  <c r="H1044" i="93" l="1"/>
  <c r="H1045" i="93" s="1"/>
  <c r="I88" i="74"/>
  <c r="H89" i="74"/>
  <c r="H94" i="74"/>
  <c r="H90" i="74"/>
  <c r="J80" i="74"/>
  <c r="J95" i="74" s="1"/>
  <c r="I82" i="74"/>
  <c r="I1052" i="93"/>
  <c r="J96" i="74"/>
  <c r="K76" i="74"/>
  <c r="C101" i="74"/>
  <c r="B109" i="74"/>
  <c r="B107" i="74"/>
  <c r="B102" i="74"/>
  <c r="B103" i="74"/>
  <c r="I1044" i="93" l="1"/>
  <c r="I1045" i="93" s="1"/>
  <c r="J88" i="74"/>
  <c r="I89" i="74"/>
  <c r="I90" i="74"/>
  <c r="I94" i="74"/>
  <c r="K80" i="74"/>
  <c r="K95" i="74" s="1"/>
  <c r="J82" i="74"/>
  <c r="J1052" i="93"/>
  <c r="K96" i="74"/>
  <c r="D101" i="74"/>
  <c r="C109" i="74"/>
  <c r="C107" i="74"/>
  <c r="C103" i="74"/>
  <c r="C102" i="74"/>
  <c r="B104" i="74"/>
  <c r="J1044" i="93" l="1"/>
  <c r="J1045" i="93" s="1"/>
  <c r="K88" i="74"/>
  <c r="J89" i="74"/>
  <c r="J94" i="74"/>
  <c r="J90" i="74"/>
  <c r="K82" i="74"/>
  <c r="B108" i="74"/>
  <c r="B123" i="74" s="1"/>
  <c r="K1052" i="93"/>
  <c r="B124" i="74"/>
  <c r="C104" i="74"/>
  <c r="C108" i="74" s="1"/>
  <c r="C123" i="74" s="1"/>
  <c r="D107" i="74"/>
  <c r="D102" i="74"/>
  <c r="E101" i="74"/>
  <c r="D103" i="74"/>
  <c r="D109" i="74"/>
  <c r="K1044" i="93" l="1"/>
  <c r="K1045" i="93" s="1"/>
  <c r="B116" i="74"/>
  <c r="K89" i="74"/>
  <c r="K94" i="74"/>
  <c r="K90" i="74"/>
  <c r="C110" i="74"/>
  <c r="C118" i="74" s="1"/>
  <c r="B110" i="74"/>
  <c r="B1080" i="93"/>
  <c r="C124" i="74"/>
  <c r="D104" i="74"/>
  <c r="F101" i="74"/>
  <c r="E102" i="74"/>
  <c r="E109" i="74"/>
  <c r="E103" i="74"/>
  <c r="E107" i="74"/>
  <c r="B1072" i="93" l="1"/>
  <c r="B1073" i="93" s="1"/>
  <c r="C116" i="74"/>
  <c r="C117" i="74"/>
  <c r="C122" i="74"/>
  <c r="B117" i="74"/>
  <c r="B118" i="74"/>
  <c r="B122" i="74"/>
  <c r="D108" i="74"/>
  <c r="D123" i="74" s="1"/>
  <c r="C1080" i="93"/>
  <c r="D124" i="74"/>
  <c r="E104" i="74"/>
  <c r="F109" i="74"/>
  <c r="F103" i="74"/>
  <c r="F102" i="74"/>
  <c r="F107" i="74"/>
  <c r="C1072" i="93" l="1"/>
  <c r="C1073" i="93" s="1"/>
  <c r="D116" i="74"/>
  <c r="E108" i="74"/>
  <c r="E123" i="74" s="1"/>
  <c r="D110" i="74"/>
  <c r="D1080" i="93"/>
  <c r="E124" i="74"/>
  <c r="F104" i="74"/>
  <c r="D1072" i="93" l="1"/>
  <c r="D1073" i="93" s="1"/>
  <c r="E116" i="74"/>
  <c r="D117" i="74"/>
  <c r="D118" i="74"/>
  <c r="D122" i="74"/>
  <c r="F108" i="74"/>
  <c r="F123" i="74" s="1"/>
  <c r="E110" i="74"/>
  <c r="E1080" i="93"/>
  <c r="F124" i="74"/>
  <c r="F1080" i="9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F118" i="74" s="1"/>
  <c r="E1072" i="93"/>
  <c r="E1073" i="93" s="1"/>
  <c r="F116" i="74"/>
  <c r="F1072" i="93" s="1"/>
  <c r="F1073" i="93" s="1"/>
  <c r="F122" i="74"/>
  <c r="E118" i="74"/>
  <c r="E122" i="74"/>
  <c r="E117" i="74"/>
  <c r="A58" i="26"/>
  <c r="G58" i="26"/>
  <c r="A1" i="25"/>
  <c r="A50" i="25"/>
  <c r="A1" i="26"/>
  <c r="F117" i="74" l="1"/>
  <c r="O294" i="72"/>
  <c r="Q295" i="72"/>
  <c r="E37" i="72" l="1"/>
  <c r="E1591" i="93" s="1"/>
  <c r="O1848" i="93"/>
  <c r="O1995" i="93" s="1"/>
  <c r="O1560" i="93" s="1"/>
  <c r="O441" i="72"/>
  <c r="O6" i="72" l="1"/>
  <c r="R1995" i="93"/>
  <c r="C14" i="86"/>
  <c r="F14" i="86"/>
  <c r="B985" i="93"/>
  <c r="B986" i="93" s="1"/>
  <c r="B1015" i="93"/>
  <c r="B1016" i="93" s="1"/>
  <c r="N42" i="68"/>
  <c r="N405" i="93" s="1"/>
  <c r="R19" i="74"/>
  <c r="R21" i="74"/>
  <c r="D985" i="93"/>
  <c r="D986" i="93" s="1"/>
  <c r="E985" i="93"/>
  <c r="E986" i="93" s="1"/>
  <c r="G14" i="86"/>
  <c r="G30" i="74"/>
  <c r="H9" i="86" s="1"/>
  <c r="C34" i="86"/>
  <c r="J985" i="93"/>
  <c r="J986" i="93" s="1"/>
  <c r="K985" i="93"/>
  <c r="K986" i="93" s="1"/>
  <c r="B30" i="74"/>
  <c r="C9" i="86" s="1"/>
  <c r="E30" i="74"/>
  <c r="F9" i="86" s="1"/>
  <c r="F30" i="74"/>
  <c r="G9" i="86" s="1"/>
  <c r="I30" i="74"/>
  <c r="C29" i="86" s="1"/>
  <c r="J30" i="74"/>
  <c r="D29" i="86" s="1"/>
  <c r="B41" i="74"/>
  <c r="B997" i="93" s="1"/>
  <c r="G34" i="86"/>
  <c r="D1015" i="93"/>
  <c r="D1016" i="93" s="1"/>
  <c r="E1015" i="93"/>
  <c r="E1016" i="93" s="1"/>
  <c r="C54" i="86"/>
  <c r="B60" i="74"/>
  <c r="D60" i="74"/>
  <c r="H29" i="86" s="1"/>
  <c r="F60" i="74"/>
  <c r="C49" i="86" s="1"/>
  <c r="C37" i="86" l="1"/>
  <c r="C38" i="86" s="1"/>
  <c r="G17" i="86"/>
  <c r="G18" i="86" s="1"/>
  <c r="G20" i="86" s="1"/>
  <c r="G24" i="86" s="1"/>
  <c r="K10" i="86" s="1"/>
  <c r="F17" i="86"/>
  <c r="F18" i="86" s="1"/>
  <c r="F20" i="86" s="1"/>
  <c r="F24" i="86" s="1"/>
  <c r="K9" i="86" s="1"/>
  <c r="R30" i="74"/>
  <c r="R28" i="74"/>
  <c r="R25" i="74"/>
  <c r="R22" i="74"/>
  <c r="S19" i="74"/>
  <c r="R27" i="74"/>
  <c r="R24" i="74"/>
  <c r="I985" i="93"/>
  <c r="I986" i="93" s="1"/>
  <c r="D34" i="86"/>
  <c r="D37" i="86" s="1"/>
  <c r="D38" i="86" s="1"/>
  <c r="D40" i="86" s="1"/>
  <c r="D44" i="86" s="1"/>
  <c r="K14" i="86" s="1"/>
  <c r="R34" i="74"/>
  <c r="R23" i="74"/>
  <c r="R20" i="74"/>
  <c r="C60" i="74"/>
  <c r="G29" i="86" s="1"/>
  <c r="G37" i="86" s="1"/>
  <c r="G38" i="86" s="1"/>
  <c r="G40" i="86" s="1"/>
  <c r="G44" i="86" s="1"/>
  <c r="K17" i="86" s="1"/>
  <c r="R38" i="74"/>
  <c r="R29" i="74"/>
  <c r="R26" i="74"/>
  <c r="C1015" i="93"/>
  <c r="C1016" i="93" s="1"/>
  <c r="C17" i="86"/>
  <c r="C18" i="86" s="1"/>
  <c r="C20" i="86" s="1"/>
  <c r="C24" i="86" s="1"/>
  <c r="K6" i="86" s="1"/>
  <c r="G66" i="86" s="1"/>
  <c r="N85" i="85" s="1"/>
  <c r="E14" i="86"/>
  <c r="D14" i="86"/>
  <c r="C985" i="93"/>
  <c r="C986" i="93" s="1"/>
  <c r="H985" i="93"/>
  <c r="H986" i="93" s="1"/>
  <c r="I34" i="86"/>
  <c r="F29" i="86"/>
  <c r="K30" i="74"/>
  <c r="E29" i="86" s="1"/>
  <c r="C30" i="74"/>
  <c r="C57" i="86"/>
  <c r="C58" i="86" s="1"/>
  <c r="C60" i="86" s="1"/>
  <c r="C64" i="86" s="1"/>
  <c r="K20" i="86" s="1"/>
  <c r="C40" i="86"/>
  <c r="C44" i="86" s="1"/>
  <c r="K13" i="86" s="1"/>
  <c r="H34" i="86"/>
  <c r="H37" i="86" s="1"/>
  <c r="H38" i="86" s="1"/>
  <c r="H40" i="86" s="1"/>
  <c r="H44" i="86" s="1"/>
  <c r="K18" i="86" s="1"/>
  <c r="I14" i="86"/>
  <c r="H30" i="74"/>
  <c r="I9" i="86" s="1"/>
  <c r="D30" i="74"/>
  <c r="E9" i="86" s="1"/>
  <c r="H14" i="86"/>
  <c r="H17" i="86" s="1"/>
  <c r="H18" i="86" s="1"/>
  <c r="H20" i="86" s="1"/>
  <c r="H24" i="86" s="1"/>
  <c r="K11" i="86" s="1"/>
  <c r="G985" i="93"/>
  <c r="G986" i="93" s="1"/>
  <c r="E60" i="74"/>
  <c r="I29" i="86" s="1"/>
  <c r="F34" i="86"/>
  <c r="R31" i="74"/>
  <c r="R33" i="74"/>
  <c r="R35" i="74"/>
  <c r="R37" i="74"/>
  <c r="C41" i="74"/>
  <c r="C997" i="93" s="1"/>
  <c r="R36" i="74"/>
  <c r="R32" i="74"/>
  <c r="F1015" i="93"/>
  <c r="F1016" i="93" s="1"/>
  <c r="E34" i="86"/>
  <c r="F985" i="93"/>
  <c r="F986" i="93" s="1"/>
  <c r="S21" i="74" l="1"/>
  <c r="S31" i="74"/>
  <c r="S22" i="74"/>
  <c r="S26" i="74"/>
  <c r="S20" i="74"/>
  <c r="S24" i="74"/>
  <c r="S34" i="74"/>
  <c r="S29" i="74"/>
  <c r="S37" i="74"/>
  <c r="D41" i="74"/>
  <c r="E41" i="74" s="1"/>
  <c r="S30" i="74"/>
  <c r="S28" i="74"/>
  <c r="S35" i="74"/>
  <c r="S32" i="74"/>
  <c r="S36" i="74"/>
  <c r="D9" i="86"/>
  <c r="D17" i="86" s="1"/>
  <c r="D18" i="86" s="1"/>
  <c r="D20" i="86" s="1"/>
  <c r="D24" i="86" s="1"/>
  <c r="K7" i="86" s="1"/>
  <c r="S25" i="74"/>
  <c r="S38" i="74"/>
  <c r="S23" i="74"/>
  <c r="S27" i="74"/>
  <c r="I37" i="86"/>
  <c r="I38" i="86" s="1"/>
  <c r="I40" i="86" s="1"/>
  <c r="I44" i="86" s="1"/>
  <c r="K19" i="86" s="1"/>
  <c r="E37" i="86"/>
  <c r="E38" i="86" s="1"/>
  <c r="E40" i="86" s="1"/>
  <c r="E44" i="86" s="1"/>
  <c r="K15" i="86" s="1"/>
  <c r="I44" i="68"/>
  <c r="I407" i="93" s="1"/>
  <c r="E17" i="86"/>
  <c r="E18" i="86" s="1"/>
  <c r="E20" i="86" s="1"/>
  <c r="E24" i="86" s="1"/>
  <c r="K8" i="86" s="1"/>
  <c r="S33" i="74"/>
  <c r="D997" i="93"/>
  <c r="F37" i="86"/>
  <c r="F38" i="86" s="1"/>
  <c r="F40" i="86" s="1"/>
  <c r="F44" i="86" s="1"/>
  <c r="K16" i="86" s="1"/>
  <c r="I17" i="86"/>
  <c r="I18" i="86" s="1"/>
  <c r="I20" i="86" s="1"/>
  <c r="I24" i="86" s="1"/>
  <c r="K12" i="86" s="1"/>
  <c r="F44" i="68" l="1"/>
  <c r="F41" i="74"/>
  <c r="E997" i="93"/>
  <c r="I45" i="68" l="1"/>
  <c r="F407" i="93"/>
  <c r="F408" i="93"/>
  <c r="I408" i="93"/>
  <c r="F997" i="93"/>
  <c r="G41" i="74"/>
  <c r="F85" i="92"/>
  <c r="F89" i="92" s="1"/>
  <c r="F105" i="92" s="1"/>
  <c r="G997" i="93" l="1"/>
  <c r="H41" i="74"/>
  <c r="H997" i="93" l="1"/>
  <c r="I41" i="74"/>
  <c r="I997" i="93" l="1"/>
  <c r="J41" i="74"/>
  <c r="J997" i="93" l="1"/>
  <c r="K41" i="74"/>
  <c r="K997" i="93" l="1"/>
  <c r="B71" i="74"/>
  <c r="B1027" i="93" l="1"/>
  <c r="C71" i="74"/>
  <c r="C1027" i="93" l="1"/>
  <c r="D71" i="74"/>
  <c r="D1027" i="93" l="1"/>
  <c r="E71" i="74"/>
  <c r="F71" i="74" l="1"/>
  <c r="E1027" i="93"/>
  <c r="F1027" i="93" l="1"/>
  <c r="G71" i="74"/>
  <c r="G1027"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<sst xmlns="http://schemas.openxmlformats.org/spreadsheetml/2006/main" count="13244" uniqueCount="4838">
  <si>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</si>
  <si>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</si>
  <si>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</si>
  <si>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</si>
  <si>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</si>
  <si>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</si>
  <si>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</si>
  <si>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</si>
  <si>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</si>
  <si>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</si>
  <si>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</si>
  <si>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</si>
  <si>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</si>
  <si>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</si>
  <si>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</si>
  <si>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</si>
  <si>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</si>
  <si>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</si>
  <si>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</si>
  <si>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</si>
  <si>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</si>
  <si>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</si>
  <si>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</si>
  <si>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</si>
  <si>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</si>
  <si>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</si>
  <si>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</si>
  <si>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</si>
  <si>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</si>
  <si>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</si>
  <si>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</si>
  <si>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</si>
  <si>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</si>
  <si>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</si>
  <si>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</si>
  <si>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</si>
  <si>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</si>
  <si>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</si>
  <si>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</si>
  <si>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</si>
  <si>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</si>
  <si>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</si>
  <si>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</si>
  <si>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</si>
  <si>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</si>
  <si>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</si>
  <si>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</si>
  <si>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</si>
  <si>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</si>
  <si>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</si>
  <si>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</si>
  <si>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</si>
  <si>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</si>
  <si>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</si>
  <si>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</si>
  <si>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</si>
  <si>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</si>
  <si>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</si>
  <si>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</si>
  <si>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</si>
  <si>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</si>
  <si>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</si>
  <si>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</si>
  <si>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</si>
  <si>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</si>
  <si>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</si>
  <si>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</si>
  <si>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</si>
  <si>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</si>
  <si>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</si>
  <si>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</si>
  <si>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</si>
  <si>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</si>
  <si>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</si>
  <si>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</si>
  <si>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</si>
  <si>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</si>
  <si>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</si>
  <si>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</si>
  <si>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</si>
  <si>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</si>
  <si>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</si>
  <si>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</si>
  <si>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</si>
  <si>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</si>
  <si>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</si>
  <si>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</si>
  <si>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</si>
  <si>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</si>
  <si>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</si>
  <si>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</si>
  <si>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</si>
  <si>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</si>
  <si>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</si>
  <si>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</si>
  <si>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</si>
  <si>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</si>
  <si>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</si>
  <si>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</si>
  <si>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</si>
  <si>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</si>
  <si>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</si>
  <si>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</si>
  <si>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</si>
  <si>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</si>
  <si>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</si>
  <si>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</si>
  <si>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</si>
  <si>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</si>
  <si>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</si>
  <si>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</si>
  <si>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</si>
  <si>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</si>
  <si>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</si>
  <si>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</si>
  <si>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</si>
  <si>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</si>
  <si>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</si>
  <si>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</si>
  <si>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</si>
  <si>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</si>
  <si>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</si>
  <si>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</si>
  <si>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</si>
  <si>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</si>
  <si>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</si>
  <si>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</si>
  <si>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</si>
  <si>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</si>
  <si>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</si>
  <si>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</si>
  <si>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</si>
  <si>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</si>
  <si>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</si>
  <si>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</si>
  <si>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</si>
  <si>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</si>
  <si>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</si>
  <si>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</si>
  <si>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</si>
  <si>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</si>
  <si>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</si>
  <si>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</si>
  <si>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</si>
  <si>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</si>
  <si>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</si>
  <si>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</si>
  <si>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</si>
  <si>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</si>
  <si>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</si>
  <si>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</si>
  <si>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</si>
  <si>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</si>
  <si>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</si>
  <si>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</si>
  <si>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</si>
  <si>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</si>
  <si>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</si>
  <si>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</si>
  <si>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</si>
  <si>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</si>
  <si>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</si>
  <si>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</si>
  <si>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</si>
  <si>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</si>
  <si>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</si>
  <si>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</si>
  <si>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</si>
  <si>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</si>
  <si>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</si>
  <si>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</si>
  <si>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</si>
  <si>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</si>
  <si>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</si>
  <si>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</si>
  <si>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</si>
  <si>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</si>
  <si>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</si>
  <si>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</si>
  <si>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</si>
  <si>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</si>
  <si>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</si>
  <si>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</si>
  <si>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</si>
  <si>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</si>
  <si>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</si>
  <si>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</si>
  <si>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</si>
  <si>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</si>
  <si>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</si>
  <si>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</si>
  <si>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</si>
  <si>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</si>
  <si>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</si>
  <si>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</si>
  <si>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</si>
  <si>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</si>
  <si>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</si>
  <si>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</si>
  <si>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</si>
  <si>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</si>
  <si>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</si>
  <si>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</si>
  <si>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</si>
  <si>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</si>
  <si>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</si>
  <si>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</si>
  <si>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</si>
  <si>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</si>
  <si>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</si>
  <si>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</si>
  <si>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</si>
  <si>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</si>
  <si>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</si>
  <si>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</si>
  <si>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</si>
  <si>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</si>
  <si>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</si>
  <si>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</si>
  <si>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</si>
  <si>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</si>
  <si>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</si>
  <si>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</si>
  <si>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</si>
  <si>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</si>
  <si>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</si>
  <si>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</si>
  <si>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</si>
  <si>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</si>
  <si>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</si>
  <si>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</si>
  <si>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</si>
  <si>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</si>
  <si>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</si>
  <si>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</si>
  <si>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</si>
  <si>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</si>
  <si>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</si>
  <si>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</si>
  <si>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</si>
  <si>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</si>
  <si>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</si>
  <si>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</si>
  <si>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</si>
  <si>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</si>
  <si>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</si>
  <si>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</si>
  <si>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</si>
  <si>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</si>
  <si>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</si>
  <si>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</si>
  <si>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</si>
  <si>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</si>
  <si>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</si>
  <si>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</si>
  <si>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</si>
  <si>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</si>
  <si>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</si>
  <si>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</si>
  <si>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</si>
  <si>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</si>
  <si>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</si>
  <si>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</si>
  <si>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</si>
  <si>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</si>
  <si>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</si>
  <si>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</si>
  <si>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</si>
  <si>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</si>
  <si>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</si>
  <si>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</si>
  <si>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</si>
  <si>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</si>
  <si>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</si>
  <si>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</si>
  <si>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</si>
  <si>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</si>
  <si>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</si>
  <si>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</si>
  <si>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</si>
  <si>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</si>
  <si>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</si>
  <si>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</si>
  <si>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</si>
  <si>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</si>
  <si>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</si>
  <si>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</si>
  <si>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</si>
  <si>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</si>
  <si>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</si>
  <si>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</si>
  <si>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</si>
  <si>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</si>
  <si>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</si>
  <si>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</si>
  <si>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</si>
  <si>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</si>
  <si>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</si>
  <si>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</si>
  <si>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</si>
  <si>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</si>
  <si>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</si>
  <si>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</si>
  <si>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</si>
  <si>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</si>
  <si>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</si>
  <si>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</si>
  <si>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</si>
  <si>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</si>
  <si>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</si>
  <si>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</si>
  <si>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</si>
  <si>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</si>
  <si>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</si>
  <si>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</si>
  <si>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</si>
  <si>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</si>
  <si>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</si>
  <si>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</si>
  <si>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</si>
  <si>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</si>
  <si>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</si>
  <si>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</si>
  <si>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</si>
  <si>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</si>
  <si>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</si>
  <si>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</si>
  <si>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</si>
  <si>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</si>
  <si>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</si>
  <si>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</si>
  <si>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</si>
  <si>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</si>
  <si>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</si>
  <si>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</si>
  <si>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</si>
  <si>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</si>
  <si>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</si>
  <si>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</si>
  <si>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</si>
  <si>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</si>
  <si>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</si>
  <si>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</si>
  <si>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</si>
  <si>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</si>
  <si>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</si>
  <si>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</si>
  <si>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</si>
  <si>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</si>
  <si>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</si>
  <si>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</si>
  <si>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</si>
  <si>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</si>
  <si>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</si>
  <si>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</si>
  <si>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</si>
  <si>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</si>
  <si>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</si>
  <si>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</si>
  <si>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</si>
  <si>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</si>
  <si>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</si>
  <si>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</si>
  <si>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</si>
  <si>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</si>
  <si>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</si>
  <si>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</si>
  <si>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</si>
  <si>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</si>
  <si>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</si>
  <si>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</si>
  <si>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</si>
  <si>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</si>
  <si>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</si>
  <si>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</si>
  <si>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</si>
  <si>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</si>
  <si>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</si>
  <si>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</si>
  <si>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</si>
  <si>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</si>
  <si>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</si>
  <si>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</si>
  <si>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</si>
  <si>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</si>
  <si>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</si>
  <si>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</si>
  <si>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</si>
  <si>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</si>
  <si>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</si>
  <si>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</si>
  <si>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</si>
  <si>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</si>
  <si>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</si>
  <si>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</si>
  <si>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</si>
  <si>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</si>
  <si>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</si>
  <si>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</si>
  <si>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</si>
  <si>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</si>
  <si>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</si>
  <si>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</si>
  <si>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</si>
  <si>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</si>
  <si>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</si>
  <si>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</si>
  <si>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</si>
  <si>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</si>
  <si>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</si>
  <si>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</si>
  <si>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</si>
  <si>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</si>
  <si>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</si>
  <si>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</si>
  <si>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</si>
  <si>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</si>
  <si>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</si>
  <si>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</si>
  <si>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</si>
  <si>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</si>
  <si>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</si>
  <si>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</si>
  <si>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</si>
  <si>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</si>
  <si>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</si>
  <si>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</si>
  <si>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</si>
  <si>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</si>
  <si>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</si>
  <si>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</si>
  <si>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</si>
  <si>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</si>
  <si>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</si>
  <si>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</si>
  <si>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</si>
  <si>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</si>
  <si>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</si>
  <si>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</si>
  <si>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</si>
  <si>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</si>
  <si>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</si>
  <si>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</si>
  <si>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</si>
  <si>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</si>
  <si>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</si>
  <si>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</si>
  <si>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</si>
  <si>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</si>
  <si>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</si>
  <si>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</si>
  <si>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</si>
  <si>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</si>
  <si>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</si>
  <si>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</si>
  <si>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</si>
  <si>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</si>
  <si>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</si>
  <si>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</si>
  <si>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</si>
  <si>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</si>
  <si>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</si>
  <si>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</si>
  <si>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</si>
  <si>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</si>
  <si>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</si>
  <si>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</si>
  <si>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</si>
  <si>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</si>
  <si>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</si>
  <si>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</si>
  <si>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</si>
  <si>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</si>
  <si>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</si>
  <si>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</si>
  <si>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</si>
  <si>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</si>
  <si>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</si>
  <si>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</si>
  <si>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</si>
  <si>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</si>
  <si>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</si>
  <si>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</si>
  <si>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</si>
  <si>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</si>
  <si>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</si>
  <si>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</si>
  <si>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</si>
  <si>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</si>
  <si>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</si>
  <si>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</si>
  <si>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</si>
  <si>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</si>
  <si>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</si>
  <si>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</si>
  <si>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</si>
  <si>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</si>
  <si>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</si>
  <si>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</si>
  <si>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</si>
  <si>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</si>
  <si>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</si>
  <si>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</si>
  <si>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</si>
  <si>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</si>
  <si>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</si>
  <si>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</si>
  <si>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</si>
  <si>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</si>
  <si>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</si>
  <si>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</si>
  <si>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</si>
  <si>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</si>
  <si>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</si>
  <si>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</si>
  <si>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</si>
  <si>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</si>
  <si>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</si>
  <si>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</si>
  <si>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</si>
  <si>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</si>
  <si>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</si>
  <si>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</si>
  <si>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</si>
  <si>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</si>
  <si>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</si>
  <si>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</si>
  <si>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</si>
  <si>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</si>
  <si>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</si>
  <si>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</si>
  <si>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</si>
  <si>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</si>
  <si>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</si>
  <si>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</si>
  <si>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</si>
  <si>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</si>
  <si>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</si>
  <si>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</si>
  <si>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</si>
  <si>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</si>
  <si>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</si>
  <si>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</si>
  <si>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</si>
  <si>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</si>
  <si>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</si>
  <si>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</si>
  <si>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</si>
  <si>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</si>
  <si>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</si>
  <si>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</si>
  <si>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</si>
  <si>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</si>
  <si>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</si>
  <si>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</si>
  <si>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</si>
  <si>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</si>
  <si>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</si>
  <si>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</si>
  <si>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</si>
  <si>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</si>
  <si>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</si>
  <si>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</si>
  <si>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</si>
  <si>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</si>
  <si>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</si>
  <si>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</si>
  <si>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</si>
  <si>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</si>
  <si>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</si>
  <si>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</si>
  <si>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</si>
  <si>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</si>
  <si>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</si>
  <si>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</si>
  <si>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</si>
  <si>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</si>
  <si>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</si>
  <si>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</si>
  <si>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</si>
  <si>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</si>
  <si>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</si>
  <si>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</si>
  <si>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</si>
  <si>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</si>
  <si>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</si>
  <si>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</si>
  <si>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</si>
  <si>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</si>
  <si>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</si>
  <si>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</si>
  <si>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</si>
  <si>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</si>
  <si>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</si>
  <si>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</si>
  <si>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</si>
  <si>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</si>
  <si>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</si>
  <si>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</si>
  <si>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</si>
  <si>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</si>
  <si>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</si>
  <si>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</si>
  <si>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</si>
  <si>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</si>
  <si>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</si>
  <si>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</si>
  <si>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</si>
  <si>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</si>
  <si>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</si>
  <si>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</si>
  <si>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</si>
  <si>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</si>
  <si>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</si>
  <si>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</si>
  <si>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</si>
  <si>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</si>
  <si>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</si>
  <si>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</si>
  <si>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</si>
  <si>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</si>
  <si>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</si>
  <si>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</si>
  <si>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</si>
  <si>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</si>
  <si>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</si>
  <si>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</si>
  <si>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</si>
  <si>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</si>
  <si>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</si>
  <si>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</si>
  <si>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</si>
  <si>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</si>
  <si>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</si>
  <si>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</si>
  <si>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</si>
  <si>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</si>
  <si>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</si>
  <si>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</si>
  <si>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</si>
  <si>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</si>
  <si>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</si>
  <si>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</si>
  <si>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</si>
  <si>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</si>
  <si>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</si>
  <si>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</si>
  <si>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</si>
  <si>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</si>
  <si>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</si>
  <si>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</si>
  <si>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</si>
  <si>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</si>
  <si>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</si>
  <si>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</si>
  <si>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</si>
  <si>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</si>
  <si>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</si>
  <si>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</si>
  <si>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</si>
  <si>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</si>
  <si>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</si>
  <si>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</si>
  <si>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</si>
  <si>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</si>
  <si>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</si>
  <si>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</si>
  <si>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</si>
  <si>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</si>
  <si>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</si>
  <si>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</si>
  <si>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</si>
  <si>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</si>
  <si>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</si>
  <si>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</si>
  <si>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</si>
  <si>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</si>
  <si>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</si>
  <si>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</si>
  <si>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</si>
  <si>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</si>
  <si>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</si>
  <si>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</si>
  <si>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</si>
  <si>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</si>
  <si>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</si>
  <si>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</si>
  <si>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</si>
  <si>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</si>
  <si>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</si>
  <si>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</si>
  <si>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</si>
  <si>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</si>
  <si>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</si>
  <si>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</si>
  <si>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</si>
  <si>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</si>
  <si>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</si>
  <si>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</si>
  <si>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</si>
  <si>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</si>
  <si>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</si>
  <si>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</si>
  <si>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</si>
  <si>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</si>
  <si>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</si>
  <si>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</si>
  <si>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</si>
  <si>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</si>
  <si>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</si>
  <si>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</si>
  <si>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</si>
  <si>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</si>
  <si>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</si>
  <si>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</si>
  <si>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</si>
  <si>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</si>
  <si>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</si>
  <si>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</si>
  <si>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</si>
  <si>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</si>
  <si>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</si>
  <si>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</si>
  <si>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</si>
  <si>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</si>
  <si>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</si>
  <si>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</si>
  <si>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</si>
  <si>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</si>
  <si>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</si>
  <si>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</si>
  <si>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</si>
  <si>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</si>
  <si>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</si>
  <si>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</si>
  <si>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</si>
  <si>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</si>
  <si>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</si>
  <si>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</si>
  <si>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</si>
  <si>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</si>
  <si>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</si>
  <si>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</si>
  <si>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</si>
  <si>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</si>
  <si>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</si>
  <si>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</si>
  <si>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</si>
  <si>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</si>
  <si>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</si>
  <si>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</si>
  <si>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</si>
  <si>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</si>
  <si>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</si>
  <si>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</si>
  <si>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</si>
  <si>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</si>
  <si>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</si>
  <si>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</si>
  <si>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</si>
  <si>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</si>
  <si>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</si>
  <si>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</si>
  <si>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</si>
  <si>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</si>
  <si>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</si>
  <si>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</si>
  <si>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</si>
  <si>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</si>
  <si>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</si>
  <si>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</si>
  <si>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</si>
  <si>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</si>
  <si>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</si>
  <si>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</si>
  <si>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</si>
  <si>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</si>
  <si>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</si>
  <si>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</si>
  <si>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</si>
  <si>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</si>
  <si>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</si>
  <si>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</si>
  <si>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</si>
  <si>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</si>
  <si>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</si>
  <si>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</si>
  <si>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</si>
  <si>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</si>
  <si>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</si>
  <si>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</si>
  <si>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</si>
  <si>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</si>
  <si>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</si>
  <si>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</si>
  <si>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</si>
  <si>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</si>
  <si>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</si>
  <si>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</si>
  <si>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</si>
  <si>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</si>
  <si>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</si>
  <si>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</si>
  <si>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</si>
  <si>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</si>
  <si>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</si>
  <si>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</si>
  <si>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</si>
  <si>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</si>
  <si>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</si>
  <si>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</si>
  <si>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</si>
  <si>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</si>
  <si>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</si>
  <si>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</si>
  <si>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</si>
  <si>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</si>
  <si>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</si>
  <si>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</si>
  <si>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</si>
  <si>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</si>
  <si>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</si>
  <si>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</si>
  <si>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</si>
  <si>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</si>
  <si>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</si>
  <si>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</si>
  <si>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</si>
  <si>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</si>
  <si>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</si>
  <si>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</si>
  <si>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</si>
  <si>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</si>
  <si>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</si>
  <si>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</si>
  <si>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</si>
  <si>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</si>
  <si>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</si>
  <si>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</si>
  <si>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</si>
  <si>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</si>
  <si>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</si>
  <si>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</si>
  <si>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</si>
  <si>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</si>
  <si>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</si>
  <si>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</si>
  <si>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</si>
  <si>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</si>
  <si>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</si>
  <si>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</si>
  <si>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</si>
  <si>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</si>
  <si>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</si>
  <si>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</si>
  <si>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</si>
  <si>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</si>
  <si>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</si>
  <si>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</si>
  <si>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</si>
  <si>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</si>
  <si>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</si>
  <si>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</si>
  <si>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</si>
  <si>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</si>
  <si>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</si>
  <si>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</si>
  <si>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</si>
  <si>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</si>
  <si>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</si>
  <si>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</si>
  <si>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</si>
  <si>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</si>
  <si>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</si>
  <si>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</si>
  <si>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</si>
  <si>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</si>
  <si>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</si>
  <si>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</si>
  <si>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</si>
  <si>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</si>
  <si>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</si>
  <si>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</si>
  <si>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</si>
  <si>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</si>
  <si>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</si>
  <si>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</si>
  <si>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</si>
  <si>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</si>
  <si>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</si>
  <si>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</si>
  <si>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</si>
  <si>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</si>
  <si>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</si>
  <si>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</si>
  <si>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</si>
  <si>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</si>
  <si>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</si>
  <si>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</si>
  <si>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</si>
  <si>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</si>
  <si>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</si>
  <si>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</si>
  <si>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</si>
  <si>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</si>
  <si>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</si>
  <si>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</si>
  <si>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</si>
  <si>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</si>
  <si>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</si>
  <si>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</si>
  <si>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</si>
  <si>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</si>
  <si>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</si>
  <si>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</si>
  <si>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</si>
  <si>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</si>
  <si>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</si>
  <si>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</si>
  <si>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</si>
  <si>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</si>
  <si>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</si>
  <si>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</si>
  <si>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</si>
  <si>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</si>
  <si>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</si>
  <si>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</si>
  <si>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</si>
  <si>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</si>
  <si>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</si>
  <si>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</si>
  <si>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</si>
  <si>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</si>
  <si>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</si>
  <si>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</si>
  <si>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</si>
  <si>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</si>
  <si>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</si>
  <si>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</si>
  <si>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</si>
  <si>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</si>
  <si>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</si>
  <si>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</si>
  <si>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</si>
  <si>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</si>
  <si>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</si>
  <si>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</si>
  <si>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</si>
  <si>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</si>
  <si>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</si>
  <si>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</si>
  <si>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</si>
  <si>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</si>
  <si>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</si>
  <si>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</si>
  <si>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</si>
  <si>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</si>
  <si>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</si>
  <si>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</si>
  <si>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</si>
  <si>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</si>
  <si>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</si>
  <si>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</si>
  <si>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</si>
  <si>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</si>
  <si>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</si>
  <si>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</si>
  <si>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</si>
  <si>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</si>
  <si>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</si>
  <si>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</si>
  <si>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</si>
  <si>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</si>
  <si>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</si>
  <si>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</si>
  <si>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</si>
  <si>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</si>
  <si>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</si>
  <si>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</si>
  <si>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</si>
  <si>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</si>
  <si>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</si>
  <si>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</si>
  <si>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</si>
  <si>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</si>
  <si>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</si>
  <si>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</si>
  <si>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</si>
  <si>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</si>
  <si>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</si>
  <si>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</si>
  <si>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</si>
  <si>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</si>
  <si>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</si>
  <si>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</si>
  <si>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</si>
  <si>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</si>
  <si>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</si>
  <si>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</si>
  <si>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</si>
  <si>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</si>
  <si>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</si>
  <si>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</si>
  <si>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</si>
  <si>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</si>
  <si>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</si>
  <si>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</si>
  <si>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</si>
  <si>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</si>
  <si>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</si>
  <si>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</si>
  <si>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</si>
  <si>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</si>
  <si>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</si>
  <si>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</si>
  <si>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</si>
  <si>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</si>
  <si>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</si>
  <si>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</si>
  <si>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</si>
  <si>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</si>
  <si>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</si>
  <si>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</si>
  <si>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</si>
  <si>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</si>
  <si>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</si>
  <si>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</si>
  <si>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</si>
  <si>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</si>
  <si>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</si>
  <si>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</si>
  <si>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</si>
  <si>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</si>
  <si>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</si>
  <si>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</si>
  <si>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</si>
  <si>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</si>
  <si>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</si>
  <si>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</si>
  <si>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</si>
  <si>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</si>
  <si>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</si>
  <si>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</si>
  <si>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</si>
  <si>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</si>
  <si>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</si>
  <si>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</si>
  <si>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</si>
  <si>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</si>
  <si>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</si>
  <si>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</si>
  <si>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</si>
  <si>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</si>
  <si>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</si>
  <si>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</si>
  <si>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</si>
  <si>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</si>
  <si>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</si>
  <si>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</si>
  <si>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</si>
  <si>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</si>
  <si>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</si>
  <si>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</si>
  <si>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</si>
  <si>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</si>
  <si>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</si>
  <si>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</si>
  <si>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</si>
  <si>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</si>
  <si>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</si>
  <si>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</si>
  <si>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</si>
  <si>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</si>
  <si>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</si>
  <si>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</si>
  <si>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</si>
  <si>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</si>
  <si>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</si>
  <si>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</si>
  <si>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</si>
  <si>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</si>
  <si>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</si>
  <si>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</si>
  <si>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</si>
  <si>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</si>
  <si>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</si>
  <si>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</si>
  <si>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</si>
  <si>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</si>
  <si>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</si>
  <si>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</si>
  <si>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</si>
  <si>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</si>
  <si>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</si>
  <si>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</si>
  <si>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</si>
  <si>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</si>
  <si>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</si>
  <si>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</si>
  <si>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</si>
  <si>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</si>
  <si>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</si>
  <si>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</si>
  <si>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</si>
  <si>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</si>
  <si>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</si>
  <si>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</si>
  <si>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</si>
  <si>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</si>
  <si>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</si>
  <si>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</si>
  <si>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</si>
  <si>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</si>
  <si>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</si>
  <si>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</si>
  <si>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</si>
  <si>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</si>
  <si>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</si>
  <si>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</si>
  <si>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</si>
  <si>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</si>
  <si>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</si>
  <si>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</si>
  <si>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</si>
  <si>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</si>
  <si>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</si>
  <si>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</si>
  <si>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</si>
  <si>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</si>
  <si>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</si>
  <si>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</si>
  <si>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</si>
  <si>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</si>
  <si>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</si>
  <si>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</si>
  <si>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</si>
  <si>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</si>
  <si>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</si>
  <si>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</si>
  <si>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</si>
  <si>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</si>
  <si>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</si>
  <si>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</si>
  <si>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</si>
  <si>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</si>
  <si>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</si>
  <si>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</si>
  <si>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</si>
  <si>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</si>
  <si>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</si>
  <si>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</si>
  <si>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</si>
  <si>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</si>
  <si>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</si>
  <si>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</si>
  <si>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</si>
  <si>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</si>
  <si>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</si>
  <si>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</si>
  <si>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</si>
  <si>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</si>
  <si>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</si>
  <si>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</si>
  <si>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</si>
  <si>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</si>
  <si>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</si>
  <si>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</si>
  <si>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</si>
  <si>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</si>
  <si>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</si>
  <si>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</si>
  <si>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</si>
  <si>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</si>
  <si>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</si>
  <si>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</si>
  <si>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</si>
  <si>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</si>
  <si>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</si>
  <si>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</si>
  <si>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</si>
  <si>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</si>
  <si>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</si>
  <si>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</si>
  <si>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</si>
  <si>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</si>
  <si>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</si>
  <si>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</si>
  <si>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</si>
  <si>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</si>
  <si>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</si>
  <si>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</si>
  <si>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</si>
  <si>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</si>
  <si>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</si>
  <si>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</si>
  <si>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</si>
  <si>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</si>
  <si>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</si>
  <si>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</si>
  <si>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</si>
  <si>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</si>
  <si>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</si>
  <si>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</si>
  <si>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</si>
  <si>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</si>
  <si>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</si>
  <si>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</si>
  <si>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</si>
  <si>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</si>
  <si>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</si>
  <si>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</si>
  <si>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</si>
  <si>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</si>
  <si>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</si>
  <si>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</si>
  <si>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</si>
  <si>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</si>
  <si>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</si>
  <si>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</si>
  <si>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</si>
  <si>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</si>
  <si>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</si>
  <si>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</si>
  <si>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</si>
  <si>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</si>
  <si>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</si>
  <si>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</si>
  <si>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</si>
  <si>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</si>
  <si>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</si>
  <si>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</si>
  <si>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</si>
  <si>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</si>
  <si>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</si>
  <si>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</si>
  <si>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</si>
  <si>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</si>
  <si>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</si>
  <si>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</si>
  <si>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</si>
  <si>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</si>
  <si>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</si>
  <si>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</si>
  <si>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</si>
  <si>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</si>
  <si>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</si>
  <si>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</si>
  <si>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</si>
  <si>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</si>
  <si>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</si>
  <si>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</si>
  <si>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</si>
  <si>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</si>
  <si>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</si>
  <si>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</si>
  <si>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</si>
  <si>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</si>
  <si>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</si>
  <si>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</si>
  <si>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</si>
  <si>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</si>
  <si>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</si>
  <si>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</si>
  <si>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</si>
  <si>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</si>
  <si>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</si>
  <si>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</si>
  <si>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</si>
  <si>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</si>
  <si>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</si>
  <si>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</si>
  <si>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</si>
  <si>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</si>
  <si>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</si>
  <si>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</si>
  <si>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</si>
  <si>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</si>
  <si>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</si>
  <si>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</si>
  <si>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</si>
  <si>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</si>
  <si>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</si>
  <si>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</si>
  <si>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</si>
  <si>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</si>
  <si>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</si>
  <si>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</si>
  <si>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</si>
  <si>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</si>
  <si>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</si>
  <si>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</si>
  <si>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</si>
  <si>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</si>
  <si>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</si>
  <si>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</si>
  <si>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</si>
  <si>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</si>
  <si>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</si>
  <si>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</si>
  <si>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</si>
  <si>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</si>
  <si>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</si>
  <si>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</si>
  <si>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</si>
  <si>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</si>
  <si>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</si>
  <si>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</si>
  <si>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</si>
  <si>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</si>
  <si>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</si>
  <si>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</si>
  <si>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</si>
  <si>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</si>
  <si>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</si>
  <si>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</si>
  <si>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</si>
  <si>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</si>
  <si>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</si>
  <si>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</si>
  <si>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</si>
  <si>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</si>
  <si>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</si>
  <si>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</si>
  <si>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</si>
  <si>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</si>
  <si>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</si>
  <si>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</si>
  <si>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</si>
  <si>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</si>
  <si>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</si>
  <si>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</si>
  <si>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</si>
  <si>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</si>
  <si>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</si>
  <si>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</si>
  <si>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</si>
  <si>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</si>
  <si>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</si>
  <si>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</si>
  <si>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</si>
  <si>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</si>
  <si>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</si>
  <si>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</si>
  <si>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</si>
  <si>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</si>
  <si>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</si>
  <si>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</si>
  <si>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</si>
  <si>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</si>
  <si>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</si>
  <si>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</si>
  <si>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</si>
  <si>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</si>
  <si>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</si>
  <si>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</si>
  <si>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</si>
  <si>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</si>
  <si>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</si>
  <si>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</si>
  <si>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</si>
  <si>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</si>
  <si>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</si>
  <si>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</si>
  <si>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</si>
  <si>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</si>
  <si>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</si>
  <si>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</si>
  <si>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</si>
  <si>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</si>
  <si>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</si>
  <si>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</si>
  <si>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</si>
  <si>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</si>
  <si>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</si>
  <si>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</si>
  <si>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</si>
  <si>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</si>
  <si>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</si>
  <si>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</si>
  <si>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</si>
  <si>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</si>
  <si>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</si>
  <si>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</si>
  <si>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</si>
  <si>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</si>
  <si>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</si>
  <si>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</si>
  <si>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</si>
  <si>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</si>
  <si>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</si>
  <si>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</si>
  <si>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</si>
  <si>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</si>
  <si>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</si>
  <si>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</si>
  <si>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</si>
  <si>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</si>
  <si>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</si>
  <si>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</si>
  <si>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</si>
  <si>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</si>
  <si>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</si>
  <si>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</si>
  <si>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</si>
  <si>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</si>
  <si>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</si>
  <si>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</si>
  <si>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</si>
  <si>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</si>
  <si>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</si>
  <si>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</si>
  <si>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</si>
  <si>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</si>
  <si>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</si>
  <si>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</si>
  <si>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</si>
  <si>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</si>
  <si>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</si>
  <si>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</si>
  <si>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</si>
  <si>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</si>
  <si>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</si>
  <si>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</si>
  <si>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</si>
  <si>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</si>
  <si>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</si>
  <si>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</si>
  <si>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</si>
  <si>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</si>
  <si>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</si>
  <si>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</si>
  <si>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</si>
  <si>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</si>
  <si>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</si>
  <si>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</si>
  <si>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</si>
  <si>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</si>
  <si>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</si>
  <si>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</si>
  <si>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</si>
  <si>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</si>
  <si>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</si>
  <si>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</si>
  <si>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</si>
  <si>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</si>
  <si>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</si>
  <si>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</si>
  <si>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</si>
  <si>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</si>
  <si>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</si>
  <si>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</si>
  <si>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</si>
  <si>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</si>
  <si>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</si>
  <si>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</si>
  <si>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</si>
  <si>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</si>
  <si>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</si>
  <si>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</si>
  <si>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</si>
  <si>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</si>
  <si>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</si>
  <si>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</si>
  <si>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</si>
  <si>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</si>
  <si>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</si>
  <si>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</si>
  <si>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</si>
  <si>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</si>
  <si>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</si>
  <si>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</si>
  <si>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</si>
  <si>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</si>
  <si>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</si>
  <si>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</si>
  <si>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</si>
  <si>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</si>
  <si>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</si>
  <si>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</si>
  <si>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</si>
  <si>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</si>
  <si>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</si>
  <si>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</si>
  <si>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</si>
  <si>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</si>
  <si>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</si>
  <si>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</si>
  <si>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</si>
  <si>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</si>
  <si>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</si>
  <si>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</si>
  <si>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</si>
  <si>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</si>
  <si>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</si>
  <si>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</si>
  <si>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</si>
  <si>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</si>
  <si>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</si>
  <si>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</si>
  <si>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</si>
  <si>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</si>
  <si>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</si>
  <si>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</si>
  <si>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</si>
  <si>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</si>
  <si>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</si>
  <si>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</si>
  <si>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</si>
  <si>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</si>
  <si>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</si>
  <si>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</si>
  <si>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</si>
  <si>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</si>
  <si>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</si>
  <si>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</si>
  <si>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</si>
  <si>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</si>
  <si>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</si>
  <si>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</si>
  <si>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</si>
  <si>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</si>
  <si>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</si>
  <si>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</si>
  <si>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</si>
  <si>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</si>
  <si>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</si>
  <si>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</si>
  <si>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</si>
  <si>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</si>
  <si>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</si>
  <si>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</si>
  <si>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</si>
  <si>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</si>
  <si>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</si>
  <si>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</si>
  <si>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</si>
  <si>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</si>
  <si>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</si>
  <si>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</si>
  <si>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</si>
  <si>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</si>
  <si>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</si>
  <si>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</si>
  <si>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</si>
  <si>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</si>
  <si>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</si>
  <si>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</si>
  <si>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</si>
  <si>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</si>
  <si>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</si>
  <si>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</si>
  <si>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</si>
  <si>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</si>
  <si>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</si>
  <si>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</si>
  <si>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</si>
  <si>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</si>
  <si>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</si>
  <si>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</si>
  <si>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</si>
  <si>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</si>
  <si>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</si>
  <si>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</si>
  <si>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</si>
  <si>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</si>
  <si>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</si>
  <si>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</si>
  <si>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</si>
  <si>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</si>
  <si>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</si>
  <si>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</si>
  <si>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</si>
  <si>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</si>
  <si>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</si>
  <si>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</si>
  <si>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</si>
  <si>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</si>
  <si>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</si>
  <si>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</si>
  <si>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</si>
  <si>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</si>
  <si>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</si>
  <si>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</si>
  <si>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</si>
  <si>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</si>
  <si>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</si>
  <si>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</si>
  <si>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</si>
  <si>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</si>
  <si>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</si>
  <si>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</si>
  <si>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</si>
  <si>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</si>
  <si>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</si>
  <si>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</si>
  <si>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</si>
  <si>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</si>
  <si>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</si>
  <si>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</si>
  <si>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</si>
  <si>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</si>
  <si>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</si>
  <si>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</si>
  <si>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</si>
  <si>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</si>
  <si>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</si>
  <si>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</si>
  <si>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</si>
  <si>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</si>
  <si>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</si>
  <si>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</si>
  <si>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</si>
  <si>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</si>
  <si>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</si>
  <si>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</si>
  <si>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</si>
  <si>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</si>
  <si>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</si>
  <si>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</si>
  <si>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</si>
  <si>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</si>
  <si>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</si>
  <si>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</si>
  <si>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</si>
  <si>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</si>
  <si>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</si>
  <si>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</si>
  <si>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</si>
  <si>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</si>
  <si>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</si>
  <si>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</si>
  <si>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</si>
  <si>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</si>
  <si>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</si>
  <si>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</si>
  <si>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</si>
  <si>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</si>
  <si>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</si>
  <si>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</si>
  <si>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</si>
  <si>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</si>
  <si>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</si>
  <si>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</si>
  <si>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</si>
  <si>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</si>
  <si>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</si>
  <si>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</si>
  <si>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</si>
  <si>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</si>
  <si>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</si>
  <si>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</si>
  <si>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</si>
  <si>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</si>
  <si>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</si>
  <si>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</si>
  <si>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</si>
  <si>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</si>
  <si>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</si>
  <si>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</si>
  <si>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</si>
  <si>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</si>
  <si>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</si>
  <si>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</si>
  <si>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</si>
  <si>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</si>
  <si>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</si>
  <si>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</si>
  <si>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</si>
  <si>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</si>
  <si>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</si>
  <si>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</si>
  <si>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</si>
  <si>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</si>
  <si>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</si>
  <si>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</si>
  <si>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</si>
  <si>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</si>
  <si>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</si>
  <si>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</si>
  <si>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</si>
  <si>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</si>
  <si>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</si>
  <si>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</si>
  <si>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</si>
  <si>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</si>
  <si>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</si>
  <si>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</si>
  <si>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</si>
  <si>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</si>
  <si>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</si>
  <si>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</si>
  <si>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</si>
  <si>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</si>
  <si>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</si>
  <si>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</si>
  <si>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</si>
  <si>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</si>
  <si>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</si>
  <si>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</si>
  <si>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</si>
  <si>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</si>
  <si>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</si>
  <si>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</si>
  <si>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</si>
  <si>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</si>
  <si>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</si>
  <si>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</si>
  <si>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</si>
  <si>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</si>
  <si>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</si>
  <si>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</si>
  <si>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</si>
  <si>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</si>
  <si>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</si>
  <si>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</si>
  <si>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</si>
  <si>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</si>
  <si>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</si>
  <si>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</si>
  <si>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</si>
  <si>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</si>
  <si>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</si>
  <si>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</si>
  <si>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</si>
  <si>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</si>
  <si>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</si>
  <si>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</si>
  <si>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</si>
  <si>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</si>
  <si>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</si>
  <si>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</si>
  <si>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</si>
  <si>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</si>
  <si>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</si>
  <si>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</si>
  <si>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</si>
  <si>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</si>
  <si>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</si>
  <si>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</si>
  <si>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</si>
  <si>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</si>
  <si>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</si>
  <si>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</si>
  <si>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</si>
  <si>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</si>
  <si>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</si>
  <si>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</si>
  <si>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</si>
  <si>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</si>
  <si>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</si>
  <si>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</si>
  <si>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</si>
  <si>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</si>
  <si>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</si>
  <si>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</si>
  <si>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</si>
  <si>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</si>
  <si>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</si>
  <si>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</si>
  <si>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</si>
  <si>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</si>
  <si>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</si>
  <si>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</si>
  <si>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</si>
  <si>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</si>
  <si>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</si>
  <si>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</si>
  <si>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</si>
  <si>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</si>
  <si>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</si>
  <si>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</si>
  <si>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</si>
  <si>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</si>
  <si>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</si>
  <si>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</si>
  <si>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</si>
  <si>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</si>
  <si>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</si>
  <si>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</si>
  <si>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</si>
  <si>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</si>
  <si>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</si>
  <si>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</si>
  <si>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</si>
  <si>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</si>
  <si>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</si>
  <si>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</si>
  <si>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</si>
  <si>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</si>
  <si>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</si>
  <si>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</si>
  <si>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</si>
  <si>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</si>
  <si>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</si>
  <si>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</si>
  <si>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</si>
  <si>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</si>
  <si>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</si>
  <si>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</si>
  <si>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</si>
  <si>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</si>
  <si>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</si>
  <si>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</si>
  <si>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</si>
  <si>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</si>
  <si>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</si>
  <si>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</si>
  <si>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</si>
  <si>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</si>
  <si>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</si>
  <si>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</si>
  <si>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</si>
  <si>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</si>
  <si>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</si>
  <si>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</si>
  <si>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</si>
  <si>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</si>
  <si>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</si>
  <si>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</si>
  <si>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</si>
  <si>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</si>
  <si>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</si>
  <si>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</si>
  <si>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</si>
  <si>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</si>
  <si>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</si>
  <si>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</si>
  <si>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</si>
  <si>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</si>
  <si>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</si>
  <si>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</si>
  <si>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</si>
  <si>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</si>
  <si>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</si>
  <si>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</si>
  <si>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</si>
  <si>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</si>
  <si>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</si>
  <si>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</si>
  <si>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</si>
  <si>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</si>
  <si>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</si>
  <si>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</si>
  <si>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</si>
  <si>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</si>
  <si>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</si>
  <si>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</si>
  <si>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</si>
  <si>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</si>
  <si>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</si>
  <si>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</si>
  <si>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</si>
  <si>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</si>
  <si>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</si>
  <si>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</si>
  <si>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</si>
  <si>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</si>
  <si>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</si>
  <si>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</si>
  <si>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</si>
  <si>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</si>
  <si>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</si>
  <si>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</si>
  <si>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</si>
  <si>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</si>
  <si>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</si>
  <si>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</si>
  <si>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</si>
  <si>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</si>
  <si>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</si>
  <si>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</si>
  <si>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</si>
  <si>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</si>
  <si>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</si>
  <si>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</si>
  <si>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</si>
  <si>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</si>
  <si>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</si>
  <si>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</si>
  <si>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</si>
  <si>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</si>
  <si>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</si>
  <si>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</si>
  <si>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</si>
  <si>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</si>
  <si>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</si>
  <si>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</si>
  <si>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</si>
  <si>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</si>
  <si>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</si>
  <si>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</si>
  <si>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</si>
  <si>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</si>
  <si>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</si>
  <si>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</si>
  <si>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</si>
  <si>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</si>
  <si>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</si>
  <si>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</si>
  <si>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</si>
  <si>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</si>
  <si>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</si>
  <si>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</si>
  <si>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</si>
  <si>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</si>
  <si>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</si>
  <si>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</si>
  <si>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</si>
  <si>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</si>
  <si>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</si>
  <si>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</si>
  <si>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</si>
  <si>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</si>
  <si>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</si>
  <si>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</si>
  <si>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</si>
  <si>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</si>
  <si>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</si>
  <si>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</si>
  <si>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</si>
  <si>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</si>
  <si>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</si>
  <si>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</si>
  <si>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</si>
  <si>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</si>
  <si>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</si>
  <si>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</si>
  <si>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</si>
  <si>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</si>
  <si>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</si>
  <si>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</si>
  <si>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</si>
  <si>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</si>
  <si>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</si>
  <si>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</si>
  <si>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</si>
  <si>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</si>
  <si>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</si>
  <si>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</si>
  <si>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</si>
  <si>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</si>
  <si>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</si>
  <si>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</si>
  <si>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</si>
  <si>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</si>
  <si>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</si>
  <si>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</si>
  <si>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</si>
  <si>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</si>
  <si>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</si>
  <si>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</si>
  <si>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</si>
  <si>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</si>
  <si>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</si>
  <si>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</si>
  <si>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</si>
  <si>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</si>
  <si>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</si>
  <si>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</si>
  <si>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</si>
  <si>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</si>
  <si>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</si>
  <si>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</si>
  <si>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</si>
  <si>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</si>
  <si>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</si>
  <si>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</si>
  <si>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</si>
  <si>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</si>
  <si>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</si>
  <si>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</si>
  <si>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</si>
  <si>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</si>
  <si>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</si>
  <si>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</si>
  <si>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</si>
  <si>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</si>
  <si>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</si>
  <si>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</si>
  <si>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</si>
  <si>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</si>
  <si>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</si>
  <si>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</si>
  <si>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</si>
  <si>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</si>
  <si>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</si>
  <si>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</si>
  <si>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</si>
  <si>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</si>
  <si>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</si>
  <si>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</si>
  <si>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</si>
  <si>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</si>
  <si>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</si>
  <si>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</si>
  <si>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</si>
  <si>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</si>
  <si>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</si>
  <si>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</si>
  <si>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</si>
  <si>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</si>
  <si>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</si>
  <si>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</si>
  <si>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</si>
  <si>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</si>
  <si>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</si>
  <si>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</si>
  <si>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</si>
  <si>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</si>
  <si>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</si>
  <si>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</si>
  <si>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</si>
  <si>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</si>
  <si>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</si>
  <si>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</si>
  <si>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</si>
  <si>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</si>
  <si>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</si>
  <si>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</si>
  <si>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</si>
  <si>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</si>
  <si>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</si>
  <si>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</si>
  <si>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</si>
  <si>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</si>
  <si>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</si>
  <si>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</si>
  <si>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</si>
  <si>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</si>
  <si>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</si>
  <si>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</si>
  <si>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</si>
  <si>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</si>
  <si>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</si>
  <si>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</si>
  <si>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</si>
  <si>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</si>
  <si>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</si>
  <si>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</si>
  <si>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</si>
  <si>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</si>
  <si>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</si>
  <si>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</si>
  <si>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</si>
  <si>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</si>
  <si>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</si>
  <si>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</si>
  <si>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</si>
  <si>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</si>
  <si>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</si>
  <si>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</si>
  <si>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</si>
  <si>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</si>
  <si>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</si>
  <si>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</si>
  <si>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</si>
  <si>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</si>
  <si>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</si>
  <si>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</si>
  <si>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</si>
  <si>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</si>
  <si>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</si>
  <si>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</si>
  <si>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</si>
  <si>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</si>
  <si>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</si>
  <si>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</si>
  <si>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</si>
  <si>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</si>
  <si>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</si>
  <si>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</si>
  <si>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</si>
  <si>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</si>
  <si>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</si>
  <si>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</si>
  <si>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</si>
  <si>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</si>
  <si>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</si>
  <si>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</si>
  <si>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</si>
  <si>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</si>
  <si>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</si>
  <si>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</si>
  <si>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</si>
  <si>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</si>
  <si>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</si>
  <si>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</si>
  <si>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</si>
  <si>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</si>
  <si>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</si>
  <si>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</si>
  <si>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</si>
  <si>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</si>
  <si>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</si>
  <si>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</si>
  <si>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</si>
  <si>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</si>
  <si>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</si>
  <si>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</si>
  <si>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</si>
  <si>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</si>
  <si>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</si>
  <si>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</si>
  <si>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</si>
  <si>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</si>
  <si>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</si>
  <si>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</si>
  <si>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</si>
  <si>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</si>
  <si>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</si>
  <si>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</si>
  <si>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</si>
  <si>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</si>
  <si>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</si>
  <si>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</si>
  <si>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</si>
  <si>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</si>
  <si>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</si>
  <si>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</si>
  <si>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</si>
  <si>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</si>
  <si>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</si>
  <si>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</si>
  <si>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</si>
  <si>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</si>
  <si>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</si>
  <si>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</si>
  <si>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</si>
  <si>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</si>
  <si>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</si>
  <si>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</si>
  <si>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</si>
  <si>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</si>
  <si>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</si>
  <si>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</si>
  <si>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</si>
  <si>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</si>
  <si>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</si>
  <si>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</si>
  <si>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</si>
  <si>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</si>
  <si>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</si>
  <si>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</si>
  <si>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</si>
  <si>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</si>
  <si>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</si>
  <si>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</si>
  <si>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</si>
  <si>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</si>
  <si>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</si>
  <si>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</si>
  <si>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</si>
  <si>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</si>
  <si>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</si>
  <si>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</si>
  <si>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</si>
  <si>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</si>
  <si>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</si>
  <si>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</si>
  <si>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</si>
  <si>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</si>
  <si>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</si>
  <si>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</si>
  <si>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</si>
  <si>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</si>
  <si>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</si>
  <si>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</si>
  <si>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</si>
  <si>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</si>
  <si>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</si>
  <si>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</si>
  <si>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</si>
  <si>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</si>
  <si>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</si>
  <si>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</si>
  <si>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</si>
  <si>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</si>
  <si>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</si>
  <si>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</si>
  <si>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</si>
  <si>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</si>
  <si>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</si>
  <si>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</si>
  <si>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</si>
  <si>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</si>
  <si>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</si>
  <si>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</si>
  <si>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</si>
  <si>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</si>
  <si>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</si>
  <si>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</si>
  <si>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</si>
  <si>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</si>
  <si>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</si>
  <si>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</si>
  <si>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</si>
  <si>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</si>
  <si>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</si>
  <si>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</si>
  <si>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</si>
  <si>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</si>
  <si>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</si>
  <si>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</si>
  <si>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</si>
  <si>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</si>
  <si>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</si>
  <si>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</si>
  <si>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</si>
  <si>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</si>
  <si>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</si>
  <si>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</si>
  <si>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</si>
  <si>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</si>
  <si>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</si>
  <si>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</si>
  <si>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</si>
  <si>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</si>
  <si>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</si>
  <si>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</si>
  <si>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</si>
  <si>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</si>
  <si>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</si>
  <si>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</si>
  <si>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</si>
  <si>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</si>
  <si>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</si>
  <si>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</si>
  <si>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</si>
  <si>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</si>
  <si>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</si>
  <si>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</si>
  <si>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</si>
  <si>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</si>
  <si>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</si>
  <si>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</si>
  <si>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</si>
  <si>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</si>
  <si>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</si>
  <si>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</si>
  <si>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</si>
  <si>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</si>
  <si>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</si>
  <si>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</si>
  <si>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</si>
  <si>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</si>
  <si>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</si>
  <si>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</si>
  <si>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</si>
  <si>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</si>
  <si>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</si>
  <si>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</si>
  <si>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</si>
  <si>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</si>
  <si>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</si>
  <si>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</si>
  <si>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</si>
  <si>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</si>
  <si>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</si>
  <si>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</si>
  <si>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</si>
  <si>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</si>
  <si>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</si>
  <si>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</si>
  <si>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</si>
  <si>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</si>
  <si>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</si>
  <si>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</si>
  <si>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</si>
  <si>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</si>
  <si>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</si>
  <si>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</si>
  <si>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</si>
  <si>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</si>
  <si>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</si>
  <si>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</si>
  <si>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</si>
  <si>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</si>
  <si>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</si>
  <si>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</si>
  <si>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</si>
  <si>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</si>
  <si>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</si>
  <si>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</si>
  <si>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</si>
  <si>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</si>
  <si>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</si>
  <si>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</si>
  <si>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</si>
  <si>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</si>
  <si>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</si>
  <si>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</si>
  <si>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</si>
  <si>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</si>
  <si>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</si>
  <si>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</si>
  <si>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</si>
  <si>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</si>
  <si>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</si>
  <si>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</si>
  <si>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</si>
  <si>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</si>
  <si>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</si>
  <si>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</si>
  <si>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</si>
  <si>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</si>
  <si>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</si>
  <si>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</si>
  <si>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</si>
  <si>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</si>
  <si>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</si>
  <si>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</si>
  <si>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</si>
  <si>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</si>
  <si>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</si>
  <si>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</si>
  <si>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</si>
  <si>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</si>
  <si>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</si>
  <si>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</si>
  <si>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</si>
  <si>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</si>
  <si>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</si>
  <si>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</si>
  <si>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</si>
  <si>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</si>
  <si>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</si>
  <si>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</si>
  <si>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</si>
  <si>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</si>
  <si>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</si>
  <si>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</si>
  <si>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</si>
  <si>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</si>
  <si>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</si>
  <si>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</si>
  <si>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</si>
  <si>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</si>
  <si>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</si>
  <si>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</si>
  <si>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</si>
  <si>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</si>
  <si>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</si>
  <si>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</si>
  <si>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</si>
  <si>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</si>
  <si>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</si>
  <si>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</si>
  <si>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</si>
  <si>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</si>
  <si>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</si>
  <si>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</si>
  <si>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</si>
  <si>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</si>
  <si>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</si>
  <si>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</si>
  <si>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</si>
  <si>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</si>
  <si>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</si>
  <si>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</si>
  <si>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</si>
  <si>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</si>
  <si>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</si>
  <si>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</si>
  <si>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</si>
  <si>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</si>
  <si>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</si>
  <si>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</si>
  <si>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</si>
  <si>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</si>
  <si>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</si>
  <si>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</si>
  <si>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</si>
  <si>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</si>
  <si>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</si>
  <si>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</si>
  <si>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</si>
  <si>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</si>
  <si>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</si>
  <si>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</si>
  <si>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</si>
  <si>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</si>
  <si>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</si>
  <si>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</si>
  <si>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</si>
  <si>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</si>
  <si>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</si>
  <si>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</si>
  <si>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</si>
  <si>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</si>
  <si>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</si>
  <si>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</si>
  <si>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</si>
  <si>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</si>
  <si>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</si>
  <si>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</si>
  <si>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</si>
  <si>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</si>
  <si>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</si>
  <si>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</si>
  <si>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</si>
  <si>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</si>
  <si>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</si>
  <si>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</si>
  <si>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</si>
  <si>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</si>
  <si>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</si>
  <si>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</si>
  <si>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</si>
  <si>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</si>
  <si>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</si>
  <si>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</si>
  <si>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</si>
  <si>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</si>
  <si>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</si>
  <si>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</si>
  <si>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</si>
  <si>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</si>
  <si>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</si>
  <si>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</si>
  <si>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</si>
  <si>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</si>
  <si>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</si>
  <si>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</si>
  <si>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</si>
  <si>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</si>
  <si>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</si>
  <si>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</si>
  <si>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</si>
  <si>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</si>
  <si>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</si>
  <si>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</si>
  <si>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</si>
  <si>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</si>
  <si>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</si>
  <si>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</si>
  <si>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</si>
  <si>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</si>
  <si>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</si>
  <si>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</si>
  <si>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</si>
  <si>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</si>
  <si>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</si>
  <si>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</si>
  <si>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</si>
  <si>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</si>
  <si>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</si>
  <si>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</si>
  <si>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</si>
  <si>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</si>
  <si>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</si>
  <si>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</si>
  <si>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</si>
  <si>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</si>
  <si>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</si>
  <si>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</si>
  <si>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</si>
  <si>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</si>
  <si>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</si>
  <si>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</si>
  <si>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</si>
  <si>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</si>
  <si>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</si>
  <si>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</si>
  <si>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</si>
  <si>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</si>
  <si>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</si>
  <si>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</si>
  <si>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</si>
  <si>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</si>
  <si>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</si>
  <si>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</si>
  <si>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</si>
  <si>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</si>
  <si>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</si>
  <si>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</si>
  <si>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</si>
  <si>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</si>
  <si>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</si>
  <si>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</si>
  <si>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</si>
  <si>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</si>
  <si>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</si>
  <si>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</si>
  <si>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</si>
  <si>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</si>
  <si>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</si>
  <si>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</si>
  <si>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</si>
  <si>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</si>
  <si>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</si>
  <si>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</si>
  <si>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</si>
  <si>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</si>
  <si>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</si>
  <si>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</si>
  <si>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</si>
  <si>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</si>
  <si>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</si>
  <si>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</si>
  <si>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</si>
  <si>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</si>
  <si>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</si>
  <si>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</si>
  <si>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</si>
  <si>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</si>
  <si>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</si>
  <si>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</si>
  <si>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</si>
  <si>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</si>
  <si>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</si>
  <si>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</si>
  <si>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</si>
  <si>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</si>
  <si>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</si>
  <si>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</si>
  <si>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</si>
  <si>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</si>
  <si>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</si>
  <si>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</si>
  <si>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</si>
  <si>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</si>
  <si>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</si>
  <si>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</si>
  <si>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</si>
  <si>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</si>
  <si>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</si>
  <si>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</si>
  <si>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</si>
  <si>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</si>
  <si>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</si>
  <si>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</si>
  <si>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</si>
  <si>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</si>
  <si>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</si>
  <si>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</si>
  <si>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</si>
  <si>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</si>
  <si>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</si>
  <si>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</si>
  <si>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</si>
  <si>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</si>
  <si>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</si>
  <si>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</si>
  <si>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</si>
  <si>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</si>
  <si>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</si>
  <si>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</si>
  <si>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</si>
  <si>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</si>
  <si>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</si>
  <si>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</si>
  <si>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</si>
  <si>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</si>
  <si>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</si>
  <si>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</si>
  <si>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</si>
  <si>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</si>
  <si>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</si>
  <si>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</si>
  <si>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</si>
  <si>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</si>
  <si>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</si>
  <si>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</si>
  <si>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</si>
  <si>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</si>
  <si>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</si>
  <si>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</si>
  <si>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</si>
  <si>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</si>
  <si>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</si>
  <si>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</si>
  <si>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</si>
  <si>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</si>
  <si>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</si>
  <si>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</si>
  <si>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</si>
  <si>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</si>
  <si>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</si>
  <si>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</si>
  <si>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</si>
  <si>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</si>
  <si>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</si>
  <si>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</si>
  <si>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</si>
  <si>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</si>
  <si>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</si>
  <si>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</si>
  <si>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</si>
  <si>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</si>
  <si>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</si>
  <si>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</si>
  <si>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</si>
  <si>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</si>
  <si>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</si>
  <si>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</si>
  <si>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</si>
  <si>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</si>
  <si>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</si>
  <si>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</si>
  <si>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</si>
  <si>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</si>
  <si>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</si>
  <si>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</si>
  <si>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</si>
  <si>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</si>
  <si>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</si>
  <si>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</si>
  <si>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</si>
  <si>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</si>
  <si>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</si>
  <si>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</si>
  <si>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</si>
  <si>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</si>
  <si>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</si>
  <si>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</si>
  <si>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</si>
  <si>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</si>
  <si>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</si>
  <si>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</si>
  <si>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</si>
  <si>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</si>
  <si>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</si>
  <si>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</si>
  <si>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</si>
  <si>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</si>
  <si>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</si>
  <si>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</si>
  <si>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</si>
  <si>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</si>
  <si>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</si>
  <si>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</si>
  <si>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</si>
  <si>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</si>
  <si>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</si>
  <si>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</si>
  <si>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</si>
  <si>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</si>
  <si>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</si>
  <si>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</si>
  <si>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</si>
  <si>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</si>
  <si>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</si>
  <si>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</si>
  <si>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</si>
  <si>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</si>
  <si>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</si>
  <si>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</si>
  <si>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</si>
  <si>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</si>
  <si>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</si>
  <si>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</si>
  <si>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</si>
  <si>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</si>
  <si>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</si>
  <si>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</si>
  <si>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</si>
  <si>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</si>
  <si>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</si>
  <si>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</si>
  <si>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</si>
  <si>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</si>
  <si>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</si>
  <si>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</si>
  <si>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</si>
  <si>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</si>
  <si>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</si>
  <si>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</si>
  <si>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</si>
  <si>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</si>
  <si>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</si>
  <si>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</si>
  <si>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</si>
  <si>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</si>
  <si>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</si>
  <si>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</si>
  <si>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</si>
  <si>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</si>
  <si>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</si>
  <si>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</si>
  <si>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</si>
  <si>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</si>
  <si>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</si>
  <si>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</si>
  <si>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</si>
  <si>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</si>
  <si>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</si>
  <si>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</si>
  <si>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</si>
  <si>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</si>
  <si>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</si>
  <si>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</si>
  <si>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</si>
  <si>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</si>
  <si>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</si>
  <si>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</si>
  <si>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</si>
  <si>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</si>
  <si>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</si>
  <si>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</si>
  <si>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</si>
  <si>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</si>
  <si>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</si>
  <si>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</si>
  <si>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</si>
  <si>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</si>
  <si>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</si>
  <si>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</si>
  <si>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</si>
  <si>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</si>
  <si>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</si>
  <si>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</si>
  <si>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</si>
  <si>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</si>
  <si>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</si>
  <si>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</si>
  <si>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</si>
  <si>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</si>
  <si>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</si>
  <si>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</si>
  <si>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</si>
  <si>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</si>
  <si>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</si>
  <si>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</si>
  <si>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</si>
  <si>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</si>
  <si>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</si>
  <si>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</si>
  <si>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</si>
  <si>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</si>
  <si>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</si>
  <si>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</si>
  <si>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</si>
  <si>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</si>
  <si>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</si>
  <si>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</si>
  <si>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</si>
  <si>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</si>
  <si>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</si>
  <si>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</si>
  <si>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</si>
  <si>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</si>
  <si>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</si>
  <si>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</si>
  <si>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</si>
  <si>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</si>
  <si>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</si>
  <si>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</si>
  <si>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</si>
  <si>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</si>
  <si>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</si>
  <si>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</si>
  <si>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</si>
  <si>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</si>
  <si>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</si>
  <si>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</si>
  <si>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</si>
  <si>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</si>
  <si>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</si>
  <si>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</si>
  <si>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</si>
  <si>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</si>
  <si>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</si>
  <si>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</si>
  <si>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</si>
  <si>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</si>
  <si>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</si>
  <si>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</si>
  <si>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</si>
  <si>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</si>
  <si>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</si>
  <si>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</si>
  <si>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</si>
  <si>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</si>
  <si>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</si>
  <si>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</si>
  <si>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</si>
  <si>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</si>
  <si>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</si>
  <si>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</si>
  <si>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</si>
  <si>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</si>
  <si>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</si>
  <si>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</si>
  <si>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</si>
  <si>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</si>
  <si>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</si>
  <si>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</si>
  <si>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</si>
  <si>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</si>
  <si>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</si>
  <si>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</si>
  <si>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</si>
  <si>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</si>
  <si>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</si>
  <si>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</si>
  <si>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</si>
  <si>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</si>
  <si>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</si>
  <si>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</si>
  <si>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</si>
  <si>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</si>
  <si>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</si>
  <si>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</si>
  <si>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</si>
  <si>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</si>
  <si>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</si>
  <si>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</si>
  <si>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</si>
  <si>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</si>
  <si>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</si>
  <si>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</si>
  <si>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</si>
  <si>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</si>
  <si>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</si>
  <si>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</si>
  <si>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</si>
  <si>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</si>
  <si>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</si>
  <si>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</si>
  <si>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</si>
  <si>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</si>
  <si>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</si>
  <si>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</si>
  <si>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</si>
  <si>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</si>
  <si>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</si>
  <si>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</si>
  <si>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</si>
  <si>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</si>
  <si>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</si>
  <si>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</si>
  <si>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</si>
  <si>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</si>
  <si>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</si>
  <si>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</si>
  <si>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</si>
  <si>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</si>
  <si>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</si>
  <si>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</si>
  <si>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</si>
  <si>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</si>
  <si>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</si>
  <si>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</si>
  <si>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</si>
  <si>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</si>
  <si>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</si>
  <si>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</si>
  <si>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</si>
  <si>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</si>
  <si>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</si>
  <si>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</si>
  <si>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</si>
  <si>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</si>
  <si>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</si>
  <si>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</si>
  <si>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</si>
  <si>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</si>
  <si>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</si>
  <si>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</si>
  <si>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</si>
  <si>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</si>
  <si>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</si>
  <si>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</si>
  <si>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</si>
  <si>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</si>
  <si>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</si>
  <si>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</si>
  <si>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</si>
  <si>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</si>
  <si>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</si>
  <si>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</si>
  <si>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</si>
  <si>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</si>
  <si>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</si>
  <si>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</si>
  <si>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</si>
  <si>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</si>
  <si>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</si>
  <si>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</si>
  <si>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</si>
  <si>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</si>
  <si>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</si>
  <si>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</si>
  <si>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</si>
  <si>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</si>
  <si>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</si>
  <si>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</si>
  <si>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</si>
  <si>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</si>
  <si>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</si>
  <si>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</si>
  <si>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</si>
  <si>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</si>
  <si>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</si>
  <si>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</si>
  <si>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</si>
  <si>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</si>
  <si>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</si>
  <si>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</si>
  <si>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</si>
  <si>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</si>
  <si>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</si>
  <si>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</si>
  <si>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</si>
  <si>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</si>
  <si>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</si>
  <si>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</si>
  <si>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</si>
  <si>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</si>
  <si>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</si>
  <si>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</si>
  <si>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</si>
  <si>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</si>
  <si>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</si>
  <si>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</si>
  <si>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</si>
  <si>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</si>
  <si>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</si>
  <si>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</si>
  <si>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</si>
  <si>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</si>
  <si>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</si>
  <si>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</si>
  <si>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</si>
  <si>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</si>
  <si>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</si>
  <si>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</si>
  <si>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</si>
  <si>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</si>
  <si>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</si>
  <si>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</si>
  <si>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</si>
  <si>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</si>
  <si>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</si>
  <si>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</si>
  <si>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</si>
  <si>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</si>
  <si>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</si>
  <si>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</si>
  <si>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</si>
  <si>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</si>
  <si>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</si>
  <si>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</si>
  <si>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</si>
  <si>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</si>
  <si>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</si>
  <si>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</si>
  <si>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</si>
  <si>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</si>
  <si>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</si>
  <si>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</si>
  <si>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</si>
  <si>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</si>
  <si>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</si>
  <si>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</si>
  <si>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</si>
  <si>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</si>
  <si>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</si>
  <si>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</si>
  <si>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</si>
  <si>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</si>
  <si>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</si>
  <si>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</si>
  <si>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</si>
  <si>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</si>
  <si>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</si>
  <si>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</si>
  <si>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</si>
  <si>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</si>
  <si>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</si>
  <si>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</si>
  <si>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</si>
  <si>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</si>
  <si>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</si>
  <si>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</si>
  <si>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</si>
  <si>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</si>
  <si>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</si>
  <si>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</si>
  <si>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</si>
  <si>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</si>
  <si>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</si>
  <si>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</si>
  <si>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</si>
  <si>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</si>
  <si>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</si>
  <si>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</si>
  <si>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</si>
  <si>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</si>
  <si>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</si>
  <si>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</si>
  <si>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</si>
  <si>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</si>
  <si>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</si>
  <si>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</si>
  <si>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</si>
  <si>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</si>
  <si>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</si>
  <si>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</si>
  <si>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</si>
  <si>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</si>
  <si>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</si>
  <si>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</si>
  <si>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</si>
  <si>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</si>
  <si>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</si>
  <si>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</si>
  <si>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</si>
  <si>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</si>
  <si>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</si>
  <si>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</si>
  <si>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</si>
  <si>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</si>
  <si>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</si>
  <si>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</si>
  <si>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</si>
  <si>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</si>
  <si>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</si>
  <si>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</si>
  <si>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</si>
  <si>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</si>
  <si>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</si>
  <si>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</si>
  <si>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</si>
  <si>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</si>
  <si>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</si>
  <si>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</si>
  <si>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</si>
  <si>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</si>
  <si>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</si>
  <si>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</si>
  <si>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</si>
  <si>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</si>
  <si>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</si>
  <si>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</si>
  <si>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</si>
  <si>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</si>
  <si>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</si>
  <si>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</si>
  <si>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</si>
  <si>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</si>
  <si>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</si>
  <si>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</si>
  <si>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</si>
  <si>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</si>
  <si>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</si>
  <si>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</si>
  <si>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</si>
  <si>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</si>
  <si>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</si>
  <si>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</si>
  <si>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</si>
  <si>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</si>
  <si>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</si>
  <si>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</si>
  <si>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</si>
  <si>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</si>
  <si>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</si>
  <si>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</si>
  <si>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</si>
  <si>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</si>
  <si>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</si>
  <si>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</si>
  <si>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</si>
  <si>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</si>
  <si>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</si>
  <si>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</si>
  <si>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</si>
  <si>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</si>
  <si>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</si>
  <si>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</si>
  <si>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</si>
  <si>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</si>
  <si>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</si>
  <si>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</si>
  <si>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</si>
  <si>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</si>
  <si>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</si>
  <si>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</si>
  <si>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</si>
  <si>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</si>
  <si>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</si>
  <si>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</si>
  <si>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</si>
  <si>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</si>
  <si>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</si>
  <si>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</si>
  <si>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</si>
  <si>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</si>
  <si>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</si>
  <si>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</si>
  <si>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</si>
  <si>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</si>
  <si>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</si>
  <si>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</si>
  <si>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</si>
  <si>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</si>
  <si>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</si>
  <si>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</si>
  <si>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</si>
  <si>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</si>
  <si>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</si>
  <si>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</si>
  <si>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</si>
  <si>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</si>
  <si>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</si>
  <si>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</si>
  <si>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</si>
  <si>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</si>
  <si>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</si>
  <si>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</si>
  <si>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</si>
  <si>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</si>
  <si>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</si>
  <si>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</si>
  <si>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</si>
  <si>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</si>
  <si>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</si>
  <si>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</si>
  <si>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</si>
  <si>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</si>
  <si>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</si>
  <si>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</si>
  <si>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</si>
  <si>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</si>
  <si>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</si>
  <si>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</si>
  <si>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</si>
  <si>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</si>
  <si>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</si>
  <si>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</si>
  <si>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</si>
  <si>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</si>
  <si>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</si>
  <si>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</si>
  <si>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</si>
  <si>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</si>
  <si>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</si>
  <si>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</si>
  <si>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</si>
  <si>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</si>
  <si>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</si>
  <si>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</si>
  <si>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</si>
  <si>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</si>
  <si>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</si>
  <si>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</si>
  <si>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</si>
  <si>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</si>
  <si>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</si>
  <si>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</si>
  <si>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</si>
  <si>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</si>
  <si>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</si>
  <si>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</si>
  <si>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</si>
  <si>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</si>
  <si>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</si>
  <si>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</si>
  <si>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</si>
  <si>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</si>
  <si>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</si>
  <si>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</si>
  <si>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</si>
  <si>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</si>
  <si>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</si>
  <si>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</si>
  <si>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</si>
  <si>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</si>
  <si>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</si>
  <si>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</si>
  <si>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</si>
  <si>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</si>
  <si>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</si>
  <si>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</si>
  <si>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</si>
  <si>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</si>
  <si>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</si>
  <si>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</si>
  <si>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</si>
  <si>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</si>
  <si>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</si>
  <si>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</si>
  <si>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</si>
  <si>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</si>
  <si>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</si>
  <si>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</si>
  <si>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</si>
  <si>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</si>
  <si>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</si>
  <si>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</si>
  <si>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</si>
  <si>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</si>
  <si>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</si>
  <si>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</si>
  <si>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</si>
  <si>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</si>
  <si>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</si>
  <si>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</si>
  <si>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</si>
  <si>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</si>
  <si>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</si>
  <si>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</si>
  <si>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</si>
  <si>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</si>
  <si>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</si>
  <si>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</si>
  <si>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</si>
  <si>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</si>
  <si>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</si>
  <si>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</si>
  <si>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</si>
  <si>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</si>
  <si>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</si>
  <si>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</si>
  <si>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</si>
  <si>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</si>
  <si>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</si>
  <si>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</si>
  <si>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</si>
  <si>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</si>
  <si>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</si>
  <si>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</si>
  <si>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</si>
  <si>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</si>
  <si>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</si>
  <si>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</si>
  <si>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</si>
  <si>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</si>
  <si>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</si>
  <si>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</si>
  <si>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</si>
  <si>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</si>
  <si>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</si>
  <si>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</si>
  <si>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</si>
  <si>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</si>
  <si>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</si>
  <si>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</si>
  <si>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</si>
  <si>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</si>
  <si>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</si>
  <si>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</si>
  <si>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</si>
  <si>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</si>
  <si>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</si>
  <si>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</si>
  <si>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</si>
  <si>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</si>
  <si>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</si>
  <si>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</si>
  <si>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</si>
  <si>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</si>
  <si>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</si>
  <si>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</si>
  <si>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</si>
  <si>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</si>
  <si>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</si>
  <si>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</si>
  <si>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</si>
  <si>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</si>
  <si>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</si>
  <si>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</si>
  <si>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</si>
  <si>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</si>
  <si>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</si>
  <si>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</si>
  <si>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</si>
  <si>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</si>
  <si>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</si>
  <si>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</si>
  <si>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</si>
  <si>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</si>
  <si>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</si>
  <si>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</si>
  <si>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</si>
  <si>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</si>
  <si>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</si>
  <si>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</si>
  <si>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</si>
  <si>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</si>
  <si>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</si>
  <si>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</si>
  <si>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</si>
  <si>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</si>
  <si>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</si>
  <si>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</si>
  <si>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</si>
  <si>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</si>
  <si>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</si>
  <si>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</si>
  <si>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</si>
  <si>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</si>
  <si>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</si>
  <si>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</si>
  <si>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</si>
  <si>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</si>
  <si>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</si>
  <si>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</si>
  <si>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</si>
  <si>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</si>
  <si>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</si>
  <si>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</si>
  <si>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</si>
  <si>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</si>
  <si>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</si>
  <si>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</si>
  <si>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</si>
  <si>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</si>
  <si>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</si>
  <si>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</si>
  <si>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</si>
  <si>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</si>
  <si>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</si>
  <si>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</si>
  <si>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</si>
  <si>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</si>
  <si>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</si>
  <si>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</si>
  <si>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</si>
  <si>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</si>
  <si>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</si>
  <si>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</si>
  <si>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</si>
  <si>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</si>
  <si>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</si>
  <si>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</si>
  <si>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</si>
  <si>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</si>
  <si>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</si>
  <si>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</si>
  <si>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</si>
  <si>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</si>
  <si>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</si>
  <si>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</si>
  <si>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</si>
  <si>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</si>
  <si>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</si>
  <si>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</si>
  <si>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</si>
  <si>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</si>
  <si>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</si>
  <si>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</si>
  <si>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</si>
  <si>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</si>
  <si>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</si>
  <si>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</si>
  <si>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</si>
  <si>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</si>
  <si>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</si>
  <si>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</si>
  <si>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</si>
  <si>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</si>
  <si>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</si>
  <si>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</si>
  <si>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</si>
  <si>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</si>
  <si>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</si>
  <si>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</si>
  <si>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</si>
  <si>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</si>
  <si>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</si>
  <si>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</si>
  <si>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</si>
  <si>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</si>
  <si>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</si>
  <si>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</si>
  <si>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</si>
  <si>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</si>
  <si>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</si>
  <si>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</si>
  <si>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</si>
  <si>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</si>
  <si>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</si>
  <si>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</si>
  <si>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</si>
  <si>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</si>
  <si>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</si>
  <si>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</si>
  <si>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</si>
  <si>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</si>
  <si>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</si>
  <si>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</si>
  <si>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</si>
  <si>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</si>
  <si>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</si>
  <si>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</si>
  <si>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</si>
  <si>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</si>
  <si>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</si>
  <si>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</si>
  <si>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</si>
  <si>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</si>
  <si>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</si>
  <si>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</si>
  <si>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</si>
  <si>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</si>
  <si>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</si>
  <si>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</si>
  <si>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</si>
  <si>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</si>
  <si>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</si>
  <si>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</si>
  <si>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</si>
  <si>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</si>
  <si>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</si>
  <si>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</si>
  <si>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</si>
  <si>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</si>
  <si>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</si>
  <si>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</si>
  <si>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</si>
  <si>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</si>
  <si>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</si>
  <si>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</si>
  <si>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</si>
  <si>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</si>
  <si>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</si>
  <si>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</si>
  <si>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</si>
  <si>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</si>
  <si>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</si>
  <si>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</si>
  <si>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</si>
  <si>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</si>
  <si>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</si>
  <si>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</si>
  <si>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</si>
  <si>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</si>
  <si>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</si>
  <si>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</si>
  <si>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</si>
  <si>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</si>
  <si>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</si>
  <si>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</si>
  <si>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</si>
  <si>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</si>
  <si>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</si>
  <si>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</si>
  <si>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</si>
  <si>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</si>
  <si>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</si>
  <si>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</si>
  <si>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</si>
  <si>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</si>
  <si>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</si>
  <si>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</si>
  <si>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</si>
  <si>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</si>
  <si>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</si>
  <si>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</si>
  <si>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</si>
  <si>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</si>
  <si>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</si>
  <si>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</si>
  <si>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</si>
  <si>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</si>
  <si>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</si>
  <si>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</si>
  <si>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</si>
  <si>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</si>
  <si>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</si>
  <si>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</si>
  <si>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</si>
  <si>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</si>
  <si>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</si>
  <si>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</si>
  <si>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</si>
  <si>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</si>
  <si>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</si>
  <si>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</si>
  <si>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</si>
  <si>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</si>
  <si>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</si>
  <si>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</si>
  <si>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</si>
  <si>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</si>
  <si>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</si>
  <si>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</si>
  <si>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</si>
  <si>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</si>
  <si>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</si>
  <si>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</si>
  <si>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</si>
  <si>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</si>
  <si>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</si>
  <si>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</si>
  <si>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</si>
  <si>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</si>
  <si>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</si>
  <si>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</si>
  <si>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</si>
  <si>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</si>
  <si>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</si>
  <si>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</si>
  <si>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</si>
  <si>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</si>
  <si>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</si>
  <si>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</si>
  <si>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</si>
  <si>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</si>
  <si>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</si>
  <si>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</si>
  <si>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</si>
  <si>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</si>
  <si>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</si>
  <si>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</si>
  <si>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</si>
  <si>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</si>
  <si>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</si>
  <si>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</si>
  <si>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</si>
  <si>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</si>
  <si>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</si>
  <si>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</si>
  <si>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</si>
  <si>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</si>
  <si>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</si>
  <si>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</si>
  <si>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</si>
  <si>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</si>
  <si>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</si>
  <si>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</si>
  <si>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</si>
  <si>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</si>
  <si>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</si>
  <si>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</si>
  <si>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</si>
  <si>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</si>
  <si>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</si>
  <si>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</si>
  <si>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</si>
  <si>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</si>
  <si>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</si>
  <si>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</si>
  <si>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</si>
  <si>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</si>
  <si>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</si>
  <si>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</si>
  <si>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</si>
  <si>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</si>
  <si>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</si>
  <si>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</si>
  <si>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</si>
  <si>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</si>
  <si>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</si>
  <si>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</si>
  <si>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</si>
  <si>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</si>
  <si>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</si>
  <si>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</si>
  <si>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</si>
  <si>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</si>
  <si>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</si>
  <si>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</si>
  <si>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</si>
  <si>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</si>
  <si>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</si>
  <si>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</si>
  <si>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</si>
  <si>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</si>
  <si>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</si>
  <si>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</si>
  <si>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</si>
  <si>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</si>
  <si>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</si>
  <si>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</si>
  <si>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</si>
  <si>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</si>
  <si>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</si>
  <si>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</si>
  <si>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</si>
  <si>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</si>
  <si>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</si>
  <si>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</si>
  <si>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</si>
  <si>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</si>
  <si>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</si>
  <si>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</si>
  <si>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</si>
  <si>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</si>
  <si>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</si>
  <si>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</si>
  <si>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</si>
  <si>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</si>
  <si>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</si>
  <si>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</si>
  <si>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</si>
  <si>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</si>
  <si>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</si>
  <si>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</si>
  <si>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</si>
  <si>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</si>
  <si>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</si>
  <si>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</si>
  <si>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</si>
  <si>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</si>
  <si>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</si>
  <si>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</si>
  <si>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</si>
  <si>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</si>
  <si>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</si>
  <si>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</si>
  <si>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</si>
  <si>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</si>
  <si>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</si>
  <si>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</si>
  <si>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</si>
  <si>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</si>
  <si>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</si>
  <si>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</si>
  <si>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</si>
  <si>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</si>
  <si>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</si>
  <si>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</si>
  <si>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</si>
  <si>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</si>
  <si>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</si>
  <si>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</si>
  <si>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</si>
  <si>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</si>
  <si>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</si>
  <si>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</si>
  <si>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</si>
  <si>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</si>
  <si>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</si>
  <si>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</si>
  <si>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</si>
  <si>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</si>
  <si>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</si>
  <si>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</si>
  <si>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</si>
  <si>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</si>
  <si>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</si>
  <si>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</si>
  <si>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</si>
  <si>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</si>
  <si>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</si>
  <si>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</si>
  <si>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</si>
  <si>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</si>
  <si>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</si>
  <si>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</si>
  <si>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</si>
  <si>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</si>
  <si>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</si>
  <si>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</si>
  <si>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</si>
  <si>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</si>
  <si>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</si>
  <si>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</si>
  <si>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</si>
  <si>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</si>
  <si>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</si>
  <si>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</si>
  <si>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</si>
  <si>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</si>
  <si>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</si>
  <si>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</si>
  <si>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</si>
  <si>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</si>
  <si>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</si>
  <si>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</si>
  <si>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</si>
  <si>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</si>
  <si>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</si>
  <si>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</si>
  <si>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</si>
  <si>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</si>
  <si>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</si>
  <si>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</si>
  <si>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</si>
  <si>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</si>
  <si>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</si>
  <si>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</si>
  <si>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</si>
  <si>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</si>
  <si>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</si>
  <si>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</si>
  <si>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</si>
  <si>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</si>
  <si>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</si>
  <si>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</si>
  <si>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</si>
  <si>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</si>
  <si>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</si>
  <si>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</si>
  <si>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</si>
  <si>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</si>
  <si>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</si>
  <si>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</si>
  <si>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</si>
  <si>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</si>
  <si>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</si>
  <si>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</si>
  <si>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</si>
  <si>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</si>
  <si>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</si>
  <si>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</si>
  <si>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</si>
  <si>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</si>
  <si>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</si>
  <si>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</si>
  <si>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</si>
  <si>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</si>
  <si>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</si>
  <si>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</si>
  <si>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</si>
  <si>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</si>
  <si>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</si>
  <si>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</si>
  <si>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</si>
  <si>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</si>
  <si>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</si>
  <si>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</si>
  <si>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</si>
  <si>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</si>
  <si>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</si>
  <si>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</si>
  <si>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</si>
  <si>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</si>
  <si>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</si>
  <si>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</si>
  <si>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</si>
  <si>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</si>
  <si>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</si>
  <si>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</si>
  <si>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</si>
  <si>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</si>
  <si>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</si>
  <si>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</si>
  <si>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</si>
  <si>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</si>
  <si>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</si>
  <si>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</si>
  <si>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</si>
  <si>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</si>
  <si>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</si>
  <si>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</si>
  <si>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</si>
  <si>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</si>
  <si>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</si>
  <si>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</si>
  <si>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</si>
  <si>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</si>
  <si>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</si>
  <si>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</si>
  <si>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</si>
  <si>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</si>
  <si>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</si>
  <si>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</si>
  <si>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</si>
  <si>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</si>
  <si>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</si>
  <si>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</si>
  <si>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</si>
  <si>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</si>
  <si>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</si>
  <si>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</si>
  <si>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</si>
  <si>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</si>
  <si>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</si>
  <si>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</si>
  <si>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</si>
  <si>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</si>
  <si>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</si>
  <si>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</si>
  <si>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</si>
  <si>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</si>
  <si>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</si>
  <si>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</si>
  <si>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</si>
  <si>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</si>
  <si>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</si>
  <si>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</si>
  <si>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</si>
  <si>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</si>
  <si>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</si>
  <si>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</si>
  <si>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</si>
  <si>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</si>
  <si>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</si>
  <si>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</si>
  <si>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</si>
  <si>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</si>
  <si>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</si>
  <si>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</si>
  <si>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</si>
  <si>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</si>
  <si>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</si>
  <si>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</si>
  <si>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</si>
  <si>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</si>
  <si>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</si>
  <si>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</si>
  <si>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</si>
  <si>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</si>
  <si>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</si>
  <si>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</si>
  <si>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</si>
  <si>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</si>
  <si>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</si>
  <si>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</si>
  <si>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</si>
  <si>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</si>
  <si>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</si>
  <si>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</si>
  <si>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</si>
  <si>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</si>
  <si>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</si>
  <si>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</si>
  <si>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</si>
  <si>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</si>
  <si>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</si>
  <si>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</si>
  <si>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</si>
  <si>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</si>
  <si>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</si>
  <si>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</si>
  <si>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</si>
  <si>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</si>
  <si>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</si>
  <si>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</si>
  <si>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</si>
  <si>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</si>
  <si>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</si>
  <si>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</si>
  <si>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</si>
  <si>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</si>
  <si>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</si>
  <si>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</si>
  <si>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</si>
  <si>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</si>
  <si>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</si>
  <si>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</si>
  <si>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</si>
  <si>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</si>
  <si>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</si>
  <si>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</si>
  <si>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</si>
  <si>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</si>
  <si>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</si>
  <si>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</si>
  <si>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</si>
  <si>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</si>
  <si>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</si>
  <si>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</si>
  <si>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</si>
  <si>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</si>
  <si>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</si>
  <si>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</si>
  <si>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</si>
  <si>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</si>
  <si>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</si>
  <si>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</si>
  <si>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</si>
  <si>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</si>
  <si>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</si>
  <si>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</si>
  <si>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</si>
  <si>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</si>
  <si>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</si>
  <si>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</si>
  <si>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</si>
  <si>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</si>
  <si>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</si>
  <si>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</si>
  <si>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</si>
  <si>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</si>
  <si>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</si>
  <si>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</si>
  <si>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</si>
  <si>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</si>
  <si>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</si>
  <si>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</si>
  <si>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</si>
  <si>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</si>
  <si>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</si>
  <si>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</si>
  <si>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</si>
  <si>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</si>
  <si>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</si>
  <si>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</si>
  <si>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</si>
  <si>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</si>
  <si>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</si>
  <si>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</si>
  <si>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</si>
  <si>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</si>
  <si>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</si>
  <si>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</si>
  <si>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</si>
  <si>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</si>
  <si>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</si>
  <si>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</si>
  <si>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</si>
  <si>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</si>
  <si>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</si>
  <si>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</si>
  <si>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</si>
  <si>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</si>
  <si>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</si>
  <si>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</si>
  <si>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</si>
  <si>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</si>
  <si>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</si>
  <si>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</si>
  <si>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</si>
  <si>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</si>
  <si>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</si>
  <si>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</si>
  <si>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</si>
  <si>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</si>
  <si>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</si>
  <si>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</si>
  <si>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</si>
  <si>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</si>
  <si>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</si>
  <si>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</si>
  <si>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</si>
  <si>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</si>
  <si>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</si>
  <si>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</si>
  <si>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</si>
  <si>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</si>
  <si>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</si>
  <si>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</si>
  <si>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</si>
  <si>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</si>
  <si>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</si>
  <si>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</si>
  <si>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</si>
  <si>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</si>
  <si>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</si>
  <si>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</si>
  <si>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</si>
  <si>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</si>
  <si>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</si>
  <si>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</si>
  <si>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</si>
  <si>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</si>
  <si>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</si>
  <si>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</si>
  <si>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</si>
  <si>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</si>
  <si>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</si>
  <si>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</si>
  <si>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</si>
  <si>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</si>
  <si>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</si>
  <si>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</si>
  <si>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</si>
  <si>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</si>
  <si>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</si>
  <si>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</si>
  <si>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</si>
  <si>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</si>
  <si>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</si>
  <si>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</si>
  <si>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</si>
  <si>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</si>
  <si>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</si>
  <si>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</si>
  <si>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</si>
  <si>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</si>
  <si>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</si>
  <si>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</si>
  <si>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</si>
  <si>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</si>
  <si>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</si>
  <si>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</si>
  <si>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</si>
  <si>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</si>
  <si>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</si>
  <si>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</si>
  <si>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</si>
  <si>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</si>
  <si>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</si>
  <si>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</si>
  <si>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</si>
  <si>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</si>
  <si>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</si>
  <si>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</si>
  <si>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</si>
  <si>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</si>
  <si>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</si>
  <si>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</si>
  <si>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</si>
  <si>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</si>
  <si>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</si>
  <si>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</si>
  <si>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</si>
  <si>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</si>
  <si>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</si>
  <si>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</si>
  <si>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</si>
  <si>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</si>
  <si>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</si>
  <si>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</si>
  <si>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</si>
  <si>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</si>
  <si>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</si>
  <si>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</si>
  <si>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</si>
  <si>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</si>
  <si>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</si>
  <si>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</si>
  <si>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</si>
  <si>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</si>
  <si>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</si>
  <si>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</si>
  <si>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</si>
  <si>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</si>
  <si>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</si>
  <si>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</si>
  <si>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</si>
  <si>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</si>
  <si>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</si>
  <si>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</si>
  <si>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</si>
  <si>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</si>
  <si>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</si>
  <si>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</si>
  <si>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</si>
  <si>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</si>
  <si>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</si>
  <si>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</si>
  <si>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</si>
  <si>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</si>
  <si>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</si>
  <si>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</si>
  <si>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</si>
  <si>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</si>
  <si>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</si>
  <si>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</si>
  <si>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</si>
  <si>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</si>
  <si>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</si>
  <si>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</si>
  <si>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</si>
  <si>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</si>
  <si>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</si>
  <si>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</si>
  <si>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</si>
  <si>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</si>
  <si>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</si>
  <si>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</si>
  <si>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</si>
  <si>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</si>
  <si>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</si>
  <si>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</si>
  <si>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</si>
  <si>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</si>
  <si>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</si>
  <si>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</si>
  <si>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</si>
  <si>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</si>
  <si>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</si>
  <si>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</si>
  <si>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</si>
  <si>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</si>
  <si>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</si>
  <si>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</si>
  <si>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</si>
  <si>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</si>
  <si>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</si>
  <si>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</si>
  <si>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</si>
  <si>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</si>
  <si>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</si>
  <si>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</si>
  <si>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</si>
  <si>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</si>
  <si>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</si>
  <si>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</si>
  <si>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</si>
  <si>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</si>
  <si>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</si>
  <si>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</si>
  <si>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</si>
  <si>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</si>
  <si>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</si>
  <si>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</si>
  <si>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</si>
  <si>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</si>
  <si>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</si>
  <si>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</si>
  <si>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</si>
  <si>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</si>
  <si>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</si>
  <si>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</si>
  <si>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</si>
  <si>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</si>
  <si>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</si>
  <si>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</si>
  <si>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</si>
  <si>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</si>
  <si>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</si>
  <si>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</si>
  <si>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</si>
  <si>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</si>
  <si>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</si>
  <si>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</si>
  <si>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</si>
  <si>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</si>
  <si>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</si>
  <si>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</si>
  <si>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</si>
  <si>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</si>
  <si>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</si>
  <si>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</si>
  <si>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</si>
  <si>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</si>
  <si>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</si>
  <si>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</si>
  <si>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</si>
  <si>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</si>
  <si>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</si>
  <si>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</si>
  <si>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</si>
  <si>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</si>
  <si>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</si>
  <si>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</si>
  <si>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</si>
  <si>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</si>
  <si>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</si>
  <si>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</si>
  <si>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</si>
  <si>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</si>
  <si>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</si>
  <si>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</si>
  <si>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</si>
  <si>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</si>
  <si>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</si>
  <si>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</si>
  <si>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</si>
  <si>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</si>
  <si>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</si>
  <si>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</si>
  <si>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</si>
  <si>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</si>
  <si>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</si>
  <si>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</si>
  <si>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</si>
  <si>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</si>
  <si>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</si>
  <si>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</si>
  <si>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</si>
  <si>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</si>
  <si>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</si>
  <si>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</si>
  <si>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</si>
  <si>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</si>
  <si>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</si>
  <si>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</si>
  <si>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</si>
  <si>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</si>
  <si>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</si>
  <si>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</si>
  <si>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</si>
  <si>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</si>
  <si>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</si>
  <si>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</si>
  <si>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</si>
  <si>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</si>
  <si>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</si>
  <si>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</si>
  <si>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</si>
  <si>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</si>
  <si>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</si>
  <si>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</si>
  <si>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</si>
  <si>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</si>
  <si>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</si>
  <si>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</si>
  <si>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</si>
  <si>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</si>
  <si>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</si>
  <si>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</si>
  <si>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</si>
  <si>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</si>
  <si>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</si>
  <si>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</si>
  <si>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</si>
  <si>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</si>
  <si>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</si>
  <si>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</si>
  <si>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</si>
  <si>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</si>
  <si>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</si>
  <si>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</si>
  <si>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</si>
  <si>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</si>
  <si>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</si>
  <si>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</si>
  <si>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</si>
  <si>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</si>
  <si>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</si>
  <si>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</si>
  <si>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</si>
  <si>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</si>
  <si>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</si>
  <si>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</si>
  <si>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</si>
  <si>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</si>
  <si>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</si>
  <si>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</si>
  <si>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</si>
  <si>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</si>
  <si>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</si>
  <si>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</si>
  <si>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</si>
  <si>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</si>
  <si>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</si>
  <si>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</si>
  <si>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</si>
  <si>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</si>
  <si>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</si>
  <si>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</si>
  <si>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</si>
  <si>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</si>
  <si>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</si>
  <si>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</si>
  <si>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</si>
  <si>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</si>
  <si>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</si>
  <si>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</si>
  <si>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</si>
  <si>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</si>
  <si>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</si>
  <si>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</si>
  <si>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</si>
  <si>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</si>
  <si>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</si>
  <si>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</si>
  <si>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</si>
  <si>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</si>
  <si>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</si>
  <si>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</si>
  <si>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</si>
  <si>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</si>
  <si>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</si>
  <si>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</si>
  <si>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</si>
  <si>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</si>
  <si>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</si>
  <si>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</si>
  <si>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</si>
  <si>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</si>
  <si>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</si>
  <si>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</si>
  <si>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</si>
  <si>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</si>
  <si>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</si>
  <si>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</si>
  <si>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</si>
  <si>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</si>
  <si>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</si>
  <si>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</si>
  <si>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</si>
  <si>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</si>
  <si>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</si>
  <si>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</si>
  <si>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</si>
  <si>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</si>
  <si>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</si>
  <si>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</si>
  <si>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</si>
  <si>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</si>
  <si>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</si>
  <si>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</si>
  <si>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</si>
  <si>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</si>
  <si>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</si>
  <si>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</si>
  <si>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</si>
  <si>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</si>
  <si>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</si>
  <si>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</si>
  <si>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</si>
  <si>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</si>
  <si>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</si>
  <si>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</si>
  <si>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</si>
  <si>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</si>
  <si>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</si>
  <si>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</si>
  <si>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</si>
  <si>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</si>
  <si>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</si>
  <si>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</si>
  <si>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</si>
  <si>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</si>
  <si>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</si>
  <si>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</si>
  <si>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</si>
  <si>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</si>
  <si>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</si>
  <si>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</si>
  <si>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</si>
  <si>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</si>
  <si>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</si>
  <si>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</si>
  <si>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</si>
  <si>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</si>
  <si>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</si>
  <si>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</si>
  <si>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</si>
  <si>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</si>
  <si>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</si>
  <si>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</si>
  <si>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</si>
  <si>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</si>
  <si>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</si>
  <si>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</si>
  <si>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</si>
  <si>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</si>
  <si>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</si>
  <si>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</si>
  <si>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</si>
  <si>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</si>
  <si>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</si>
  <si>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</si>
  <si>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</si>
  <si>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</si>
  <si>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</si>
  <si>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</si>
  <si>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</si>
  <si>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</si>
  <si>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</si>
  <si>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</si>
  <si>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</si>
  <si>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</si>
  <si>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</si>
  <si>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</si>
  <si>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</si>
  <si>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</si>
  <si>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</si>
  <si>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</si>
  <si>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</si>
  <si>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</si>
  <si>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</si>
  <si>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</si>
  <si>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</si>
  <si>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</si>
  <si>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</si>
  <si>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</si>
  <si>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</si>
  <si>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</si>
  <si>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</si>
  <si>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</si>
  <si>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</si>
  <si>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</si>
  <si>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</si>
  <si>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</si>
  <si>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</si>
  <si>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</si>
  <si>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</si>
  <si>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</si>
  <si>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</si>
  <si>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</si>
  <si>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</si>
  <si>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</si>
  <si>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</si>
  <si>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</si>
  <si>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</si>
  <si>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</si>
  <si>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</si>
  <si>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</si>
  <si>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</si>
  <si>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</si>
  <si>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</si>
  <si>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</si>
  <si>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</si>
  <si>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</si>
  <si>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</si>
  <si>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</si>
  <si>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</si>
  <si>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</si>
  <si>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</si>
  <si>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</si>
  <si>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</si>
  <si>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</si>
  <si>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</si>
  <si>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</si>
  <si>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</si>
  <si>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</si>
  <si>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</si>
  <si>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</si>
  <si>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</si>
  <si>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</si>
  <si>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</si>
  <si>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</si>
  <si>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</si>
  <si>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</si>
  <si>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</si>
  <si>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</si>
  <si>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</si>
  <si>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</si>
  <si>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</si>
  <si>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</si>
  <si>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</si>
  <si>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</si>
  <si>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</si>
  <si>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</si>
  <si>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</si>
  <si>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</si>
  <si>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</si>
  <si>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</si>
  <si>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</si>
  <si>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</si>
  <si>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</si>
  <si>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</si>
  <si>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</si>
  <si>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</si>
  <si>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</si>
  <si>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</si>
  <si>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</si>
  <si>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</si>
  <si>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</si>
  <si>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</si>
  <si>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</si>
  <si>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</si>
  <si>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</si>
  <si>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</si>
  <si>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</si>
  <si>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</si>
  <si>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</si>
  <si>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</si>
  <si>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</si>
  <si>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</si>
  <si>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</si>
  <si>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</si>
  <si>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</si>
  <si>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</si>
  <si>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</si>
  <si>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</si>
  <si>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</si>
  <si>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</si>
  <si>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</si>
  <si>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</si>
  <si>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</si>
  <si>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</si>
  <si>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</si>
  <si>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</si>
  <si>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</si>
  <si>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</si>
  <si>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</si>
  <si>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</si>
  <si>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</si>
  <si>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</si>
  <si>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</si>
  <si>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</si>
  <si>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</si>
  <si>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</si>
  <si>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</si>
  <si>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</si>
  <si>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</si>
  <si>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</si>
  <si>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</si>
  <si>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</si>
  <si>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</si>
  <si>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</si>
  <si>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</si>
  <si>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</si>
  <si>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</si>
  <si>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</si>
  <si>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</si>
  <si>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</si>
  <si>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</si>
  <si>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</si>
  <si>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</si>
  <si>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</si>
  <si>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</si>
  <si>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</si>
  <si>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</si>
  <si>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</si>
  <si>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</si>
  <si>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</si>
  <si>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</si>
  <si>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</si>
  <si>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</si>
  <si>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</si>
  <si>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</si>
  <si>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</si>
  <si>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</si>
  <si>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</si>
  <si>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</si>
  <si>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</si>
  <si>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</si>
  <si>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</si>
  <si>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</si>
  <si>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</si>
  <si>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</si>
  <si>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</si>
  <si>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</si>
  <si>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</si>
  <si>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</si>
  <si>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</si>
  <si>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</si>
  <si>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</si>
  <si>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</si>
  <si>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</si>
  <si>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</si>
  <si>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</si>
  <si>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</si>
  <si>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</si>
  <si>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</si>
  <si>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</si>
  <si>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</si>
  <si>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</si>
  <si>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</si>
  <si>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</si>
  <si>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</si>
  <si>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</si>
  <si>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</si>
  <si>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</si>
  <si>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</si>
  <si>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</si>
  <si>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</si>
  <si>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</si>
  <si>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</si>
  <si>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</si>
  <si>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</si>
  <si>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</si>
  <si>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</si>
  <si>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</si>
  <si>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</si>
  <si>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</si>
  <si>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</si>
  <si>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</si>
  <si>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</si>
  <si>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</si>
  <si>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</si>
  <si>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</si>
  <si>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</si>
  <si>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</si>
  <si>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</si>
  <si>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</si>
  <si>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</si>
  <si>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</si>
  <si>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</si>
  <si>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</si>
  <si>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</si>
  <si>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</si>
  <si>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</si>
  <si>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</si>
  <si>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</si>
  <si>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</si>
  <si>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</si>
  <si>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</si>
  <si>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</si>
  <si>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Piedmont Housing Group, LLC</t>
  </si>
  <si>
    <t>295 W Crossville Rd, Suite 720</t>
  </si>
  <si>
    <t>josh@piedmonthousinggroup.com</t>
  </si>
  <si>
    <t>Josh Thomason</t>
  </si>
  <si>
    <t>Managing Member</t>
  </si>
  <si>
    <t>Jon McKnight</t>
  </si>
  <si>
    <t>jon@piedmonthousinggroup.com</t>
  </si>
  <si>
    <t>Manager of GP</t>
  </si>
  <si>
    <t>For Profit</t>
  </si>
  <si>
    <t>piedmonthousinggroup.com</t>
  </si>
  <si>
    <t>Affordable Equity Partners, Inc. (PROPOSED)</t>
  </si>
  <si>
    <t>206 Peach Way</t>
  </si>
  <si>
    <t>www.aepartners.com</t>
  </si>
  <si>
    <t>bkimes@aepartners.com</t>
  </si>
  <si>
    <t>Brian Kimes</t>
  </si>
  <si>
    <t>Vice President</t>
  </si>
  <si>
    <t>Fairway Construction Co., Inc.</t>
  </si>
  <si>
    <t>www.fairwayconstruction.com</t>
  </si>
  <si>
    <t>wmarkel@jesmith.com</t>
  </si>
  <si>
    <t>Will Markel</t>
  </si>
  <si>
    <t>Fairway Management, Inc.</t>
  </si>
  <si>
    <t>www.fairwaymanagement.com</t>
  </si>
  <si>
    <t>Coleman Talley LLP</t>
  </si>
  <si>
    <t>910 North Patterson Street</t>
  </si>
  <si>
    <t>www.colemantalley.com</t>
  </si>
  <si>
    <t>greg.clark@colemantalley.com</t>
  </si>
  <si>
    <t>Greg Clark</t>
  </si>
  <si>
    <t>Partner</t>
  </si>
  <si>
    <t>Aprio</t>
  </si>
  <si>
    <t>Five Concourse Parkway, Suite 1000</t>
  </si>
  <si>
    <t>Frank Gudger</t>
  </si>
  <si>
    <t>www.aprio.com</t>
  </si>
  <si>
    <t>Frank.Gudger@aprio.com</t>
  </si>
  <si>
    <t>Martin Riley Associates – Architects, P.C.</t>
  </si>
  <si>
    <t>215 Church Street</t>
  </si>
  <si>
    <t>www.martin-riley.com</t>
  </si>
  <si>
    <t>mriley@martinriley.com</t>
  </si>
  <si>
    <t>Mike Riley</t>
  </si>
  <si>
    <t>The proposed Federal and State Syndicator, Affordable Equity Partners, Inc. and proposed General Contractor, Fairway Construction Co., Inc. have an identity of interest with each other as they share common ownership.</t>
  </si>
  <si>
    <t>Owner (GP) and Developer</t>
  </si>
  <si>
    <t>The proposed project is within the allowable cost limits</t>
  </si>
  <si>
    <t>Semi monthly birthday parties and game nights</t>
  </si>
  <si>
    <t>Semi-monthly Computer tutoring and gardening classes</t>
  </si>
  <si>
    <t>Not Applicable - An appraisal is not required as the proposed development will not be utilizing HOME funds and there is not an idenity of interest between the land seller and any member of the development team.</t>
  </si>
  <si>
    <t>Geotechnical and Environmental Consultants, Inc.</t>
  </si>
  <si>
    <t>The Applicant has included the Phase I environmental report in the application.</t>
  </si>
  <si>
    <t>Purchase Contract</t>
  </si>
  <si>
    <t>Site Control documents have been provided in tab 8 of the application.</t>
  </si>
  <si>
    <t>N/Ap</t>
  </si>
  <si>
    <t>Novogradac &amp; Company, LLP</t>
  </si>
  <si>
    <t>Georgia Power</t>
  </si>
  <si>
    <t>Power will be provided by Georgia Power.  Required documentaion is included in tab 11.</t>
  </si>
  <si>
    <t>Agree</t>
  </si>
  <si>
    <t>On-site laundry</t>
  </si>
  <si>
    <t>Not Applicable.  Proposed development is 100% new construction.</t>
  </si>
  <si>
    <t>The Applicant has prepared the Conceptual Site Development Plan consistent with DCA's requirements.  Required documentation is included in tab 15.</t>
  </si>
  <si>
    <t>The Applicant agrees with items A &amp; B above.</t>
  </si>
  <si>
    <t>The Applicant will follow all required accessibility standards and retain a DCA qualified consultant.  The Applicant has not requested a waiver of these standards.</t>
  </si>
  <si>
    <t>Zeffert &amp; Associates</t>
  </si>
  <si>
    <t>Architectural documentation is included in tab 15.</t>
  </si>
  <si>
    <t>Not Applicable - The Applicant is a for-profit entity and is not competing under the non-profit set-aside.</t>
  </si>
  <si>
    <t>Not Applicable - The Applicant is not participating in the Rural HOME Preservation Set Aside.</t>
  </si>
  <si>
    <t>Not Applicable - The Applicant is not a CHDO and is not participating in the CHDO HOME Set Aside</t>
  </si>
  <si>
    <t>Not Applicable - The Applicant is not required to submit the legal opinions noted in this section.</t>
  </si>
  <si>
    <t>Not Applicable - The proposed development is 100% new construction and will not result in the relocation/displacement of existing tenants.</t>
  </si>
  <si>
    <t>The Applicant agrees to prepare and submit an AFFH marketing plan that includes items A-F noted in this section if the applicant is selected for funding.</t>
  </si>
  <si>
    <t>The Applicant has prepared the application within the parameters of DCA's underwriting policies noted in the QAP and belives that all estimated costs are reasonable.  The proposed development includes units that have reasonable square footage.  Therefore, the Applicant believes the proposed development consititutes an optimal unitilization of resources.</t>
  </si>
  <si>
    <t>Publicly available</t>
  </si>
  <si>
    <t>N/a</t>
  </si>
  <si>
    <t>06-08</t>
  </si>
  <si>
    <t>Not Applicable - The Applicant is not claiming points in this section.</t>
  </si>
  <si>
    <t>Upper</t>
  </si>
  <si>
    <t>A2</t>
  </si>
  <si>
    <t>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t>
  </si>
  <si>
    <t>Within City Limits</t>
  </si>
  <si>
    <t>Located off Pointe North Blvd, Parcel # 00352/00001/01D</t>
  </si>
  <si>
    <t>2713 Pointe North Blvd.</t>
  </si>
  <si>
    <t>104.01</t>
  </si>
  <si>
    <t>City of Albany</t>
  </si>
  <si>
    <t>Dorothy Hubbard</t>
  </si>
  <si>
    <t>Mayor</t>
  </si>
  <si>
    <t>dhubbard@albanyga.gov</t>
  </si>
  <si>
    <t>http://www.albanyga.gov/home</t>
  </si>
  <si>
    <t>401 Pine Avenue</t>
  </si>
  <si>
    <t>3+ Story</t>
  </si>
  <si>
    <t>Pointe North Village III, LP</t>
  </si>
  <si>
    <t>Dougherty Housing Ventures III, LLC</t>
  </si>
  <si>
    <t>The Managing General Partner, Dougherty Housing Ventures III, LLC has an identity of interest with they Developer, Piedmont Housing Group, LLC as they share common ownership.</t>
  </si>
  <si>
    <t>Pointe North, LTD</t>
  </si>
  <si>
    <t>Danny Blackshear</t>
  </si>
  <si>
    <t>1212 Dawson Road</t>
  </si>
  <si>
    <t>(229) 883-6100</t>
  </si>
  <si>
    <t>dblackshear@albanyrealtyco.com</t>
  </si>
  <si>
    <t>The Applicant has structured this application so that it is consistent with DCA's requirements regarding Project Feasibility, Viability and Conformance with the Plan as detailed in the 2018 QAP.  Pointe North Village III complies with the 2018 QAP and the Applicant has not requested any waivers or deviations from these standards.  Dougherty County's section 8 program is administered by DCA, therefore the applicant has used DCA's applicable utility allowances in this application.</t>
  </si>
  <si>
    <t>The Applicant has selected a "Family" designation and will serve that tenancy.</t>
  </si>
  <si>
    <t>Applicant agrees to provide 2 services from 2 categories as noted above.</t>
  </si>
  <si>
    <t>The site is zoned C-2 (General Mixed-Use Business District) which allows for Multi-Family housing.  See Tab 10 for required documentation.</t>
  </si>
  <si>
    <t>Covered Porch</t>
  </si>
  <si>
    <t>A pre-application was submitted for Cartmell Senior Village (PA18-036) and the Project Team for Cartmell Senior Village received a determination of "Complete".  The Project Team for Pointe North Village III is identical to the Project Team for Cartmell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t>
  </si>
  <si>
    <t>Dougherty County</t>
  </si>
  <si>
    <t>Merry Acres Middle School</t>
  </si>
  <si>
    <t>Albany Transit System</t>
  </si>
  <si>
    <t>229-446-2700
229-446-2704</t>
  </si>
  <si>
    <t>http://www.albanyga.gov/about-us/city-departments/albany-transit-system</t>
  </si>
  <si>
    <t>http://www.albanyga.gov/about-us/city-departments/albany-transit-system/routes-and-maps</t>
  </si>
  <si>
    <t>The Applicant is NOT claiming the Priority point for this Application.</t>
  </si>
  <si>
    <t>Not Applicable-The proposed development did not receive a letter from a designated Georgia Initiative for Community Housing Community nor is it located in a Designated Military Zone.</t>
  </si>
  <si>
    <t>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.5 miles of six (6) desirable activities/characteristics thereby qualifying the Applicant for twelve (12) points AND
The proposed project site is located within 1.5 miles of six (6) desirable activities/characteristics thereby qualifying the Applicant for six (6) points.  
The Applicant is not aware of any Undesirable/Inefficient Site Activities/Characteristics located within 1/4 mile of the proposed site therefore no points should be deducted for Undesirable/Inefficient Site Activities/Characteristics.
Therefore, the Applicant is eligible for 18 points which exceed the allowable 10 points available in this section.  Therefore the Applicant has met the criteria for and is eligible for the 10 points noted in this section.</t>
  </si>
  <si>
    <t>Sterling Bank</t>
  </si>
  <si>
    <t>Affordable Equity Partners, Inc.</t>
  </si>
  <si>
    <t>Amortizing</t>
  </si>
  <si>
    <t xml:space="preserve">The State Limited Partner will contribute capital for an allocation of 99.99% of the State Tax Credits at $.37 per credit.
The Federal Limited Partner will contribute capital for an allocation of 99.99% of the Fedral Tax Credits at $.85 per credit.
</t>
  </si>
  <si>
    <t>Georgia DCA - Effective 1/1/2018- South Region</t>
  </si>
  <si>
    <t>Electric Heat Pump</t>
  </si>
  <si>
    <t>Cable</t>
  </si>
  <si>
    <t>Cartmell Senior Village</t>
  </si>
  <si>
    <t>Vinings Senior Village</t>
  </si>
  <si>
    <t>Direct</t>
  </si>
  <si>
    <t>DDA/QCT</t>
  </si>
  <si>
    <t>Healthy Housing</t>
  </si>
  <si>
    <t>Ancillary income is estimated to be 2% annual based rent.  This estimate is consistent with the ancillary income from other deals in the developer's portfolio.  The ancillary income is primarily made up of laundry fees, application fees, and forfeited deposits.</t>
  </si>
  <si>
    <t>2-3 months</t>
  </si>
  <si>
    <t xml:space="preserve">SOURCE OF DATA EVALUATED BY APPLICANT
The Applicant evaluated data from the following sources in an effort to identify the local health needs and to ensure that a Preventive Health Care initiative at Pointe North Village III would be effective in addressing those needs.  
• The “County Health Rankings &amp; Roadmaps” for Dougherty County, GA
• Phoebe Putney Memorial Hospital 2016 Community Health Needs Assessment (CHNA) with selected data highlighted by Applicant
SELECTED DATA AND OBSERVATIONS AFTER DATA EVALUATION
The Applicant evaluated the needs data results for Dougherty County, GA from the sources above to determine that the Preventive Health Screening/EducationProgram for the residents of Pointe North Village III will meet those needs;
Summary of health needs and health deficiencies from the data sources noted above:
The “County Health Rankings &amp; Reports” for Dougherty County, GA – selected data and observations;
• Adult Smoking and Adult Obesity were highlighted as areas to explore and are above the national averages.
o (Applicant Comment: both factors above contribute to Heart Disease)
Phoebe Putney Memorial Hospital 2016 Community Health Needs Assessment (CHNA)  - selected data and observations;
• Page 14 – 
  o “access to care was the biggest issue facing Southwest Georgia residents today”
  o “What’s blocking access to care?”
  o “Travel time impedes access to health services and employment opportunities”
• Page 28 – Diabetes Age Adjusted Death Rate – “age adjusted death rates due to diabetes were more than twice the State average for Dougherty” – Dougherty County residents are not effectively managing their Diabetes
• Page 30 – “Compared to the Georgia Average, all counties had a higher inactivity percentage as measured by County Rankings. Obesity in adults increases the risk of many diseases and health conditions including heart disease, Type 2 diabetes, cancer, hypertension, stroke, liver and gallbladder disease, respiratory problems, and osteoarthritis”
• Page 49 – County Rankings – Dougherty County ranked poorly compared to other Georgia Counties in the categories of Length of Life, Health Behaviors, Health Outcome Ranking &amp; Health Factor Ranking
• Page 60 – “ADULTS WHO SMOKE” – Dougherty County is noted as being above the state average in this category
• Page 60 – “ADULT OBESITY” - Dougherty County is noted as being above the state average in this category
• Page 63 – “Obstructive heart disease exceeded the state average since 2011 with a 19% gap as of 2014.”
HOW THE PROPOSED INITIATIVE ADDRESSES LOCAL HEALTH ISSUES
Through a review of this data, the health issues most in need of attention in Dougherty County are Diabetes, Smoking, Heart Disease and Obesity which increases the risk of many diseases and health conditions including heart disease, Type 2 diabetes, cancer, hypertension, stroke, liver and gallbladder disease, respiratory problems, and osteoarthritis.  The Applicant will implement an on-site preventive health screening and on-site health education program at Pointe North Village III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CHNA reviewed by the Applicant.  The On-site screening and Education initiative to be offered at Pointe North Village III will directly address this concern by bringing on-site basic health screening and education to the residents of Pointe North Village III.
DETAILS OF THE PROPOSED PROGRAM INCLUDING A LIST OF SCREENING SERVICES TO BE OFFERED AND DETAILS OF RESIDENT EDUCATION
• Pointe North Village III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Diabetes-Biometric Screening (specifically blood Glucose check included in biometric screening), Blood pressure checks, Body Fat Screenings and Body Mass Index (BMI) screenings, Health Education Topics (nutrition, physical activity, heart health and stress)
• Obesity-Biometric Screening, Blood pressure checks, Body Fat Screenings and Body Mass Index (BMI) screenings, Health Education Topics (nutrition, physical activity, heart health and stress)
• Heart Disease-Biometric Screening, Blood pressure checks, Body Fat Screenings and Body Mass Index (BMI) screenings, Health Education Topics (nutrition, physical activity, heart health and stress)
• Smoking cessation-Health Education Booths
• Length of Life, Health Behaviors, Health Outcome Ranking &amp; Health Factor Ranking-Biometric Screening, Blood pressure checks, Body Fat Screenings and Body Mass Index (BMI) screenings, Health Education Topics (nutrition, physical activity, heart health and stress)
• Convenient access to care-All Services will be offered on-site
In Conclusion, the needs data results identified in this narrative will be addressed by the on-site preventive health screening and health education booths.  All services will be offered on-site at Pointe North Village III and will provide a convenient, efficient and effective way for residents to receive these services without having to leave the development.  </t>
  </si>
  <si>
    <t xml:space="preserve">  Pointe North Village III is a proposed 54 unit housing development that will serve a family tenancy and will compete in the Flexible Pool.  Pointe North Village III will be located in Albany, Dougherty County, Georgia.  The property is located off Pointe North Blvd, Parcel # 00352/00001/01D in Albany, GA 31721.  We believe that the development of Pointe North Village III will provide quality affordable housing to the residents of Albany.  Not only will Pointe North Village III provide the needed housing and economic boost, but it will provide it in the most beneficial and desirable location.  Pointe North Village III is within one mile of a Publix, Target, the Albany Mall and dining and healthcare options.  Furthermore, Pointe North Village III is within one mile of a transit hub which is located at the bus stop (which serves three bus routes) directly outside of the Albany Mall.  The site entrance to Pointe North Village III is also located within one quarter mile of a bus stop.  
  Pointe North Village III will consist of two three-story residential buildings and a separate community building.  As stated previously, Pointe North Village III will serve a family tenancy and will have amenities geared towards that population, such as:  a community building for community events, a furnished exercise/fitness center, a fully equipped computer center, a centralized laundry facility, a covered pavilion with a bbq area, a fenced community garden and a wellness center.
  Furthermore, Pointe North Village III has committed to obtaining the Platinum certification under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furthermore ensure that the residents of Pointe North Village III are afforded a more enjoyable and sustainable environment in which to live.
  In conclusion, Pointe North Village III will be financed with equity from Affordable Equity Partners and construction and permanent loans from from Sterling Bank.  Affordable Equity Partners and Sterling Bank believe that investing in Pointe North Village III is a sound decision, both from a financial and sociological perspective.
</t>
  </si>
  <si>
    <t>2015-043</t>
  </si>
  <si>
    <t>Pointe North Senior Village II</t>
  </si>
  <si>
    <t>2009-009</t>
  </si>
  <si>
    <t>The Cove at Southlake</t>
  </si>
  <si>
    <t>2013-034</t>
  </si>
  <si>
    <t>Pointe North Senior Village I</t>
  </si>
  <si>
    <t>2010-067</t>
  </si>
  <si>
    <t>Forrester Senior Village</t>
  </si>
  <si>
    <t>2008-075</t>
  </si>
  <si>
    <t>The Landing at Southlake</t>
  </si>
  <si>
    <t>2017-066</t>
  </si>
  <si>
    <t>Woodlands</t>
  </si>
  <si>
    <t>As the low capture rate in the market study indicates, there is a strong demand for affordable housing in Albany.  A member of the Applicant has developed two apartment communities in close proximity to the subject site that both leased up in approximately one month.
Also, Barkley Estates (2006-051) is in the primary market area.</t>
  </si>
  <si>
    <t>N/A - all noise levels less than 65 decibels</t>
  </si>
  <si>
    <t>Vehicular and Pedestrian access will be off of Pointe North Boulevard.</t>
  </si>
  <si>
    <t>Albany Utilities</t>
  </si>
  <si>
    <t>Per the 2018 QAP, any developments within a 1-mile radius of a transit hub, (as defined in Scoring Section IV. Transportation Options, A. Transit-Oriented Development) that received an award of 9% credits in the last the last six (6) DCA competitive funding cycles are not included in the analysis of previous competitive funding cycles.  There are two (2) developments (Pointe North Senior Village, 2013-034 and Pointe North Village II, 2015-043) that received awards in the last six (6) DCA competitive funding cycles that are within a 1-mile radius of a transit hub.  Per the QAP, these two (2) developments are not included in the analysis of previous competitive funding cycles.  Furthermore, the subject site itself is within a one mile radius of the transit hub.  See documentation in Tab 44.
When these two (2) developments are removed from the analysis of previous competitive funding cycles, the proposed development site not within a 1-mile radius of a 9% Georgia Housing Credit development that has received an award in the last six (6) DCA competitive funding cycles.  Therefore, the Applicant is eligible for three (3) points under Previous Projects-Flexible Pool.</t>
  </si>
  <si>
    <t>The Applicant is eligible for Four (4) points under A. Transit-Oriented Development as Pointe North Village III is located within a one (1) mile walking distance of a transit hub.  Please see supporting documentation in Tab 28, Section A.  The Applicant is also eligible for one (1) additional point as Pointe North Village III will serve a Family tenancy.  Therefore the Applicant is eligible for five (5) points under Community Transportation Options.
Pointe North Village III is also eligible for Three (3) points under B. Access to Public Transportation as Pointe North Village III is within a 0.25-mile walking distance of an established public transportation stop.  
The Applicant realizes that points may only be claimed under either A. A. Transit-Oriented Development OR B. Access to Public Transportation.  
The Applicant wishes to claim five (5) points under A. Transit-Oriented Development and NOT three (3) points under B. Access to Public Transportation.
The Applicant is submitting documentation in Tab 28 for B. Access to Public Transportation as the Applicant was unsure if documentation for A and B were both required.  DCA may choose to ignore the documentation in this section if DCA determines the Applicant is eligible for five (5) points under A. Transit-Oriented Development.</t>
  </si>
  <si>
    <t xml:space="preserve">Insurance calculation based on similar sized deals in owners portfolio in similar geographic areas.  See Tab 1, Item 7 in this application.  Real Estate tax calculation  based on tax credit developments with the same tenancy in Cherokee County.  See Tab 1, Item 7.
See Tab 1, Item 1 for calculation of Healthy Housing expense.
Ancillary income is estimated to be 2% annual based rent.  This estimate is consistent with the ancillary income from other deals in the developer's portfolio.  The ancillary income is primarily made up of laundry fees, application fees, and forfeited deposits.
</t>
  </si>
  <si>
    <t>“County Health Rankings &amp; Reports” for Lee County, GA &amp; Phoebe Putney Memorial Hospital 2016 Community Health Needs Assessment (CHNA)</t>
  </si>
  <si>
    <t>TotalWellness</t>
  </si>
  <si>
    <t>Biometric Screening/Blood pressure checks/Body Fat Screenings/Body Mass Index (BMI) screenings (one per month from this list)</t>
  </si>
  <si>
    <t>Health Education Topics (various topics, topics to be rotated monthly)</t>
  </si>
  <si>
    <t>monthly</t>
  </si>
  <si>
    <t>Feedback from residents: are these services helpful?</t>
  </si>
  <si>
    <t>Feedback from residents on what they would like to change about screening/education</t>
  </si>
  <si>
    <t>Public Webinars on smart gardening for vegtables</t>
  </si>
  <si>
    <t>Healthy Eating &amp; Diet Webinars</t>
  </si>
  <si>
    <t>Obesity Action Coalition presentation</t>
  </si>
  <si>
    <t>UGA HOME Gardening Programs</t>
  </si>
  <si>
    <t>Gardening topics and garden maintenance for growing vegtables</t>
  </si>
  <si>
    <t>Examples: Not all carbs are created equal, Diets: Fad or Fact, Life Hacks: Eat Healthy on a Busy Schedule</t>
  </si>
  <si>
    <t xml:space="preserve">Examples:Does that Really Work? Deciphering Popular Weight-loss Trends, Planning, Shopping and Dining: Practical Tactics for Good Nutrition
</t>
  </si>
  <si>
    <t>Examples: Georgia Homegrown Tomatoes, Home Garden Grapes, Peppers, Green Beans, Lettuce, Broccolli, etc.</t>
  </si>
  <si>
    <t>1 Vinings Senior Village</t>
  </si>
  <si>
    <t>2 Cartmell Senior Village</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</si>
  <si>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t>
  </si>
  <si>
    <t>Albany Utilities will provide water and the City of Albany will provide sewer.  Required documentation is included in tab 12.  Items C and D above are not applicable.</t>
  </si>
  <si>
    <t>Additional amenities include a wellness center, community garden, picnic shelter and playground.</t>
  </si>
  <si>
    <t>Pointe North Village III</t>
  </si>
  <si>
    <t>XIII.  Additional Project Information, E. Waivers and/or pre-approvals: - The Project Team for the Applicant applied for a qualification determination during the 2018 pre-application for Cartmell Senior Village (PA18-036) and received a determination of "Qualified".   The Project Team for Cartmell Senior Village is identical to the Project Team for Pointe North Village III.  Furthermore, both Pointe North Village III and Cartmell Senior Village are both new construction developments and are similarly sized developments (Cartmell Senior Village is 46 units and Pointe North Village Phase III is 54 units).  Therefore, the Project Team for Pointe North Village III is also qualified.  A copy of the Qualification Determination Letter received for Cartmell Senior Village (PA18-036) signed by the Applicant has been included in Tab 19 (XIX) "Qualifications for General Project Participants". 
IV.  Project Location:  Phased Project - Though the development is named Pointe North Village III, it isn't a phased development per the QAP.  The QAP states that a phased development means one tax credit development that will be developed in several adjacent phases...under common planning documents.  This isn't true for Pointe North Village III, so the Applicant answered "No" regarding the Phased Development Question.</t>
  </si>
  <si>
    <t xml:space="preserve">Josh Thomason is the Certifying Principal of the Project Team.  The Project Team for the Applicant applied for a qualification determination during the 2018 pre-application for Cartmell Senior Village (PA18-036) and received a determination of "Qualified".   The Project Team for Cartmell Senior Village is identical to the Project Team for Pointe North Village III.  Furthermore, the development types (new construction) and number of units (46 and 54) are similar for Cartmell Senior Village and Pointe North Village III.  Therefore, the Project Team for Pointe North Village III is also qualified.  A copy of the Qualification Determination Letter received for Cartmell Senior Village (PA18-036) signed by the Applicant has been included in Tab 19 (XIX) "Qualifications for General Project Participants". </t>
  </si>
  <si>
    <t>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Pointe North Village III is 216.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t>
  </si>
  <si>
    <t xml:space="preserve">A. QUALITY EDUCATION AREAS
The proposed development site is located in the attendance zone of one (1) school that has an above-average CCRPI score.  The average of the CCRPI scores for the three successive years of 2014-2016 for Merry Acres Middle School is 73.83 as Merry Acres Middle School achieved CCRPI Scores of 78.7 in 2014, 75.4 in 2015 and 67.4 in 2016.   This average of the 2014-2016 CCRPI Scores for Merry Acres Middle School of 73.83 exceeds the state average of 72.1.  The 2018 QAP allows the Applicant to use the average of 2014-2016 data in determining if the school exceeds the Above-Average CCRPI Score.  Therefore the Applicant is eligible for one (1) point as Pointe North Village III is located in the attendance of one school that achieved above-average CCRPI scores for the three successive years of 2014-2016.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10,637 jobs (using 2015 data as allowed by the 2018 QAP) within a 2-mile radius as noted on the Copy of the report from the Census Bureau’s “OnTheMap” website. The report was generated using the nearest address used in the Application.  That address is;
2713 Pointe North Blvd
Albany, GA 31721
</t>
  </si>
  <si>
    <t>2018-041</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</si>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</sst>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74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5"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165" fontId="4" fillId="0" borderId="89" xfId="0" applyNumberFormat="1" applyFont="1" applyFill="1" applyBorder="1" applyAlignment="1" applyProtection="1">
      <alignment horizontal="center" vertical="center"/>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81"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6"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86" fillId="0" borderId="0" xfId="0" applyFont="1" applyFill="1" applyAlignment="1" applyProtection="1"/>
    <xf numFmtId="4" fontId="46" fillId="0" borderId="0" xfId="0" applyNumberFormat="1" applyFont="1" applyFill="1" applyAlignment="1" applyProtection="1">
      <alignment horizontal="right" vertical="center"/>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8"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0" fillId="0" borderId="0" xfId="0" applyAlignment="1" applyProtection="1">
      <alignment horizontal="left" vertical="center" wrapText="1"/>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9" xfId="0" applyNumberFormat="1" applyFont="1" applyFill="1" applyBorder="1" applyAlignment="1" applyProtection="1">
      <alignment horizontal="center" vertical="center"/>
    </xf>
    <xf numFmtId="0" fontId="4" fillId="0" borderId="87"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9"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2" fillId="13" borderId="18" xfId="0" applyNumberFormat="1" applyFont="1" applyFill="1" applyBorder="1" applyAlignment="1" applyProtection="1">
      <alignment vertical="center"/>
    </xf>
    <xf numFmtId="168" fontId="42" fillId="13" borderId="22" xfId="0" applyNumberFormat="1" applyFont="1" applyFill="1" applyBorder="1" applyAlignment="1" applyProtection="1">
      <alignment vertical="center"/>
    </xf>
    <xf numFmtId="168" fontId="42" fillId="13" borderId="89" xfId="0" applyNumberFormat="1" applyFont="1" applyFill="1" applyBorder="1" applyAlignment="1" applyProtection="1">
      <alignment vertical="center"/>
    </xf>
    <xf numFmtId="0" fontId="14" fillId="13" borderId="18" xfId="0" applyFont="1" applyFill="1" applyBorder="1" applyAlignment="1" applyProtection="1">
      <alignment horizontal="center" vertical="top"/>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14"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76" fontId="4"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6"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3"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13" borderId="121" xfId="0" applyFont="1" applyFill="1" applyBorder="1" applyAlignment="1" applyProtection="1">
      <alignment horizontal="center" vertical="center"/>
    </xf>
    <xf numFmtId="176" fontId="43" fillId="13" borderId="24" xfId="0" applyNumberFormat="1" applyFont="1" applyFill="1" applyBorder="1" applyAlignment="1" applyProtection="1">
      <alignment horizontal="center" vertical="center"/>
    </xf>
    <xf numFmtId="176" fontId="43" fillId="13" borderId="89"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16"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vertical="center"/>
    </xf>
    <xf numFmtId="1" fontId="10" fillId="13" borderId="89" xfId="0" applyNumberFormat="1" applyFont="1" applyFill="1" applyBorder="1" applyAlignment="1" applyProtection="1">
      <alignment horizontal="center" vertical="center"/>
    </xf>
    <xf numFmtId="0" fontId="14" fillId="0" borderId="0" xfId="0" applyFont="1" applyFill="1" applyAlignment="1" applyProtection="1">
      <alignment horizontal="left"/>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99" fillId="0" borderId="0" xfId="0" applyFont="1" applyFill="1" applyProtection="1"/>
    <xf numFmtId="0" fontId="17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9"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3" fillId="10" borderId="0" xfId="12" applyFont="1" applyFill="1"/>
    <xf numFmtId="10" fontId="214" fillId="10" borderId="0" xfId="0" applyNumberFormat="1" applyFont="1" applyFill="1"/>
    <xf numFmtId="0" fontId="212"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09"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49" fontId="215" fillId="0" borderId="0" xfId="0" quotePrefix="1" applyNumberFormat="1" applyFont="1" applyFill="1" applyAlignment="1" applyProtection="1">
      <alignment vertical="center"/>
    </xf>
    <xf numFmtId="0" fontId="41" fillId="0" borderId="0" xfId="0" applyFont="1" applyFill="1" applyAlignment="1" applyProtection="1">
      <alignment horizontal="center" vertical="center" wrapText="1"/>
    </xf>
    <xf numFmtId="0" fontId="46" fillId="0" borderId="83"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85" xfId="0" applyFont="1" applyFill="1" applyBorder="1" applyAlignment="1" applyProtection="1">
      <alignment horizontal="center" vertical="center"/>
    </xf>
    <xf numFmtId="0" fontId="46" fillId="0" borderId="88" xfId="0" applyFont="1" applyFill="1" applyBorder="1" applyAlignment="1" applyProtection="1">
      <alignment vertical="center"/>
    </xf>
    <xf numFmtId="0" fontId="46" fillId="0" borderId="8" xfId="0" applyFont="1" applyFill="1" applyBorder="1" applyAlignment="1" applyProtection="1">
      <alignment vertical="center"/>
    </xf>
    <xf numFmtId="171" fontId="54" fillId="0" borderId="0" xfId="0"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justify" vertical="top" wrapText="1"/>
    </xf>
    <xf numFmtId="0" fontId="13" fillId="0" borderId="0" xfId="0" applyFont="1" applyFill="1" applyAlignment="1" applyProtection="1">
      <alignment horizontal="center"/>
    </xf>
    <xf numFmtId="49" fontId="91" fillId="0" borderId="0" xfId="0" applyNumberFormat="1" applyFont="1" applyAlignment="1" applyProtection="1">
      <alignment horizontal="left" vertical="center"/>
    </xf>
    <xf numFmtId="0" fontId="4" fillId="0" borderId="13"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92" fillId="0" borderId="0" xfId="0" applyFont="1" applyFill="1" applyAlignment="1" applyProtection="1">
      <alignment horizontal="left" vertic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6" fillId="0" borderId="0" xfId="0" applyFont="1" applyFill="1" applyBorder="1" applyAlignment="1" applyProtection="1">
      <alignment vertical="top" wrapText="1"/>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0" fontId="54" fillId="0" borderId="0" xfId="0" applyFont="1" applyFill="1" applyBorder="1" applyAlignment="1" applyProtection="1">
      <alignment horizontal="left"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top" wrapText="1"/>
    </xf>
    <xf numFmtId="0" fontId="46" fillId="0" borderId="0" xfId="0" applyFont="1" applyFill="1" applyAlignment="1" applyProtection="1">
      <alignment horizontal="left" vertical="top" wrapText="1"/>
    </xf>
    <xf numFmtId="0" fontId="109" fillId="0" borderId="0" xfId="6" applyFont="1" applyFill="1" applyBorder="1" applyAlignment="1" applyProtection="1">
      <alignment horizontal="left" vertical="center"/>
    </xf>
    <xf numFmtId="0" fontId="110" fillId="0" borderId="0" xfId="6" applyFont="1" applyFill="1" applyBorder="1" applyAlignment="1" applyProtection="1">
      <alignment horizontal="left" vertical="center"/>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49" fontId="112" fillId="20" borderId="0" xfId="0" applyNumberFormat="1" applyFont="1" applyFill="1" applyBorder="1" applyAlignment="1" applyProtection="1">
      <alignment horizontal="center" vertical="center"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6" fillId="0" borderId="83" xfId="0" applyFont="1" applyFill="1" applyBorder="1" applyAlignment="1" applyProtection="1">
      <alignment horizontal="left" vertical="top" wrapText="1"/>
    </xf>
    <xf numFmtId="0" fontId="46" fillId="0" borderId="88"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8" xfId="0" applyFont="1" applyFill="1" applyBorder="1" applyAlignment="1" applyProtection="1">
      <alignment horizontal="left" vertical="top" wrapText="1"/>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4" xfId="0" applyFont="1" applyFill="1" applyBorder="1" applyAlignment="1" applyProtection="1">
      <alignment horizontal="left" vertical="top"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0" xfId="0" applyFont="1" applyFill="1" applyAlignment="1" applyProtection="1">
      <alignment horizontal="left" vertical="center" wrapText="1"/>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7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8" xfId="1" applyNumberFormat="1" applyFont="1" applyFill="1" applyBorder="1" applyAlignment="1" applyProtection="1">
      <alignment horizontal="right" vertical="center"/>
    </xf>
    <xf numFmtId="0" fontId="46" fillId="0" borderId="62"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1" fillId="0" borderId="7" xfId="0" applyFont="1" applyFill="1" applyBorder="1" applyAlignment="1" applyProtection="1">
      <alignment horizontal="center" vertical="center" wrapText="1"/>
    </xf>
    <xf numFmtId="0" fontId="46" fillId="0" borderId="85" xfId="0" applyFont="1" applyFill="1" applyBorder="1" applyAlignment="1" applyProtection="1">
      <alignment horizontal="left"/>
    </xf>
    <xf numFmtId="0" fontId="8" fillId="0" borderId="0" xfId="0" applyFont="1" applyFill="1" applyAlignment="1" applyProtection="1">
      <alignment horizontal="lef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3" fillId="0" borderId="0" xfId="0" applyFont="1" applyFill="1" applyAlignment="1" applyProtection="1">
      <alignment horizontal="center" wrapText="1"/>
    </xf>
    <xf numFmtId="49" fontId="93" fillId="0" borderId="0" xfId="0" quotePrefix="1" applyNumberFormat="1" applyFont="1" applyFill="1" applyBorder="1" applyAlignment="1" applyProtection="1">
      <alignment horizontal="center" vertical="center" wrapText="1"/>
    </xf>
    <xf numFmtId="49" fontId="93" fillId="0" borderId="0" xfId="0" applyNumberFormat="1" applyFont="1" applyFill="1" applyBorder="1" applyAlignment="1" applyProtection="1">
      <alignment horizontal="center" vertical="center" wrapText="1"/>
    </xf>
    <xf numFmtId="0" fontId="84" fillId="15" borderId="0" xfId="0" applyFont="1" applyFill="1" applyAlignment="1" applyProtection="1">
      <alignment horizontal="center" vertical="center"/>
    </xf>
    <xf numFmtId="0" fontId="10" fillId="0" borderId="13" xfId="0" applyFont="1" applyFill="1" applyBorder="1" applyAlignment="1" applyProtection="1">
      <alignment horizontal="center" wrapText="1"/>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7" fillId="0" borderId="0" xfId="0" applyFont="1" applyFill="1" applyAlignment="1" applyProtection="1">
      <alignment horizontal="center"/>
    </xf>
    <xf numFmtId="0" fontId="4" fillId="0" borderId="0" xfId="0" applyFont="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wrapText="1"/>
    </xf>
    <xf numFmtId="3" fontId="4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4" fillId="0" borderId="0" xfId="0" applyFont="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0" fontId="4" fillId="0" borderId="0" xfId="0" applyFont="1" applyAlignment="1" applyProtection="1">
      <alignment horizontal="left" vertical="center" wrapText="1"/>
    </xf>
    <xf numFmtId="0" fontId="14" fillId="0" borderId="0" xfId="0" applyFont="1" applyAlignment="1" applyProtection="1">
      <alignment horizontal="left" vertical="top" wrapText="1"/>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0" fontId="16" fillId="0" borderId="0" xfId="0" applyFont="1" applyAlignment="1" applyProtection="1">
      <alignment horizont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50" fillId="20" borderId="0" xfId="0" applyFont="1" applyFill="1" applyAlignment="1" applyProtection="1">
      <alignment horizontal="left" vertical="center" wrapText="1"/>
    </xf>
    <xf numFmtId="38" fontId="3" fillId="0" borderId="81"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0" xfId="0" applyFont="1" applyAlignment="1" applyProtection="1">
      <alignment horizontal="left" vertical="top"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49" fontId="91" fillId="0" borderId="0" xfId="0" applyNumberFormat="1" applyFont="1" applyAlignment="1" applyProtection="1">
      <alignment horizontal="left" vertical="center"/>
    </xf>
    <xf numFmtId="0" fontId="4" fillId="0" borderId="18" xfId="0" applyFont="1" applyFill="1" applyBorder="1" applyAlignment="1" applyProtection="1">
      <alignment horizontal="left" vertical="center" wrapText="1"/>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0" fontId="4" fillId="0" borderId="0" xfId="0" applyFont="1" applyFill="1" applyAlignment="1" applyProtection="1">
      <alignment horizontal="justify" vertical="top" wrapText="1"/>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0" fontId="165"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15" fillId="0" borderId="7" xfId="0" applyFont="1" applyFill="1" applyBorder="1" applyAlignment="1" applyProtection="1">
      <alignment horizontal="center" vertical="center" wrapText="1"/>
    </xf>
    <xf numFmtId="38" fontId="3" fillId="0" borderId="85" xfId="0" applyNumberFormat="1" applyFont="1" applyFill="1" applyBorder="1" applyAlignment="1" applyProtection="1">
      <alignment horizontal="center" vertical="center"/>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43" fillId="0" borderId="0"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43" fillId="0" borderId="0" xfId="0" applyFont="1" applyFill="1" applyAlignment="1" applyProtection="1">
      <alignment horizontal="center" wrapText="1"/>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0" fontId="4" fillId="0" borderId="13" xfId="0" applyFont="1" applyBorder="1" applyAlignment="1" applyProtection="1">
      <alignment horizontal="center"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85" fillId="0" borderId="88"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85"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68" fillId="0" borderId="0" xfId="0" applyFont="1" applyAlignment="1" applyProtection="1">
      <alignment horizontal="center" vertical="center" wrapText="1"/>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13" fillId="0" borderId="0" xfId="0" applyFont="1" applyAlignment="1" applyProtection="1">
      <alignment horizontal="center" vertical="center"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43"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99" fillId="0" borderId="0" xfId="0" applyFont="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 fillId="0" borderId="88" xfId="0" applyFont="1" applyFill="1" applyBorder="1" applyAlignment="1" applyProtection="1">
      <alignment horizontal="center"/>
    </xf>
    <xf numFmtId="0" fontId="13" fillId="0" borderId="0" xfId="0" applyFont="1" applyFill="1" applyAlignment="1" applyProtection="1">
      <alignment horizontal="left" vertical="center" wrapText="1"/>
    </xf>
    <xf numFmtId="0" fontId="14" fillId="0" borderId="13" xfId="0" applyFont="1" applyBorder="1" applyAlignment="1" applyProtection="1">
      <alignment horizontal="center" wrapText="1"/>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13" xfId="0" applyFont="1" applyBorder="1" applyAlignment="1" applyProtection="1">
      <alignment horizontal="center" vertical="center"/>
    </xf>
    <xf numFmtId="0" fontId="91" fillId="0" borderId="0" xfId="0" applyFont="1" applyFill="1" applyBorder="1" applyAlignment="1" applyProtection="1">
      <alignment horizontal="left"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50"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justify" vertical="top" wrapText="1"/>
    </xf>
    <xf numFmtId="0" fontId="9"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9" fontId="43" fillId="0" borderId="3" xfId="1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3" fillId="0" borderId="0" xfId="0" applyFont="1" applyFill="1" applyBorder="1" applyAlignment="1" applyProtection="1">
      <alignment vertical="top" wrapText="1"/>
    </xf>
    <xf numFmtId="0" fontId="87" fillId="0" borderId="0"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9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7" fillId="0" borderId="0" xfId="0" quotePrefix="1" applyFont="1" applyFill="1" applyBorder="1" applyAlignment="1" applyProtection="1">
      <alignment horizontal="center"/>
    </xf>
    <xf numFmtId="0" fontId="103" fillId="0" borderId="0" xfId="0" applyFont="1" applyFill="1" applyBorder="1" applyAlignment="1" applyProtection="1">
      <alignment wrapText="1"/>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97" fillId="0" borderId="0" xfId="0" applyFont="1" applyFill="1" applyBorder="1" applyAlignment="1" applyProtection="1"/>
    <xf numFmtId="0" fontId="215" fillId="0" borderId="0" xfId="0" applyFont="1" applyFill="1" applyBorder="1" applyAlignment="1" applyProtection="1">
      <alignment vertical="center" wrapText="1"/>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3" fontId="103" fillId="0" borderId="0" xfId="1" applyNumberFormat="1" applyFont="1" applyFill="1" applyBorder="1" applyAlignment="1" applyProtection="1">
      <alignment horizontal="center" vertical="center"/>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wrapText="1"/>
    </xf>
    <xf numFmtId="3" fontId="103" fillId="0" borderId="0" xfId="0" applyNumberFormat="1" applyFont="1" applyFill="1" applyBorder="1" applyAlignment="1" applyProtection="1">
      <alignment horizontal="center"/>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7" fillId="0" borderId="0" xfId="0" quotePrefix="1" applyFont="1" applyFill="1" applyBorder="1" applyAlignment="1" applyProtection="1"/>
    <xf numFmtId="1" fontId="103" fillId="0" borderId="0" xfId="0" applyNumberFormat="1" applyFont="1" applyFill="1" applyBorder="1" applyAlignment="1" applyProtection="1">
      <alignment horizontal="center" vertical="center"/>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wrapText="1"/>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xf>
    <xf numFmtId="0" fontId="93" fillId="0" borderId="0" xfId="0" applyFont="1" applyFill="1" applyBorder="1" applyAlignment="1" applyProtection="1"/>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5"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7"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3"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37" fontId="103" fillId="0" borderId="0" xfId="1"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6"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6"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3" fillId="0" borderId="0" xfId="13" applyFont="1" applyFill="1" applyBorder="1" applyProtection="1"/>
    <xf numFmtId="0" fontId="232" fillId="0" borderId="0" xfId="13" applyFont="1" applyFill="1" applyBorder="1" applyAlignment="1" applyProtection="1">
      <alignment vertical="top" wrapText="1"/>
    </xf>
    <xf numFmtId="0" fontId="84"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applyProtection="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vertical="center"/>
    </xf>
    <xf numFmtId="0" fontId="84" fillId="0" borderId="0" xfId="0" applyFont="1" applyFill="1" applyBorder="1" applyAlignment="1" applyProtection="1">
      <alignment horizontal="left" vertical="center"/>
    </xf>
    <xf numFmtId="0" fontId="234" fillId="0" borderId="0" xfId="0" applyFont="1" applyFill="1" applyBorder="1" applyProtection="1"/>
    <xf numFmtId="0" fontId="84" fillId="0" borderId="0" xfId="0" applyFont="1" applyFill="1" applyBorder="1" applyProtection="1"/>
    <xf numFmtId="0" fontId="93" fillId="0" borderId="0" xfId="0" applyFont="1" applyFill="1" applyBorder="1" applyAlignment="1" applyProtection="1">
      <alignment wrapText="1"/>
    </xf>
    <xf numFmtId="175" fontId="93" fillId="0" borderId="0" xfId="0" applyNumberFormat="1" applyFont="1" applyFill="1" applyBorder="1" applyAlignment="1" applyProtection="1"/>
    <xf numFmtId="0" fontId="93" fillId="0" borderId="0" xfId="0" applyFont="1" applyFill="1" applyBorder="1" applyAlignment="1" applyProtection="1">
      <alignment horizontal="center"/>
    </xf>
    <xf numFmtId="0" fontId="84" fillId="0" borderId="0" xfId="0" applyFont="1" applyFill="1" applyBorder="1" applyAlignment="1" applyProtection="1"/>
    <xf numFmtId="0" fontId="84" fillId="0" borderId="0" xfId="0" applyFont="1" applyFill="1" applyBorder="1" applyAlignment="1" applyProtection="1">
      <alignment horizontal="center"/>
    </xf>
    <xf numFmtId="0" fontId="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3" fontId="84" fillId="0" borderId="0" xfId="0" applyNumberFormat="1" applyFont="1" applyFill="1" applyBorder="1" applyAlignment="1" applyProtection="1">
      <alignment horizont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pplyProtection="1">
      <alignment horizontal="left" vertical="center" wrapText="1"/>
    </xf>
    <xf numFmtId="0" fontId="84"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6" fillId="0" borderId="0" xfId="0" applyFont="1" applyFill="1" applyBorder="1" applyProtection="1"/>
    <xf numFmtId="164" fontId="97" fillId="0" borderId="0" xfId="0" applyNumberFormat="1" applyFont="1" applyFill="1" applyBorder="1" applyAlignment="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3" fontId="97" fillId="0" borderId="0" xfId="10" applyNumberFormat="1" applyFont="1" applyFill="1" applyBorder="1" applyAlignment="1" applyProtection="1">
      <alignment vertical="center"/>
    </xf>
    <xf numFmtId="44" fontId="93"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16"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3" fillId="0" borderId="0" xfId="0" applyFont="1" applyFill="1" applyBorder="1" applyAlignment="1" applyProtection="1">
      <alignment horizontal="left" vertical="center" wrapText="1"/>
    </xf>
    <xf numFmtId="176" fontId="84" fillId="0" borderId="0" xfId="0" applyNumberFormat="1" applyFont="1" applyFill="1" applyBorder="1" applyAlignment="1" applyProtection="1"/>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4"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4"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8" fillId="0" borderId="0" xfId="0" applyFont="1" applyFill="1" applyBorder="1" applyAlignment="1" applyProtection="1"/>
    <xf numFmtId="0" fontId="97"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quotePrefix="1" applyFont="1" applyFill="1" applyBorder="1" applyAlignment="1" applyProtection="1">
      <alignment horizontal="center" vertical="center"/>
    </xf>
    <xf numFmtId="0" fontId="94"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4" fillId="0" borderId="0" xfId="0" applyNumberFormat="1" applyFont="1" applyFill="1" applyBorder="1" applyAlignment="1" applyProtection="1">
      <alignment vertical="top"/>
    </xf>
    <xf numFmtId="0" fontId="94"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5" fillId="0" borderId="0" xfId="0" applyFont="1" applyFill="1" applyBorder="1" applyAlignment="1" applyProtection="1">
      <alignment vertical="center"/>
    </xf>
    <xf numFmtId="49"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horizontal="center" vertical="center" wrapText="1"/>
    </xf>
    <xf numFmtId="4" fontId="94" fillId="0" borderId="0" xfId="0" applyNumberFormat="1" applyFont="1" applyFill="1" applyBorder="1" applyAlignment="1" applyProtection="1">
      <alignment vertical="center" wrapText="1"/>
    </xf>
    <xf numFmtId="0" fontId="104"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6"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3"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76" fontId="94" fillId="0" borderId="0" xfId="0" applyNumberFormat="1" applyFont="1" applyFill="1" applyBorder="1" applyAlignment="1" applyProtection="1">
      <alignment horizontal="center" vertical="top" wrapText="1"/>
    </xf>
    <xf numFmtId="165" fontId="94"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6"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2" fillId="0" borderId="0" xfId="0" applyFont="1" applyProtection="1"/>
    <xf numFmtId="0" fontId="74" fillId="0" borderId="0" xfId="0" applyFont="1" applyAlignment="1" applyProtection="1">
      <alignment horizontal="center"/>
    </xf>
    <xf numFmtId="0" fontId="43" fillId="26" borderId="0" xfId="0" applyFont="1" applyFill="1" applyBorder="1" applyAlignment="1" applyProtection="1">
      <alignment horizontal="center"/>
    </xf>
    <xf numFmtId="0" fontId="43" fillId="26" borderId="0" xfId="0" quotePrefix="1" applyFont="1" applyFill="1" applyBorder="1" applyAlignment="1" applyProtection="1">
      <alignment horizontal="center"/>
    </xf>
    <xf numFmtId="0" fontId="43"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6" fillId="0" borderId="0" xfId="13" applyFont="1" applyAlignment="1" applyProtection="1"/>
    <xf numFmtId="0" fontId="190"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vertical="top"/>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xf>
    <xf numFmtId="0" fontId="75" fillId="0" borderId="13" xfId="13" applyFont="1" applyBorder="1" applyAlignment="1" applyProtection="1">
      <alignment horizontal="left"/>
    </xf>
    <xf numFmtId="0" fontId="75" fillId="0" borderId="0" xfId="13" applyFont="1" applyAlignment="1" applyProtection="1"/>
    <xf numFmtId="0" fontId="43" fillId="0" borderId="88"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Border="1" applyAlignment="1" applyProtection="1">
      <alignment horizontal="center" vertical="top"/>
    </xf>
    <xf numFmtId="0" fontId="43" fillId="0" borderId="0" xfId="13" applyFont="1" applyAlignment="1" applyProtection="1">
      <alignment horizontal="center"/>
    </xf>
    <xf numFmtId="3" fontId="8" fillId="5" borderId="16" xfId="0" applyNumberFormat="1" applyFont="1" applyFill="1" applyBorder="1" applyAlignment="1" applyProtection="1">
      <alignment horizontal="center" vertical="center"/>
    </xf>
    <xf numFmtId="3" fontId="8" fillId="5" borderId="103"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10" fillId="10"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top"/>
    </xf>
    <xf numFmtId="38" fontId="8" fillId="5" borderId="18" xfId="0" applyNumberFormat="1" applyFont="1" applyFill="1" applyBorder="1" applyAlignment="1" applyProtection="1">
      <alignment horizontal="center" vertical="top"/>
    </xf>
    <xf numFmtId="0" fontId="4" fillId="5" borderId="127" xfId="0" applyFont="1" applyFill="1" applyBorder="1" applyAlignment="1" applyProtection="1">
      <alignment horizontal="left" vertical="top" wrapText="1"/>
    </xf>
    <xf numFmtId="0" fontId="4" fillId="5" borderId="128" xfId="0" applyFont="1" applyFill="1" applyBorder="1" applyAlignment="1" applyProtection="1">
      <alignment horizontal="left" vertical="top" wrapText="1"/>
    </xf>
    <xf numFmtId="0" fontId="4" fillId="5" borderId="129"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50" xfId="0" applyNumberFormat="1" applyFont="1" applyFill="1" applyBorder="1" applyAlignment="1" applyProtection="1">
      <alignment horizontal="center" vertical="center"/>
    </xf>
    <xf numFmtId="168" fontId="42" fillId="10" borderId="89" xfId="0" applyNumberFormat="1" applyFont="1" applyFill="1" applyBorder="1" applyAlignment="1" applyProtection="1">
      <alignment vertical="center"/>
    </xf>
    <xf numFmtId="0" fontId="46" fillId="5" borderId="28" xfId="0" applyNumberFormat="1" applyFont="1" applyFill="1" applyBorder="1" applyAlignment="1" applyProtection="1">
      <alignment horizontal="center" vertical="center"/>
    </xf>
    <xf numFmtId="0" fontId="46" fillId="5" borderId="78" xfId="0" applyNumberFormat="1" applyFont="1" applyFill="1" applyBorder="1" applyAlignment="1" applyProtection="1">
      <alignment horizontal="center" vertical="center"/>
    </xf>
    <xf numFmtId="168" fontId="42" fillId="10" borderId="22" xfId="0" applyNumberFormat="1" applyFont="1" applyFill="1" applyBorder="1" applyAlignment="1" applyProtection="1">
      <alignment vertical="center"/>
    </xf>
    <xf numFmtId="0" fontId="46" fillId="5" borderId="33" xfId="0" applyNumberFormat="1" applyFont="1" applyFill="1" applyBorder="1" applyAlignment="1" applyProtection="1">
      <alignment horizontal="center" vertical="center"/>
    </xf>
    <xf numFmtId="0" fontId="46" fillId="5" borderId="79" xfId="0" applyNumberFormat="1" applyFont="1" applyFill="1" applyBorder="1" applyAlignment="1" applyProtection="1">
      <alignment horizontal="center" vertical="center"/>
    </xf>
    <xf numFmtId="168" fontId="42" fillId="10" borderId="18" xfId="0" applyNumberFormat="1" applyFont="1" applyFill="1" applyBorder="1" applyAlignment="1" applyProtection="1">
      <alignment vertical="center"/>
    </xf>
    <xf numFmtId="38" fontId="8" fillId="5" borderId="16" xfId="0" applyNumberFormat="1" applyFont="1" applyFill="1" applyBorder="1" applyAlignment="1" applyProtection="1">
      <alignment horizontal="center" vertical="top"/>
    </xf>
    <xf numFmtId="0" fontId="43" fillId="10" borderId="112" xfId="0" applyFont="1" applyFill="1" applyBorder="1" applyAlignment="1" applyProtection="1">
      <alignment horizontal="left" vertical="top" wrapText="1"/>
    </xf>
    <xf numFmtId="0" fontId="43" fillId="10" borderId="111" xfId="0" applyFont="1" applyFill="1" applyBorder="1" applyAlignment="1" applyProtection="1">
      <alignment horizontal="left" vertical="top" wrapText="1"/>
    </xf>
    <xf numFmtId="167" fontId="43" fillId="10" borderId="113" xfId="0" applyNumberFormat="1" applyFont="1" applyFill="1" applyBorder="1" applyAlignment="1" applyProtection="1">
      <alignment horizontal="left" vertical="top" wrapText="1"/>
    </xf>
    <xf numFmtId="0" fontId="43" fillId="10" borderId="102" xfId="0" applyFont="1" applyFill="1" applyBorder="1" applyAlignment="1" applyProtection="1">
      <alignment horizontal="left" vertical="top" wrapText="1"/>
    </xf>
    <xf numFmtId="0" fontId="43" fillId="10" borderId="94" xfId="0" applyFont="1" applyFill="1" applyBorder="1" applyAlignment="1" applyProtection="1">
      <alignment horizontal="left" vertical="top" wrapText="1"/>
    </xf>
    <xf numFmtId="167" fontId="43" fillId="10" borderId="101" xfId="0" applyNumberFormat="1" applyFont="1" applyFill="1" applyBorder="1" applyAlignment="1" applyProtection="1">
      <alignment horizontal="left" vertical="top"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5"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9"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38" fontId="8" fillId="5" borderId="89" xfId="0" applyNumberFormat="1" applyFont="1" applyFill="1" applyBorder="1" applyAlignment="1" applyProtection="1">
      <alignment horizontal="center"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10" borderId="89" xfId="0" applyFont="1" applyFill="1" applyBorder="1" applyAlignment="1" applyProtection="1">
      <alignment horizontal="center" vertical="center"/>
    </xf>
    <xf numFmtId="0" fontId="43" fillId="5" borderId="127" xfId="0" applyFont="1" applyFill="1" applyBorder="1" applyAlignment="1" applyProtection="1">
      <alignment horizontal="left" vertical="top" wrapText="1"/>
    </xf>
    <xf numFmtId="0" fontId="43" fillId="5" borderId="128" xfId="0" applyFont="1" applyFill="1" applyBorder="1" applyAlignment="1" applyProtection="1">
      <alignment horizontal="left" vertical="top" wrapText="1"/>
    </xf>
    <xf numFmtId="0" fontId="43" fillId="5" borderId="129" xfId="0" applyFont="1" applyFill="1" applyBorder="1" applyAlignment="1" applyProtection="1">
      <alignment horizontal="left" vertical="top" wrapText="1"/>
    </xf>
    <xf numFmtId="38" fontId="8" fillId="5" borderId="15" xfId="0" applyNumberFormat="1" applyFont="1" applyFill="1" applyBorder="1" applyAlignment="1" applyProtection="1">
      <alignment horizontal="center" vertical="center"/>
    </xf>
    <xf numFmtId="0" fontId="4" fillId="10" borderId="87" xfId="0" quotePrefix="1" applyFont="1" applyFill="1" applyBorder="1" applyAlignment="1" applyProtection="1">
      <alignment horizontal="center" vertical="center"/>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14" fillId="5" borderId="12" xfId="0" applyFont="1" applyFill="1" applyBorder="1" applyAlignment="1" applyProtection="1">
      <alignment horizontal="center" vertical="center"/>
    </xf>
    <xf numFmtId="0" fontId="43" fillId="10" borderId="89" xfId="0" applyFont="1" applyFill="1" applyBorder="1" applyAlignment="1" applyProtection="1">
      <alignment horizontal="left" vertical="center" wrapText="1"/>
    </xf>
    <xf numFmtId="0" fontId="14" fillId="5" borderId="22" xfId="0" applyFont="1" applyFill="1" applyBorder="1" applyAlignment="1" applyProtection="1">
      <alignment horizontal="center" vertical="center"/>
    </xf>
    <xf numFmtId="0" fontId="4" fillId="10" borderId="28"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3" xfId="0" applyFont="1" applyFill="1" applyBorder="1" applyAlignment="1" applyProtection="1">
      <alignment horizontal="left" vertical="top" wrapText="1"/>
    </xf>
    <xf numFmtId="0" fontId="4" fillId="10" borderId="59"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3" fillId="10" borderId="81" xfId="0" applyFont="1" applyFill="1" applyBorder="1" applyAlignment="1" applyProtection="1">
      <alignment horizontal="left" vertical="center" wrapText="1"/>
    </xf>
    <xf numFmtId="0" fontId="43" fillId="10" borderId="85"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53" xfId="0" applyNumberFormat="1" applyFont="1" applyFill="1" applyBorder="1" applyAlignment="1" applyProtection="1">
      <alignment horizontal="center" vertical="center" wrapText="1"/>
    </xf>
    <xf numFmtId="4" fontId="4" fillId="10" borderId="23"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25"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2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9" xfId="0" applyFont="1" applyFill="1" applyBorder="1" applyAlignment="1" applyProtection="1">
      <alignment horizontal="center" vertical="center"/>
    </xf>
    <xf numFmtId="0" fontId="43" fillId="10" borderId="81" xfId="0" applyNumberFormat="1" applyFont="1" applyFill="1" applyBorder="1" applyAlignment="1" applyProtection="1">
      <alignment horizontal="left" vertical="center" wrapText="1"/>
    </xf>
    <xf numFmtId="0" fontId="43" fillId="10" borderId="85"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14" fillId="5" borderId="52"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xf>
    <xf numFmtId="176" fontId="43" fillId="10" borderId="49"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85" xfId="0" applyFont="1" applyFill="1" applyBorder="1" applyAlignment="1" applyProtection="1">
      <alignment horizontal="left" vertical="center" wrapText="1"/>
    </xf>
    <xf numFmtId="0" fontId="13" fillId="5" borderId="82" xfId="0" applyFont="1" applyFill="1" applyBorder="1" applyAlignment="1" applyProtection="1">
      <alignment horizontal="left" vertical="center" wrapText="1"/>
    </xf>
    <xf numFmtId="0" fontId="4" fillId="5" borderId="28"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4" fillId="5" borderId="29" xfId="0" applyFont="1" applyFill="1" applyBorder="1" applyAlignment="1" applyProtection="1">
      <alignment horizontal="left" vertical="center" wrapText="1"/>
    </xf>
    <xf numFmtId="0" fontId="4" fillId="5" borderId="33" xfId="0" applyFont="1" applyFill="1" applyBorder="1" applyAlignment="1" applyProtection="1">
      <alignment horizontal="left"/>
    </xf>
    <xf numFmtId="0" fontId="7" fillId="5" borderId="59" xfId="0" applyFont="1" applyFill="1" applyBorder="1" applyAlignment="1" applyProtection="1">
      <alignment horizontal="left"/>
    </xf>
    <xf numFmtId="0" fontId="7" fillId="5" borderId="34" xfId="0" applyFont="1" applyFill="1" applyBorder="1" applyAlignment="1" applyProtection="1">
      <alignment horizontal="left"/>
    </xf>
    <xf numFmtId="176" fontId="13" fillId="10" borderId="33" xfId="0" applyNumberFormat="1" applyFont="1" applyFill="1" applyBorder="1" applyAlignment="1" applyProtection="1">
      <alignment horizontal="center" vertical="top"/>
    </xf>
    <xf numFmtId="176" fontId="13" fillId="10" borderId="59" xfId="0" applyNumberFormat="1" applyFont="1" applyFill="1" applyBorder="1" applyAlignment="1" applyProtection="1">
      <alignment horizontal="center" vertical="top"/>
    </xf>
    <xf numFmtId="176" fontId="13" fillId="10" borderId="34" xfId="0" applyNumberFormat="1" applyFont="1" applyFill="1" applyBorder="1" applyAlignment="1" applyProtection="1">
      <alignment horizontal="center" vertical="top"/>
    </xf>
    <xf numFmtId="183" fontId="14" fillId="5" borderId="87" xfId="0" applyNumberFormat="1" applyFont="1" applyFill="1" applyBorder="1" applyAlignment="1" applyProtection="1">
      <alignment horizontal="left" vertical="center"/>
    </xf>
    <xf numFmtId="0" fontId="43" fillId="5" borderId="28"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9"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5" xfId="0" applyNumberFormat="1" applyFont="1" applyFill="1" applyBorder="1" applyAlignment="1" applyProtection="1">
      <alignment horizontal="center" vertical="center" wrapText="1"/>
    </xf>
    <xf numFmtId="0" fontId="4" fillId="10" borderId="83" xfId="0" applyFont="1" applyFill="1" applyBorder="1" applyAlignment="1" applyProtection="1">
      <alignment horizontal="left" vertical="center"/>
    </xf>
    <xf numFmtId="0" fontId="4" fillId="10" borderId="88"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4" xfId="0" applyFont="1" applyFill="1" applyBorder="1" applyAlignment="1" applyProtection="1">
      <alignment horizontal="left" vertical="center"/>
    </xf>
    <xf numFmtId="0" fontId="4" fillId="10" borderId="33" xfId="0" applyFont="1" applyFill="1" applyBorder="1" applyAlignment="1" applyProtection="1">
      <alignment horizontal="left" vertical="center"/>
    </xf>
    <xf numFmtId="0" fontId="4" fillId="10" borderId="59"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67" fontId="4" fillId="10" borderId="18"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10" borderId="28"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16"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center"/>
    </xf>
    <xf numFmtId="0" fontId="43" fillId="5" borderId="89" xfId="0" applyNumberFormat="1" applyFont="1" applyFill="1" applyBorder="1" applyAlignment="1" applyProtection="1">
      <alignment horizontal="center" vertical="center"/>
    </xf>
    <xf numFmtId="178" fontId="10" fillId="5" borderId="89" xfId="0" applyNumberFormat="1" applyFont="1" applyFill="1" applyBorder="1" applyAlignment="1" applyProtection="1">
      <alignment horizontal="center" vertical="center"/>
    </xf>
    <xf numFmtId="0" fontId="4" fillId="10" borderId="89" xfId="0"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 fillId="5" borderId="28"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38" fontId="8" fillId="5" borderId="17"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14" fillId="5" borderId="18" xfId="0" applyFont="1" applyFill="1" applyBorder="1" applyAlignment="1" applyProtection="1">
      <alignment horizontal="center" vertical="top"/>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16" xfId="0" applyNumberFormat="1" applyFont="1" applyFill="1" applyBorder="1" applyAlignment="1" applyProtection="1">
      <alignment horizontal="center" vertical="center"/>
    </xf>
    <xf numFmtId="174" fontId="3" fillId="10" borderId="17" xfId="0" applyNumberFormat="1" applyFont="1" applyFill="1" applyBorder="1" applyAlignment="1" applyProtection="1">
      <alignment horizontal="center" vertical="center"/>
    </xf>
    <xf numFmtId="3" fontId="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0" fontId="43" fillId="10" borderId="81" xfId="0" applyFont="1" applyFill="1" applyBorder="1" applyAlignment="1" applyProtection="1">
      <alignment horizontal="left" vertical="top" wrapText="1"/>
    </xf>
    <xf numFmtId="0" fontId="43" fillId="10" borderId="85" xfId="0" applyFont="1" applyFill="1" applyBorder="1" applyAlignment="1" applyProtection="1">
      <alignment horizontal="left" vertical="top" wrapText="1"/>
    </xf>
    <xf numFmtId="0" fontId="43"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center" vertical="top" wrapText="1"/>
    </xf>
    <xf numFmtId="3" fontId="4" fillId="10" borderId="89" xfId="0" applyNumberFormat="1" applyFont="1" applyFill="1" applyBorder="1" applyAlignment="1" applyProtection="1">
      <alignment horizontal="center" vertical="center"/>
    </xf>
    <xf numFmtId="0" fontId="43" fillId="5" borderId="81"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29"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top"/>
    </xf>
    <xf numFmtId="0" fontId="10" fillId="5" borderId="89" xfId="0" applyFont="1" applyFill="1" applyBorder="1" applyAlignment="1" applyProtection="1">
      <alignment horizontal="left" vertical="center"/>
    </xf>
    <xf numFmtId="0" fontId="4" fillId="5" borderId="89"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76" fontId="8" fillId="10" borderId="81" xfId="0" applyNumberFormat="1" applyFont="1" applyFill="1" applyBorder="1" applyAlignment="1" applyProtection="1">
      <alignment horizontal="center"/>
    </xf>
    <xf numFmtId="176" fontId="8"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114" xfId="0" applyFont="1" applyFill="1" applyBorder="1" applyAlignment="1" applyProtection="1">
      <alignment horizontal="left" vertical="center"/>
    </xf>
    <xf numFmtId="0" fontId="14" fillId="5" borderId="93" xfId="0" applyFont="1" applyFill="1" applyBorder="1" applyAlignment="1" applyProtection="1">
      <alignment horizontal="left" vertical="center"/>
    </xf>
    <xf numFmtId="0" fontId="43" fillId="10" borderId="124" xfId="0" applyFont="1" applyFill="1" applyBorder="1" applyAlignment="1" applyProtection="1">
      <alignment horizontal="left"/>
    </xf>
    <xf numFmtId="0" fontId="43" fillId="10" borderId="88" xfId="0" applyFont="1" applyFill="1" applyBorder="1" applyAlignment="1" applyProtection="1">
      <alignment horizontal="left"/>
    </xf>
    <xf numFmtId="0" fontId="43" fillId="10" borderId="84" xfId="0" applyFont="1" applyFill="1" applyBorder="1" applyAlignment="1" applyProtection="1">
      <alignment horizontal="left"/>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14" fillId="5" borderId="12"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14" fillId="5" borderId="81" xfId="0" applyFont="1" applyFill="1" applyBorder="1" applyAlignment="1" applyProtection="1">
      <alignment horizontal="center" vertical="center"/>
    </xf>
    <xf numFmtId="0" fontId="14" fillId="5" borderId="82" xfId="0" applyFont="1" applyFill="1" applyBorder="1" applyAlignment="1" applyProtection="1">
      <alignment horizontal="center" vertical="center"/>
    </xf>
    <xf numFmtId="176" fontId="14" fillId="5" borderId="81" xfId="0" applyNumberFormat="1" applyFont="1" applyFill="1" applyBorder="1" applyAlignment="1" applyProtection="1">
      <alignment horizontal="center" vertical="center"/>
    </xf>
    <xf numFmtId="176" fontId="14" fillId="5" borderId="82" xfId="0" applyNumberFormat="1" applyFont="1" applyFill="1" applyBorder="1" applyAlignment="1" applyProtection="1">
      <alignment horizontal="center" vertical="center"/>
    </xf>
    <xf numFmtId="3" fontId="14" fillId="5" borderId="81" xfId="0" applyNumberFormat="1" applyFont="1" applyFill="1" applyBorder="1" applyAlignment="1" applyProtection="1">
      <alignment horizontal="center" vertical="center"/>
    </xf>
    <xf numFmtId="3" fontId="14" fillId="5"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xf>
    <xf numFmtId="3" fontId="14" fillId="5" borderId="120"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0" fontId="3" fillId="13" borderId="33"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3"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2" fillId="5" borderId="36" xfId="0" applyFont="1" applyFill="1" applyBorder="1" applyAlignment="1" applyProtection="1">
      <alignment horizontal="left" vertical="top"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43" fillId="0" borderId="0" xfId="0" applyFont="1" applyAlignment="1" applyProtection="1">
      <alignment horizontal="left" vertical="center" wrapText="1"/>
    </xf>
    <xf numFmtId="0" fontId="43" fillId="0" borderId="0" xfId="0" applyFont="1" applyAlignment="1" applyProtection="1">
      <alignment horizontal="left" vertical="center" wrapText="1"/>
    </xf>
    <xf numFmtId="0" fontId="3" fillId="13" borderId="58"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0" fontId="42" fillId="5" borderId="89" xfId="0" applyFont="1" applyFill="1" applyBorder="1" applyAlignment="1" applyProtection="1">
      <alignment horizontal="left" vertical="top" wrapText="1"/>
    </xf>
    <xf numFmtId="0" fontId="42" fillId="4" borderId="89" xfId="0" applyFont="1" applyFill="1" applyBorder="1" applyAlignment="1" applyProtection="1">
      <alignment horizontal="left" vertical="top" wrapText="1"/>
    </xf>
    <xf numFmtId="0" fontId="3" fillId="5" borderId="36" xfId="0" applyFont="1" applyFill="1" applyBorder="1" applyAlignment="1" applyProtection="1">
      <alignment horizontal="left" wrapText="1"/>
    </xf>
    <xf numFmtId="0" fontId="12" fillId="5" borderId="2" xfId="0" applyFont="1" applyFill="1" applyBorder="1" applyAlignment="1" applyProtection="1">
      <alignment horizontal="left" wrapText="1"/>
    </xf>
    <xf numFmtId="0" fontId="12" fillId="5" borderId="37" xfId="0" applyFont="1" applyFill="1" applyBorder="1" applyAlignment="1" applyProtection="1">
      <alignment horizontal="left" wrapText="1"/>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12"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2" fillId="5" borderId="36" xfId="0" applyFont="1" applyFill="1" applyBorder="1" applyAlignment="1" applyProtection="1">
      <alignment horizontal="left"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43" fillId="0" borderId="0" xfId="13" applyFont="1" applyProtection="1"/>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7"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164" fontId="43" fillId="0" borderId="8" xfId="1"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4" fontId="46" fillId="13" borderId="38" xfId="0" applyNumberFormat="1" applyFont="1" applyFill="1" applyBorder="1" applyAlignment="1" applyProtection="1">
      <alignment horizontal="right" vertical="center"/>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54" fillId="13" borderId="38" xfId="0" applyNumberFormat="1" applyFont="1" applyFill="1" applyBorder="1" applyAlignment="1" applyProtection="1">
      <alignment horizontal="right" vertical="center"/>
    </xf>
    <xf numFmtId="164" fontId="46" fillId="5" borderId="116" xfId="1" applyNumberFormat="1" applyFont="1" applyFill="1" applyBorder="1" applyAlignment="1" applyProtection="1">
      <alignment horizontal="right" vertical="center"/>
    </xf>
    <xf numFmtId="164" fontId="46" fillId="5" borderId="117" xfId="1"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9" xfId="0" applyFont="1" applyFill="1" applyBorder="1" applyAlignment="1" applyProtection="1">
      <alignment horizontal="left" vertical="top" wrapText="1"/>
    </xf>
    <xf numFmtId="4" fontId="46" fillId="13" borderId="53" xfId="0" applyNumberFormat="1" applyFont="1" applyFill="1" applyBorder="1" applyAlignment="1" applyProtection="1">
      <alignment horizontal="right" vertical="center"/>
    </xf>
    <xf numFmtId="0" fontId="13" fillId="13" borderId="99" xfId="0" applyFont="1" applyFill="1" applyBorder="1" applyAlignment="1" applyProtection="1">
      <alignment horizontal="left" vertical="top" wrapText="1"/>
    </xf>
    <xf numFmtId="0" fontId="13" fillId="13" borderId="78" xfId="0" applyFont="1" applyFill="1" applyBorder="1" applyAlignment="1" applyProtection="1">
      <alignment horizontal="left" vertical="top"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4" fontId="46" fillId="13" borderId="80" xfId="0" applyNumberFormat="1" applyFont="1" applyFill="1" applyBorder="1" applyAlignment="1" applyProtection="1">
      <alignment horizontal="right" vertical="center"/>
    </xf>
    <xf numFmtId="0" fontId="42" fillId="5" borderId="20" xfId="0" applyFont="1" applyFill="1" applyBorder="1" applyAlignment="1" applyProtection="1">
      <alignment horizontal="left" vertical="center" wrapText="1"/>
    </xf>
    <xf numFmtId="0" fontId="42" fillId="5" borderId="95" xfId="0" applyFont="1" applyFill="1" applyBorder="1" applyAlignment="1" applyProtection="1">
      <alignment horizontal="left" vertical="center" wrapText="1"/>
    </xf>
    <xf numFmtId="0" fontId="42" fillId="5" borderId="59"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4" fontId="46" fillId="13" borderId="99"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3" fillId="13" borderId="42" xfId="0" applyFont="1" applyFill="1" applyBorder="1" applyAlignment="1" applyProtection="1">
      <alignment vertical="top" wrapText="1"/>
    </xf>
    <xf numFmtId="0" fontId="3" fillId="13" borderId="60" xfId="0" applyFont="1" applyFill="1" applyBorder="1" applyAlignment="1" applyProtection="1">
      <alignment vertical="top" wrapText="1"/>
    </xf>
    <xf numFmtId="164" fontId="46" fillId="5" borderId="89" xfId="1" applyNumberFormat="1" applyFont="1" applyFill="1" applyBorder="1" applyAlignment="1" applyProtection="1">
      <alignment horizontal="right" vertical="center"/>
    </xf>
    <xf numFmtId="164" fontId="46" fillId="5" borderId="81" xfId="1" applyNumberFormat="1" applyFont="1" applyFill="1" applyBorder="1" applyAlignment="1" applyProtection="1">
      <alignment horizontal="right" vertical="center"/>
    </xf>
    <xf numFmtId="164" fontId="46" fillId="5" borderId="82" xfId="1" applyNumberFormat="1" applyFont="1" applyFill="1" applyBorder="1" applyAlignment="1" applyProtection="1">
      <alignment horizontal="right" vertical="center"/>
    </xf>
    <xf numFmtId="37" fontId="46" fillId="5" borderId="89"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9"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4" fontId="46" fillId="13" borderId="93" xfId="0" applyNumberFormat="1" applyFont="1" applyFill="1" applyBorder="1" applyAlignment="1" applyProtection="1">
      <alignment horizontal="right"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5" xfId="0" applyNumberFormat="1" applyFont="1" applyFill="1" applyBorder="1" applyAlignment="1" applyProtection="1">
      <alignment horizontal="center" vertical="center"/>
    </xf>
    <xf numFmtId="164" fontId="42" fillId="5" borderId="47" xfId="1"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46" fillId="0" borderId="0" xfId="0" applyFont="1" applyAlignment="1" applyProtection="1"/>
    <xf numFmtId="0" fontId="42" fillId="13" borderId="89" xfId="0" applyFont="1" applyFill="1" applyBorder="1" applyAlignment="1" applyProtection="1">
      <alignment horizontal="left" vertical="top" wrapText="1"/>
    </xf>
    <xf numFmtId="0" fontId="46" fillId="5" borderId="16" xfId="0" applyFont="1" applyFill="1" applyBorder="1" applyAlignment="1" applyProtection="1">
      <alignment horizontal="center" vertical="center"/>
    </xf>
    <xf numFmtId="0" fontId="42" fillId="13" borderId="44"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5" borderId="17" xfId="0"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3" fontId="46" fillId="10" borderId="81" xfId="0" applyNumberFormat="1" applyFont="1" applyFill="1" applyBorder="1" applyAlignment="1" applyProtection="1">
      <alignment horizontal="left" vertical="center"/>
    </xf>
    <xf numFmtId="3" fontId="46" fillId="10" borderId="82" xfId="0" applyNumberFormat="1" applyFont="1" applyFill="1" applyBorder="1" applyAlignment="1" applyProtection="1">
      <alignment horizontal="left" vertical="center"/>
    </xf>
    <xf numFmtId="0" fontId="42" fillId="13" borderId="42" xfId="0" applyFont="1" applyFill="1" applyBorder="1" applyAlignment="1" applyProtection="1">
      <alignment horizontal="left" vertical="top" wrapText="1"/>
    </xf>
    <xf numFmtId="0" fontId="42" fillId="13" borderId="60" xfId="0" applyFont="1" applyFill="1" applyBorder="1" applyAlignment="1" applyProtection="1">
      <alignment horizontal="left" vertical="top" wrapText="1"/>
    </xf>
    <xf numFmtId="0" fontId="42" fillId="10" borderId="81" xfId="0" applyFont="1" applyFill="1" applyBorder="1" applyAlignment="1" applyProtection="1">
      <alignment horizontal="left" vertical="center"/>
    </xf>
    <xf numFmtId="0" fontId="42" fillId="10" borderId="85"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37" fontId="46"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6" fillId="5" borderId="18" xfId="0" applyFont="1" applyFill="1" applyBorder="1" applyAlignment="1" applyProtection="1">
      <alignment horizontal="center" vertical="center"/>
    </xf>
    <xf numFmtId="37" fontId="46"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6" fillId="5" borderId="89" xfId="0" applyFont="1" applyFill="1" applyBorder="1" applyAlignment="1" applyProtection="1">
      <alignment horizontal="center" vertical="center"/>
    </xf>
    <xf numFmtId="0" fontId="42" fillId="5" borderId="28"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5" borderId="28"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wrapText="1"/>
    </xf>
    <xf numFmtId="0" fontId="46" fillId="5" borderId="59"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5"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5" xfId="1" applyNumberFormat="1" applyFont="1" applyFill="1" applyBorder="1" applyAlignment="1" applyProtection="1">
      <alignment horizontal="righ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0" fontId="46" fillId="0" borderId="13" xfId="0" applyFont="1" applyBorder="1" applyAlignment="1" applyProtection="1">
      <alignment horizontal="center"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166" fontId="46" fillId="5" borderId="16"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166" fontId="46" fillId="5" borderId="17" xfId="0" applyNumberFormat="1"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166" fontId="46" fillId="5" borderId="18" xfId="0" applyNumberFormat="1" applyFont="1" applyFill="1" applyBorder="1" applyAlignment="1" applyProtection="1">
      <alignment horizontal="center"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 fontId="46" fillId="5" borderId="18" xfId="0" applyNumberFormat="1" applyFont="1" applyFill="1" applyBorder="1" applyAlignment="1" applyProtection="1">
      <alignment horizontal="right" vertical="center"/>
    </xf>
    <xf numFmtId="3" fontId="46" fillId="5" borderId="18" xfId="0" applyNumberFormat="1" applyFont="1" applyFill="1" applyBorder="1" applyAlignment="1" applyProtection="1">
      <alignment vertical="center"/>
    </xf>
    <xf numFmtId="166" fontId="46" fillId="5" borderId="89" xfId="0" applyNumberFormat="1" applyFont="1" applyFill="1" applyBorder="1" applyAlignment="1" applyProtection="1">
      <alignment horizontal="center" vertical="center"/>
    </xf>
    <xf numFmtId="38" fontId="46" fillId="6" borderId="81" xfId="2" applyNumberFormat="1" applyFont="1" applyFill="1" applyBorder="1" applyAlignment="1" applyProtection="1">
      <alignment horizontal="center" vertical="center"/>
    </xf>
    <xf numFmtId="38" fontId="46" fillId="6" borderId="82" xfId="2" applyNumberFormat="1" applyFont="1" applyFill="1" applyBorder="1" applyAlignment="1" applyProtection="1">
      <alignment horizontal="center" vertical="center"/>
    </xf>
    <xf numFmtId="0" fontId="46" fillId="5" borderId="81" xfId="0" applyFont="1" applyFill="1" applyBorder="1" applyAlignment="1" applyProtection="1">
      <alignment horizontal="center" vertical="center"/>
    </xf>
    <xf numFmtId="0" fontId="46" fillId="5" borderId="82"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166" fontId="46" fillId="0" borderId="40" xfId="0" applyNumberFormat="1" applyFont="1" applyFill="1" applyBorder="1" applyAlignment="1" applyProtection="1">
      <alignment horizontal="center" vertical="center"/>
    </xf>
    <xf numFmtId="166" fontId="46" fillId="11" borderId="81" xfId="0" applyNumberFormat="1" applyFont="1" applyFill="1" applyBorder="1" applyAlignment="1" applyProtection="1">
      <alignment horizontal="center" vertical="center"/>
    </xf>
    <xf numFmtId="166" fontId="46" fillId="11" borderId="82"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38" fontId="46" fillId="5" borderId="18" xfId="0" applyNumberFormat="1" applyFont="1" applyFill="1" applyBorder="1" applyAlignment="1" applyProtection="1">
      <alignment horizontal="right" vertical="center"/>
    </xf>
    <xf numFmtId="0" fontId="46" fillId="5" borderId="81" xfId="0" applyFont="1" applyFill="1" applyBorder="1" applyAlignment="1" applyProtection="1">
      <alignment horizontal="left" vertical="center"/>
    </xf>
    <xf numFmtId="0" fontId="46" fillId="0" borderId="85" xfId="0" applyFont="1" applyBorder="1" applyProtection="1"/>
    <xf numFmtId="0" fontId="46" fillId="0" borderId="82" xfId="0" applyFont="1" applyBorder="1" applyProtection="1"/>
    <xf numFmtId="0" fontId="60" fillId="0" borderId="0" xfId="0" applyFont="1" applyFill="1" applyAlignment="1" applyProtection="1">
      <alignment horizontal="center" vertical="center"/>
    </xf>
    <xf numFmtId="167" fontId="46" fillId="5" borderId="81" xfId="0" applyNumberFormat="1" applyFont="1" applyFill="1" applyBorder="1" applyAlignment="1" applyProtection="1">
      <alignment horizontal="left" vertical="center"/>
    </xf>
    <xf numFmtId="167" fontId="46" fillId="5" borderId="85" xfId="0" applyNumberFormat="1" applyFont="1" applyFill="1" applyBorder="1" applyAlignment="1" applyProtection="1">
      <alignment horizontal="left" vertical="center"/>
    </xf>
    <xf numFmtId="167" fontId="46" fillId="5" borderId="82" xfId="0" applyNumberFormat="1" applyFont="1" applyFill="1" applyBorder="1" applyAlignment="1" applyProtection="1">
      <alignment horizontal="left" vertical="center"/>
    </xf>
    <xf numFmtId="0" fontId="46" fillId="5" borderId="89" xfId="0" applyFont="1" applyFill="1" applyBorder="1" applyAlignment="1" applyProtection="1">
      <alignment horizontal="left" vertical="center"/>
    </xf>
    <xf numFmtId="169" fontId="46" fillId="5" borderId="81" xfId="0" applyNumberFormat="1" applyFont="1" applyFill="1" applyBorder="1" applyAlignment="1" applyProtection="1">
      <alignment horizontal="center" vertical="center"/>
    </xf>
    <xf numFmtId="0" fontId="46" fillId="10" borderId="81" xfId="0" applyFont="1" applyFill="1" applyBorder="1" applyAlignment="1" applyProtection="1">
      <alignment horizontal="center" vertical="center"/>
    </xf>
    <xf numFmtId="0" fontId="46" fillId="10" borderId="82" xfId="0" applyFont="1" applyFill="1" applyBorder="1" applyAlignment="1" applyProtection="1">
      <alignment horizontal="center" vertical="center"/>
    </xf>
    <xf numFmtId="0" fontId="46" fillId="5" borderId="82" xfId="0" applyFont="1" applyFill="1" applyBorder="1" applyAlignment="1" applyProtection="1">
      <alignment horizontal="center"/>
    </xf>
    <xf numFmtId="0" fontId="46" fillId="5" borderId="81" xfId="0" applyNumberFormat="1" applyFont="1" applyFill="1" applyBorder="1" applyAlignment="1" applyProtection="1">
      <alignment horizontal="left" vertical="center"/>
    </xf>
    <xf numFmtId="0" fontId="46" fillId="5" borderId="85"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6" xfId="0" applyFont="1" applyFill="1" applyBorder="1" applyAlignment="1" applyProtection="1">
      <alignment horizontal="left" vertical="center"/>
    </xf>
    <xf numFmtId="0" fontId="46" fillId="0" borderId="2" xfId="0" applyFont="1" applyBorder="1" applyProtection="1"/>
    <xf numFmtId="0" fontId="46" fillId="0" borderId="37" xfId="0" applyFont="1" applyBorder="1" applyProtection="1"/>
    <xf numFmtId="167" fontId="46" fillId="5" borderId="36" xfId="0" applyNumberFormat="1" applyFont="1" applyFill="1" applyBorder="1" applyAlignment="1" applyProtection="1">
      <alignment horizontal="left" vertical="center"/>
    </xf>
    <xf numFmtId="167" fontId="46" fillId="5" borderId="2"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xf>
    <xf numFmtId="169" fontId="46" fillId="5" borderId="36" xfId="0" applyNumberFormat="1" applyFont="1" applyFill="1" applyBorder="1" applyAlignment="1" applyProtection="1">
      <alignment horizontal="left" vertical="center"/>
    </xf>
    <xf numFmtId="0" fontId="46" fillId="0" borderId="37" xfId="0" applyFont="1" applyBorder="1" applyAlignment="1" applyProtection="1">
      <alignment horizontal="left"/>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13" xfId="0" applyNumberFormat="1" applyFont="1" applyFill="1" applyBorder="1" applyAlignment="1" applyProtection="1">
      <alignment vertical="center"/>
    </xf>
    <xf numFmtId="0" fontId="46" fillId="5" borderId="85"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169" fontId="46" fillId="5" borderId="36" xfId="0" applyNumberFormat="1" applyFont="1" applyFill="1" applyBorder="1" applyAlignment="1" applyProtection="1">
      <alignment horizontal="center" vertical="center"/>
    </xf>
    <xf numFmtId="0" fontId="46" fillId="0" borderId="87" xfId="0" applyFont="1" applyFill="1" applyBorder="1" applyAlignment="1" applyProtection="1">
      <alignment horizontal="center"/>
    </xf>
    <xf numFmtId="0" fontId="46" fillId="0" borderId="81" xfId="0" applyFont="1" applyFill="1" applyBorder="1" applyAlignment="1" applyProtection="1">
      <alignment horizontal="left" wrapText="1"/>
    </xf>
    <xf numFmtId="0" fontId="46" fillId="0" borderId="85" xfId="0" applyFont="1" applyFill="1" applyBorder="1" applyAlignment="1" applyProtection="1">
      <alignment horizontal="left" wrapText="1"/>
    </xf>
    <xf numFmtId="0" fontId="46" fillId="0" borderId="82" xfId="0" applyFont="1" applyFill="1" applyBorder="1" applyAlignment="1" applyProtection="1">
      <alignment horizontal="left" wrapText="1"/>
    </xf>
    <xf numFmtId="0" fontId="46" fillId="5" borderId="16"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10" borderId="80" xfId="0" applyFont="1" applyFill="1" applyBorder="1" applyAlignment="1" applyProtection="1">
      <alignment horizontal="left" vertical="top" wrapText="1"/>
    </xf>
    <xf numFmtId="0" fontId="46" fillId="10" borderId="31" xfId="0" applyFont="1" applyFill="1" applyBorder="1" applyAlignment="1" applyProtection="1">
      <alignment horizontal="left" vertical="top" wrapText="1"/>
    </xf>
    <xf numFmtId="0" fontId="46" fillId="5" borderId="18"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2" xfId="0" applyFont="1" applyFill="1" applyBorder="1" applyAlignment="1" applyProtection="1">
      <alignment horizontal="center" vertical="top"/>
    </xf>
    <xf numFmtId="0" fontId="43" fillId="5" borderId="99" xfId="0" applyFont="1" applyFill="1" applyBorder="1" applyAlignment="1" applyProtection="1">
      <alignment horizontal="left" vertical="top" wrapText="1"/>
    </xf>
    <xf numFmtId="0" fontId="46" fillId="5" borderId="25"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6" fillId="5" borderId="24"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9" xfId="0" applyFont="1" applyFill="1" applyBorder="1" applyAlignment="1" applyProtection="1">
      <alignment horizontal="center" vertical="top"/>
    </xf>
    <xf numFmtId="0" fontId="43" fillId="5" borderId="9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61" fillId="0" borderId="0" xfId="0" applyFont="1" applyAlignment="1" applyProtection="1">
      <alignment vertical="center"/>
    </xf>
    <xf numFmtId="0" fontId="59" fillId="0" borderId="0" xfId="0" applyFont="1" applyProtection="1"/>
    <xf numFmtId="0" fontId="56" fillId="16" borderId="57"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4" fillId="0" borderId="0" xfId="0" quotePrefix="1" applyFont="1" applyAlignment="1" applyProtection="1">
      <alignment horizontal="center"/>
    </xf>
    <xf numFmtId="0" fontId="42" fillId="5" borderId="81" xfId="0" applyFont="1" applyFill="1" applyBorder="1" applyAlignment="1" applyProtection="1">
      <alignment horizontal="center" vertical="center"/>
    </xf>
    <xf numFmtId="0" fontId="42" fillId="5" borderId="82" xfId="0" applyFont="1" applyFill="1" applyBorder="1" applyAlignment="1" applyProtection="1">
      <alignment horizontal="center" vertical="center"/>
    </xf>
    <xf numFmtId="164" fontId="46" fillId="5" borderId="3" xfId="1" applyNumberFormat="1" applyFont="1" applyFill="1" applyBorder="1" applyAlignment="1" applyProtection="1">
      <alignment vertical="center"/>
    </xf>
    <xf numFmtId="0" fontId="46" fillId="5" borderId="28"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9"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17" xfId="0" applyFont="1" applyFill="1" applyBorder="1" applyAlignment="1" applyProtection="1">
      <alignment horizontal="left"/>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28" xfId="0" applyNumberFormat="1" applyFont="1" applyFill="1" applyBorder="1" applyAlignment="1" applyProtection="1">
      <alignment horizontal="left" vertical="center"/>
    </xf>
    <xf numFmtId="0" fontId="46" fillId="5" borderId="58"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5"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5" xfId="0"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0" fontId="46" fillId="6" borderId="81"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38" fontId="46" fillId="5" borderId="83" xfId="0" applyNumberFormat="1" applyFont="1" applyFill="1" applyBorder="1" applyAlignment="1" applyProtection="1">
      <alignment horizontal="left" vertical="center"/>
    </xf>
    <xf numFmtId="38" fontId="46" fillId="5" borderId="88"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4"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9"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9"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0" fontId="46" fillId="5" borderId="36" xfId="0" applyFont="1" applyFill="1" applyBorder="1" applyAlignment="1" applyProtection="1">
      <alignment horizontal="left"/>
    </xf>
    <xf numFmtId="0" fontId="46" fillId="5" borderId="37" xfId="0" applyFont="1" applyFill="1" applyBorder="1" applyAlignment="1" applyProtection="1">
      <alignment horizontal="left"/>
    </xf>
    <xf numFmtId="3" fontId="46" fillId="5" borderId="89" xfId="1" applyNumberFormat="1" applyFont="1" applyFill="1" applyBorder="1" applyAlignment="1" applyProtection="1">
      <alignment horizontal="center" vertical="center"/>
    </xf>
    <xf numFmtId="0" fontId="46" fillId="5" borderId="81" xfId="0" applyFont="1" applyFill="1" applyBorder="1" applyAlignment="1" applyProtection="1">
      <alignment horizontal="left"/>
    </xf>
    <xf numFmtId="0" fontId="46" fillId="5" borderId="85" xfId="0" applyFont="1" applyFill="1" applyBorder="1" applyAlignment="1" applyProtection="1">
      <alignment horizontal="left"/>
    </xf>
    <xf numFmtId="0" fontId="46" fillId="5" borderId="82"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17" xfId="0"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8" xfId="0" applyFont="1" applyBorder="1" applyProtection="1"/>
    <xf numFmtId="0" fontId="46" fillId="0" borderId="58" xfId="0" applyFont="1" applyBorder="1" applyProtection="1"/>
    <xf numFmtId="0" fontId="46" fillId="0" borderId="20" xfId="0" applyFont="1" applyBorder="1" applyProtection="1"/>
    <xf numFmtId="0" fontId="46" fillId="0" borderId="95" xfId="0" applyFont="1" applyBorder="1" applyProtection="1"/>
    <xf numFmtId="167" fontId="46" fillId="5" borderId="59"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52" xfId="0" applyFont="1" applyFill="1" applyBorder="1" applyAlignment="1" applyProtection="1">
      <alignment horizontal="left" vertical="center"/>
    </xf>
    <xf numFmtId="0" fontId="42" fillId="5" borderId="53" xfId="0" applyFont="1" applyFill="1" applyBorder="1" applyAlignment="1" applyProtection="1">
      <alignment horizontal="left" vertical="center"/>
    </xf>
    <xf numFmtId="0" fontId="42" fillId="5" borderId="99" xfId="0"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23"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8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5" xfId="0" applyFont="1" applyFill="1" applyBorder="1" applyAlignment="1" applyProtection="1">
      <alignment horizontal="center" vertical="center"/>
    </xf>
    <xf numFmtId="0" fontId="42" fillId="5" borderId="4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9"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83" xfId="0" applyFont="1" applyFill="1" applyBorder="1" applyAlignment="1" applyProtection="1">
      <alignment horizontal="left" vertical="center"/>
    </xf>
    <xf numFmtId="0" fontId="46" fillId="5" borderId="88"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9" xfId="0" applyNumberFormat="1" applyFont="1" applyFill="1" applyBorder="1" applyAlignment="1" applyProtection="1">
      <alignment horizontal="left" vertical="center"/>
    </xf>
    <xf numFmtId="3" fontId="46" fillId="5" borderId="3" xfId="0" applyNumberFormat="1" applyFont="1" applyFill="1" applyBorder="1" applyAlignment="1" applyProtection="1">
      <alignment horizontal="center" vertical="center"/>
    </xf>
    <xf numFmtId="0" fontId="42" fillId="5" borderId="81" xfId="0" applyFont="1" applyFill="1" applyBorder="1" applyAlignment="1" applyProtection="1">
      <alignment horizontal="center"/>
    </xf>
    <xf numFmtId="0" fontId="42" fillId="5" borderId="82"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5"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4" borderId="81" xfId="0" applyFont="1" applyFill="1" applyBorder="1" applyAlignment="1" applyProtection="1">
      <alignment horizontal="left" vertical="top" wrapText="1"/>
    </xf>
    <xf numFmtId="0" fontId="42" fillId="4" borderId="85"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3 2"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2 2" xfId="33" xr:uid="{00000000-0005-0000-0000-000018000000}"/>
    <cellStyle name="Normal 3" xfId="13" xr:uid="{00000000-0005-0000-0000-000019000000}"/>
    <cellStyle name="Normal 4" xfId="24" xr:uid="{00000000-0005-0000-0000-00001A000000}"/>
    <cellStyle name="Normal 5" xfId="30"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3 2" xfId="35" xr:uid="{00000000-0005-0000-0000-000023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Pointe North Village III</v>
      </c>
    </row>
    <row r="3" spans="1:6" ht="15" customHeight="1">
      <c r="A3" s="915" t="str">
        <f>CONCATENATE('Part I-Project Information'!F38,", ", 'Part I-Project Information'!J39," County")</f>
        <v>Albany, Dougherty County</v>
      </c>
    </row>
    <row r="4" spans="1:6" ht="12" customHeight="1"/>
    <row r="5" spans="1:6" ht="111" customHeight="1">
      <c r="A5" s="2895" t="s">
        <v>4675</v>
      </c>
      <c r="B5" s="1619" t="s">
        <v>2930</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wAKROZLvruxy2O3FNK60vi4Fz6+EOxHl+acpECDBhBi9g4vABLIJSk5zsVrheLB9gIOydpOBjrCWxikW3m4H/g==" saltValue="VWpigPFQonnlavhZsHX0a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7" zoomScaleNormal="100" workbookViewId="0">
      <selection sqref="A1:XFD1048576"/>
    </sheetView>
  </sheetViews>
  <sheetFormatPr defaultColWidth="9.140625" defaultRowHeight="12.75"/>
  <cols>
    <col min="1" max="1" width="3.42578125" style="324" customWidth="1"/>
    <col min="2" max="2" width="2.42578125" style="347" customWidth="1"/>
    <col min="3" max="16" width="8.85546875" style="324" customWidth="1"/>
    <col min="17" max="16384" width="9.140625" style="324"/>
  </cols>
  <sheetData>
    <row r="1" spans="1:16" s="305" customFormat="1" ht="14.1" customHeight="1">
      <c r="A1" s="1640" t="str">
        <f>CONCATENATE("PART ONE - PROJECT INFORMATION"," - ",$O$6," ",$F$34,", ",'Part I-Project Information'!F38,", ",'Part I-Project Information'!J39," County")</f>
        <v>PART ONE - PROJECT INFORMATION - 2018-041 Pointe North Village III, Albany, Dougherty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4518</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49" t="s">
        <v>4550</v>
      </c>
      <c r="C6" s="1649"/>
      <c r="D6" s="1649"/>
      <c r="E6" s="1433"/>
      <c r="F6" s="308"/>
      <c r="G6" s="279" t="s">
        <v>446</v>
      </c>
      <c r="H6" s="1571"/>
      <c r="I6" s="1571"/>
      <c r="J6" s="1571"/>
      <c r="O6" s="3577" t="s">
        <v>4720</v>
      </c>
      <c r="P6" s="3578"/>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35" customHeight="1">
      <c r="A9" s="307" t="s">
        <v>622</v>
      </c>
      <c r="B9" s="307" t="s">
        <v>2391</v>
      </c>
      <c r="D9" s="280"/>
      <c r="E9" s="309"/>
      <c r="F9" s="310" t="s">
        <v>3826</v>
      </c>
      <c r="I9" s="1643">
        <f>'Part IV-A-Uses of Funds'!$J$175</f>
        <v>772998</v>
      </c>
      <c r="J9" s="1644"/>
      <c r="L9" s="305" t="s">
        <v>3827</v>
      </c>
      <c r="O9" s="1645">
        <f>'Part III-Sources of Funds'!$E$11</f>
        <v>0</v>
      </c>
      <c r="P9" s="1646"/>
    </row>
    <row r="10" spans="1:16" s="305" customFormat="1" ht="6" customHeight="1">
      <c r="A10" s="307"/>
      <c r="B10" s="307"/>
      <c r="D10" s="280"/>
      <c r="E10" s="309"/>
      <c r="F10" s="309"/>
      <c r="I10" s="311"/>
      <c r="N10" s="312"/>
    </row>
    <row r="11" spans="1:16" s="305" customFormat="1" ht="13.35" customHeight="1">
      <c r="A11" s="311" t="s">
        <v>748</v>
      </c>
      <c r="B11" s="307" t="s">
        <v>2056</v>
      </c>
      <c r="F11" s="3579" t="s">
        <v>4551</v>
      </c>
      <c r="G11" s="3580"/>
      <c r="H11" s="3581"/>
      <c r="I11" s="3582" t="s">
        <v>3742</v>
      </c>
      <c r="J11" s="526" t="s">
        <v>3990</v>
      </c>
      <c r="K11" s="316"/>
      <c r="L11" s="1571"/>
      <c r="O11" s="3408"/>
      <c r="P11" s="3409"/>
    </row>
    <row r="12" spans="1:16" s="305" customFormat="1" ht="12.75" customHeight="1">
      <c r="A12" s="501"/>
      <c r="B12" s="1648" t="s">
        <v>4519</v>
      </c>
      <c r="C12" s="1648"/>
      <c r="D12" s="1648"/>
      <c r="H12" s="1571"/>
      <c r="J12" s="527" t="s">
        <v>2751</v>
      </c>
      <c r="K12" s="277"/>
      <c r="M12" s="1571"/>
      <c r="O12" s="3583" t="s">
        <v>3014</v>
      </c>
      <c r="P12" s="358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5" t="s">
        <v>3014</v>
      </c>
      <c r="G14" s="1559" t="s">
        <v>3824</v>
      </c>
    </row>
    <row r="15" spans="1:16" s="305" customFormat="1" ht="12.75" customHeight="1">
      <c r="A15" s="501"/>
      <c r="B15" s="305" t="s">
        <v>3900</v>
      </c>
      <c r="D15" s="316"/>
      <c r="F15" s="3526"/>
      <c r="G15" s="3527"/>
      <c r="H15" s="3527"/>
      <c r="I15" s="3527"/>
      <c r="J15" s="3527"/>
      <c r="K15" s="3528"/>
      <c r="L15" s="305" t="s">
        <v>3823</v>
      </c>
      <c r="O15" s="3514"/>
      <c r="P15" s="3544"/>
    </row>
    <row r="16" spans="1:16" s="305" customFormat="1" ht="12.75" customHeight="1">
      <c r="A16" s="501"/>
      <c r="B16" s="305" t="s">
        <v>3825</v>
      </c>
      <c r="F16" s="3585"/>
      <c r="G16" s="305" t="s">
        <v>3882</v>
      </c>
      <c r="H16" s="1571"/>
      <c r="I16" s="179"/>
      <c r="J16" s="527"/>
      <c r="M16" s="3188"/>
      <c r="N16" s="3189"/>
      <c r="O16" s="3189"/>
      <c r="P16" s="3190"/>
    </row>
    <row r="17" spans="1:16" s="305" customFormat="1" ht="6" customHeight="1">
      <c r="I17" s="280"/>
      <c r="J17" s="280"/>
      <c r="K17" s="280"/>
      <c r="L17" s="280"/>
      <c r="M17" s="280"/>
      <c r="N17" s="280"/>
      <c r="O17" s="280"/>
      <c r="P17" s="280"/>
    </row>
    <row r="18" spans="1:16" s="305" customFormat="1" ht="13.3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35" customHeight="1">
      <c r="B20" s="305" t="s">
        <v>3911</v>
      </c>
      <c r="F20" s="3586" t="s">
        <v>4552</v>
      </c>
      <c r="G20" s="3587"/>
      <c r="H20" s="3588"/>
      <c r="I20" s="305" t="s">
        <v>1810</v>
      </c>
      <c r="J20" s="3586" t="s">
        <v>4555</v>
      </c>
      <c r="K20" s="3587"/>
      <c r="L20" s="3588"/>
      <c r="M20" s="340" t="s">
        <v>1996</v>
      </c>
      <c r="N20" s="3514" t="s">
        <v>4556</v>
      </c>
      <c r="O20" s="3543"/>
      <c r="P20" s="3544"/>
    </row>
    <row r="21" spans="1:16" s="305" customFormat="1" ht="13.35" customHeight="1">
      <c r="B21" s="310" t="s">
        <v>1997</v>
      </c>
      <c r="F21" s="3589" t="s">
        <v>4553</v>
      </c>
      <c r="G21" s="3590"/>
      <c r="H21" s="3590"/>
      <c r="I21" s="3591"/>
      <c r="J21" s="3590"/>
      <c r="K21" s="3591"/>
      <c r="L21" s="3592"/>
      <c r="M21" s="1638" t="s">
        <v>3910</v>
      </c>
      <c r="N21" s="1639"/>
      <c r="O21" s="1639"/>
      <c r="P21" s="1639"/>
    </row>
    <row r="22" spans="1:16" s="305" customFormat="1" ht="13.35" customHeight="1">
      <c r="B22" s="310" t="s">
        <v>624</v>
      </c>
      <c r="F22" s="3589" t="s">
        <v>2180</v>
      </c>
      <c r="G22" s="3590"/>
      <c r="H22" s="3593"/>
      <c r="I22" s="310" t="s">
        <v>1812</v>
      </c>
      <c r="J22" s="3594" t="s">
        <v>856</v>
      </c>
      <c r="M22" s="1638"/>
      <c r="N22" s="1638"/>
      <c r="O22" s="1638"/>
      <c r="P22" s="1638"/>
    </row>
    <row r="23" spans="1:16" s="305" customFormat="1" ht="13.35" customHeight="1">
      <c r="B23" s="1559" t="s">
        <v>2245</v>
      </c>
      <c r="F23" s="3595">
        <v>300756229</v>
      </c>
      <c r="G23" s="3596"/>
      <c r="H23" s="3597"/>
      <c r="I23" s="310" t="s">
        <v>1733</v>
      </c>
      <c r="J23" s="3598">
        <v>4042021357</v>
      </c>
      <c r="K23" s="3599"/>
      <c r="L23" s="1561" t="s">
        <v>1732</v>
      </c>
      <c r="M23" s="3442"/>
      <c r="N23" s="1559" t="s">
        <v>1734</v>
      </c>
      <c r="O23" s="3600">
        <v>4042021357</v>
      </c>
      <c r="P23" s="3599"/>
    </row>
    <row r="24" spans="1:16" s="305" customFormat="1" ht="13.35" customHeight="1">
      <c r="B24" s="1559" t="s">
        <v>2000</v>
      </c>
      <c r="F24" s="3601" t="s">
        <v>4554</v>
      </c>
      <c r="G24" s="3602"/>
      <c r="H24" s="3602"/>
      <c r="I24" s="3543"/>
      <c r="J24" s="3602"/>
      <c r="K24" s="3603"/>
      <c r="N24" s="1559" t="s">
        <v>1995</v>
      </c>
      <c r="O24" s="3604">
        <v>4042021357</v>
      </c>
      <c r="P24" s="3605"/>
    </row>
    <row r="25" spans="1:16" s="305" customFormat="1" ht="13.5" customHeight="1">
      <c r="A25" s="501"/>
      <c r="B25" s="307" t="s">
        <v>4537</v>
      </c>
      <c r="C25" s="314"/>
      <c r="D25" s="1570"/>
      <c r="E25" s="1570"/>
      <c r="F25" s="1570"/>
      <c r="H25" s="1571"/>
      <c r="I25" s="1570"/>
      <c r="J25" s="314"/>
      <c r="K25" s="1570"/>
      <c r="P25" s="315"/>
    </row>
    <row r="26" spans="1:16" s="305" customFormat="1" ht="13.35" customHeight="1">
      <c r="B26" s="305" t="s">
        <v>3911</v>
      </c>
      <c r="F26" s="3586" t="s">
        <v>4552</v>
      </c>
      <c r="G26" s="3587"/>
      <c r="H26" s="3588"/>
      <c r="I26" s="305" t="s">
        <v>1810</v>
      </c>
      <c r="J26" s="3586" t="s">
        <v>4557</v>
      </c>
      <c r="K26" s="3587"/>
      <c r="L26" s="3588"/>
      <c r="M26" s="340" t="s">
        <v>1996</v>
      </c>
      <c r="N26" s="3514" t="s">
        <v>4556</v>
      </c>
      <c r="O26" s="3543"/>
      <c r="P26" s="3544"/>
    </row>
    <row r="27" spans="1:16" s="305" customFormat="1" ht="13.35" customHeight="1">
      <c r="B27" s="310" t="s">
        <v>1997</v>
      </c>
      <c r="F27" s="3589" t="s">
        <v>4553</v>
      </c>
      <c r="G27" s="3590"/>
      <c r="H27" s="3590"/>
      <c r="I27" s="3591"/>
      <c r="J27" s="3590"/>
      <c r="K27" s="3591"/>
      <c r="L27" s="3592"/>
      <c r="M27" s="1638" t="s">
        <v>3910</v>
      </c>
      <c r="N27" s="1639"/>
      <c r="O27" s="1639"/>
      <c r="P27" s="1639"/>
    </row>
    <row r="28" spans="1:16" s="305" customFormat="1" ht="13.35" customHeight="1">
      <c r="B28" s="310" t="s">
        <v>624</v>
      </c>
      <c r="F28" s="3589" t="s">
        <v>2180</v>
      </c>
      <c r="G28" s="3590"/>
      <c r="H28" s="3593"/>
      <c r="I28" s="310" t="s">
        <v>1812</v>
      </c>
      <c r="J28" s="3594" t="s">
        <v>856</v>
      </c>
      <c r="M28" s="1638"/>
      <c r="N28" s="1638"/>
      <c r="O28" s="1638"/>
      <c r="P28" s="1638"/>
    </row>
    <row r="29" spans="1:16" s="305" customFormat="1" ht="13.35" customHeight="1">
      <c r="B29" s="1559" t="s">
        <v>2245</v>
      </c>
      <c r="F29" s="3595">
        <v>300756229</v>
      </c>
      <c r="G29" s="3596"/>
      <c r="H29" s="3597"/>
      <c r="I29" s="310" t="s">
        <v>1733</v>
      </c>
      <c r="J29" s="3598">
        <v>4042027129</v>
      </c>
      <c r="K29" s="3599"/>
      <c r="L29" s="1561" t="s">
        <v>1732</v>
      </c>
      <c r="M29" s="3442"/>
      <c r="N29" s="1559" t="s">
        <v>1734</v>
      </c>
      <c r="O29" s="3600">
        <v>4042027129</v>
      </c>
      <c r="P29" s="3599"/>
    </row>
    <row r="30" spans="1:16" s="305" customFormat="1" ht="13.35" customHeight="1">
      <c r="B30" s="1559" t="s">
        <v>2000</v>
      </c>
      <c r="F30" s="3601" t="s">
        <v>4558</v>
      </c>
      <c r="G30" s="3602"/>
      <c r="H30" s="3602"/>
      <c r="I30" s="3543"/>
      <c r="J30" s="3602"/>
      <c r="K30" s="3603"/>
      <c r="N30" s="1559" t="s">
        <v>1995</v>
      </c>
      <c r="O30" s="3604">
        <v>4042027129</v>
      </c>
      <c r="P30" s="3605"/>
    </row>
    <row r="31" spans="1:16" s="305" customFormat="1" ht="6" customHeight="1">
      <c r="A31" s="501"/>
      <c r="B31" s="501"/>
      <c r="C31" s="314"/>
      <c r="D31" s="1570"/>
      <c r="E31" s="1570"/>
      <c r="F31" s="1570"/>
      <c r="H31" s="1571"/>
      <c r="I31" s="1570"/>
      <c r="J31" s="314"/>
      <c r="K31" s="1570"/>
      <c r="P31" s="315"/>
    </row>
    <row r="32" spans="1:16" s="305" customFormat="1" ht="13.3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35" customHeight="1">
      <c r="A34" s="307"/>
      <c r="B34" s="305" t="s">
        <v>623</v>
      </c>
      <c r="D34" s="316"/>
      <c r="F34" s="3606" t="s">
        <v>4715</v>
      </c>
      <c r="G34" s="3607"/>
      <c r="H34" s="3607"/>
      <c r="I34" s="3607"/>
      <c r="J34" s="3607"/>
      <c r="K34" s="3608"/>
      <c r="L34" s="1559" t="s">
        <v>2208</v>
      </c>
      <c r="O34" s="3586" t="s">
        <v>3014</v>
      </c>
      <c r="P34" s="3588"/>
    </row>
    <row r="35" spans="1:16" s="305" customFormat="1" ht="13.35" customHeight="1">
      <c r="A35" s="317"/>
      <c r="B35" s="305" t="s">
        <v>2716</v>
      </c>
      <c r="D35" s="318"/>
      <c r="F35" s="3609" t="s">
        <v>4627</v>
      </c>
      <c r="G35" s="3610"/>
      <c r="H35" s="3610"/>
      <c r="I35" s="3610"/>
      <c r="J35" s="3610"/>
      <c r="K35" s="3611"/>
      <c r="L35" s="305" t="s">
        <v>3708</v>
      </c>
      <c r="O35" s="3612" t="s">
        <v>979</v>
      </c>
      <c r="P35" s="3593"/>
    </row>
    <row r="36" spans="1:16" s="305" customFormat="1" ht="13.35" customHeight="1">
      <c r="A36" s="317"/>
      <c r="B36" s="305" t="s">
        <v>2752</v>
      </c>
      <c r="D36" s="318"/>
      <c r="F36" s="3612" t="s">
        <v>4628</v>
      </c>
      <c r="G36" s="3590"/>
      <c r="H36" s="3590"/>
      <c r="I36" s="3591"/>
      <c r="J36" s="3590"/>
      <c r="K36" s="3593"/>
      <c r="L36" s="1559" t="s">
        <v>2066</v>
      </c>
      <c r="N36" s="3442" t="s">
        <v>3014</v>
      </c>
      <c r="O36" s="1571" t="s">
        <v>3707</v>
      </c>
      <c r="P36" s="3427">
        <v>1</v>
      </c>
    </row>
    <row r="37" spans="1:16" s="305" customFormat="1" ht="13.35" customHeight="1">
      <c r="A37" s="317"/>
      <c r="B37" s="305" t="s">
        <v>3764</v>
      </c>
      <c r="D37" s="318"/>
      <c r="F37" s="305" t="s">
        <v>3744</v>
      </c>
      <c r="G37" s="3613">
        <v>31.617716000000001</v>
      </c>
      <c r="H37" s="3614"/>
      <c r="I37" s="1561" t="s">
        <v>3745</v>
      </c>
      <c r="J37" s="3613">
        <v>-84.227119999999999</v>
      </c>
      <c r="K37" s="3614"/>
      <c r="L37" s="1559" t="s">
        <v>2299</v>
      </c>
      <c r="O37" s="3615">
        <v>3</v>
      </c>
      <c r="P37" s="3616"/>
    </row>
    <row r="38" spans="1:16" s="305" customFormat="1" ht="13.35" customHeight="1">
      <c r="A38" s="501"/>
      <c r="B38" s="305" t="s">
        <v>624</v>
      </c>
      <c r="F38" s="3586" t="s">
        <v>1795</v>
      </c>
      <c r="G38" s="3617"/>
      <c r="H38" s="3618"/>
      <c r="I38" s="322" t="s">
        <v>2717</v>
      </c>
      <c r="J38" s="3595">
        <v>317211586</v>
      </c>
      <c r="K38" s="3597"/>
      <c r="L38" s="380" t="str">
        <f>IF(AND(NOT(F34=""),NOT(F38="Select from list"),J38=""),"Enter Zip!","")</f>
        <v/>
      </c>
      <c r="M38" s="320" t="s">
        <v>2926</v>
      </c>
      <c r="O38" s="3619" t="s">
        <v>4629</v>
      </c>
      <c r="P38" s="3620"/>
    </row>
    <row r="39" spans="1:16" s="305" customFormat="1" ht="13.35" customHeight="1">
      <c r="A39" s="501"/>
      <c r="B39" s="1570" t="s">
        <v>3592</v>
      </c>
      <c r="D39" s="1570"/>
      <c r="F39" s="3612" t="s">
        <v>4626</v>
      </c>
      <c r="G39" s="3591"/>
      <c r="H39" s="3592"/>
      <c r="I39" s="319" t="s">
        <v>625</v>
      </c>
      <c r="J39" s="3621" t="str">
        <f>IF($F$38="","",VLOOKUP($F$38,'DCA Underwriting Assumptions'!$T$155:$U$785,2,FALSE))</f>
        <v>Dougherty</v>
      </c>
      <c r="K39" s="3622"/>
      <c r="M39" s="1559" t="s">
        <v>455</v>
      </c>
      <c r="N39" s="3623" t="s">
        <v>3014</v>
      </c>
      <c r="O39" s="1571" t="s">
        <v>456</v>
      </c>
      <c r="P39" s="3624" t="s">
        <v>3011</v>
      </c>
    </row>
    <row r="40" spans="1:16" s="305" customFormat="1" ht="13.35" customHeight="1">
      <c r="A40" s="501"/>
      <c r="B40" s="307"/>
      <c r="C40" s="305" t="s">
        <v>1570</v>
      </c>
      <c r="F40" s="3625" t="s">
        <v>3014</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626" t="str">
        <f>IF($F$38="","",VLOOKUP($J$39,'DCA Underwriting Assumptions'!$G$155:$L$314,3,FALSE))</f>
        <v>Albany</v>
      </c>
      <c r="P40" s="3627"/>
    </row>
    <row r="41" spans="1:16" s="305" customFormat="1" ht="6" customHeight="1">
      <c r="A41" s="501"/>
      <c r="B41" s="307"/>
      <c r="C41" s="307"/>
      <c r="I41" s="310"/>
      <c r="J41" s="1570"/>
      <c r="L41" s="1580"/>
      <c r="M41" s="1580"/>
      <c r="N41" s="1580"/>
      <c r="O41" s="1580"/>
      <c r="P41" s="1580"/>
    </row>
    <row r="42" spans="1:16" s="305" customFormat="1" ht="13.35" customHeight="1">
      <c r="A42" s="501"/>
      <c r="C42" s="305" t="s">
        <v>2761</v>
      </c>
      <c r="F42" s="1636" t="s">
        <v>2780</v>
      </c>
      <c r="G42" s="1636"/>
      <c r="H42" s="1637" t="s">
        <v>744</v>
      </c>
      <c r="I42" s="1637"/>
      <c r="J42" s="1637" t="s">
        <v>745</v>
      </c>
      <c r="K42" s="1637"/>
      <c r="L42" s="520" t="s">
        <v>2718</v>
      </c>
    </row>
    <row r="43" spans="1:16" s="305" customFormat="1" ht="13.35" customHeight="1">
      <c r="A43" s="501"/>
      <c r="B43" s="305" t="s">
        <v>2779</v>
      </c>
      <c r="D43" s="307"/>
      <c r="F43" s="3628">
        <v>2</v>
      </c>
      <c r="G43" s="3629"/>
      <c r="H43" s="3628">
        <v>12</v>
      </c>
      <c r="I43" s="3629"/>
      <c r="J43" s="3628">
        <v>153</v>
      </c>
      <c r="K43" s="3629"/>
      <c r="L43" s="516" t="s">
        <v>1295</v>
      </c>
      <c r="N43" s="1632" t="s">
        <v>1296</v>
      </c>
      <c r="O43" s="1632"/>
      <c r="P43" s="1632"/>
    </row>
    <row r="44" spans="1:16" s="305" customFormat="1" ht="12.75" customHeight="1">
      <c r="A44" s="501"/>
      <c r="B44" s="310" t="s">
        <v>746</v>
      </c>
      <c r="F44" s="3630"/>
      <c r="G44" s="3631"/>
      <c r="H44" s="3630"/>
      <c r="I44" s="3631"/>
      <c r="J44" s="3630"/>
      <c r="K44" s="3631"/>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35" customHeight="1">
      <c r="A46" s="501"/>
      <c r="B46" s="307" t="s">
        <v>643</v>
      </c>
      <c r="F46" s="3632" t="s">
        <v>4630</v>
      </c>
      <c r="G46" s="3633"/>
      <c r="H46" s="3633"/>
      <c r="I46" s="3634"/>
      <c r="J46" s="3633"/>
      <c r="K46" s="3635"/>
      <c r="L46" s="930" t="s">
        <v>2722</v>
      </c>
      <c r="M46" s="3514" t="s">
        <v>4634</v>
      </c>
      <c r="N46" s="3543"/>
      <c r="O46" s="3543"/>
      <c r="P46" s="3544"/>
    </row>
    <row r="47" spans="1:16" s="305" customFormat="1" ht="13.35" customHeight="1">
      <c r="A47" s="501"/>
      <c r="B47" s="305" t="s">
        <v>644</v>
      </c>
      <c r="F47" s="3636" t="s">
        <v>4631</v>
      </c>
      <c r="G47" s="3637"/>
      <c r="H47" s="3638"/>
      <c r="I47" s="1562" t="s">
        <v>1996</v>
      </c>
      <c r="J47" s="3609" t="s">
        <v>4632</v>
      </c>
      <c r="K47" s="3611"/>
      <c r="L47" s="930"/>
    </row>
    <row r="48" spans="1:16" s="305" customFormat="1" ht="13.35" customHeight="1">
      <c r="A48" s="501"/>
      <c r="B48" s="305" t="s">
        <v>1997</v>
      </c>
      <c r="F48" s="3639" t="s">
        <v>4635</v>
      </c>
      <c r="G48" s="3640"/>
      <c r="H48" s="3641"/>
      <c r="I48" s="3633"/>
      <c r="J48" s="3640"/>
      <c r="K48" s="3642"/>
      <c r="L48" s="341" t="s">
        <v>624</v>
      </c>
      <c r="M48" s="3643" t="s">
        <v>1795</v>
      </c>
      <c r="N48" s="3644"/>
      <c r="O48" s="3644"/>
      <c r="P48" s="3645"/>
    </row>
    <row r="49" spans="1:19" s="305" customFormat="1" ht="13.35" customHeight="1">
      <c r="A49" s="501"/>
      <c r="B49" s="1559" t="s">
        <v>2245</v>
      </c>
      <c r="F49" s="3646">
        <v>317012534</v>
      </c>
      <c r="G49" s="3647"/>
      <c r="H49" s="1561" t="s">
        <v>1998</v>
      </c>
      <c r="I49" s="3648">
        <v>2294313244</v>
      </c>
      <c r="J49" s="3649"/>
      <c r="K49" s="3650"/>
      <c r="L49" s="310" t="s">
        <v>1813</v>
      </c>
      <c r="M49" s="3651" t="s">
        <v>4633</v>
      </c>
      <c r="N49" s="3652"/>
      <c r="O49" s="3652"/>
      <c r="P49" s="3653"/>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35" customHeight="1">
      <c r="B55" s="501"/>
      <c r="C55" s="305" t="s">
        <v>2311</v>
      </c>
      <c r="D55" s="305"/>
      <c r="E55" s="305"/>
      <c r="H55" s="1170">
        <f>'Part VI-Revenues &amp; Expenses'!$O$74</f>
        <v>54</v>
      </c>
      <c r="K55" s="310" t="s">
        <v>3699</v>
      </c>
      <c r="L55" s="305"/>
      <c r="M55" s="991" t="s">
        <v>3698</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35" customHeight="1">
      <c r="B57" s="501"/>
      <c r="C57" s="310" t="s">
        <v>348</v>
      </c>
      <c r="D57" s="1570"/>
      <c r="H57" s="1172">
        <f>'Part VI-Revenues &amp; Expenses'!$O$77</f>
        <v>0</v>
      </c>
      <c r="I57" s="502" t="s">
        <v>2931</v>
      </c>
      <c r="K57" s="305" t="s">
        <v>350</v>
      </c>
      <c r="P57" s="3654"/>
      <c r="Q57" s="1571"/>
    </row>
    <row r="58" spans="1:19" s="305" customFormat="1" ht="3.6" customHeight="1">
      <c r="A58" s="501"/>
      <c r="P58" s="1570"/>
    </row>
    <row r="59" spans="1:19" s="305" customFormat="1">
      <c r="A59" s="501"/>
      <c r="B59" s="501" t="s">
        <v>2001</v>
      </c>
      <c r="C59" s="307" t="s">
        <v>2312</v>
      </c>
      <c r="H59" s="3655"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3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35" customHeight="1">
      <c r="A62" s="501"/>
      <c r="B62" s="1560"/>
      <c r="C62" s="314" t="s">
        <v>2293</v>
      </c>
      <c r="D62" s="1570"/>
      <c r="E62" s="1570"/>
      <c r="H62" s="679">
        <f>SUM(H63:H64)</f>
        <v>54</v>
      </c>
      <c r="I62" s="679">
        <f>SUM(I63:I64)</f>
        <v>0</v>
      </c>
      <c r="J62" s="501"/>
      <c r="K62" s="314" t="s">
        <v>2791</v>
      </c>
      <c r="M62" s="1570"/>
      <c r="N62" s="1570"/>
      <c r="O62" s="1570"/>
      <c r="P62" s="897">
        <f>'Part VI-Revenues &amp; Expenses'!$O$115</f>
        <v>54900</v>
      </c>
    </row>
    <row r="63" spans="1:19" s="305" customFormat="1" ht="13.35" customHeight="1">
      <c r="A63" s="501"/>
      <c r="B63" s="324"/>
      <c r="D63" s="329" t="s">
        <v>387</v>
      </c>
      <c r="E63" s="1570"/>
      <c r="H63" s="897">
        <f>'Part VI-Revenues &amp; Expenses'!$O$57</f>
        <v>12</v>
      </c>
      <c r="I63" s="897">
        <f>'Part VI-Revenues &amp; Expenses'!$O$65</f>
        <v>0</v>
      </c>
      <c r="K63" s="314" t="s">
        <v>2792</v>
      </c>
      <c r="M63" s="1570"/>
      <c r="N63" s="1570"/>
      <c r="O63" s="1570"/>
      <c r="P63" s="1173">
        <f>'Part VI-Revenues &amp; Expenses'!$O$116</f>
        <v>0</v>
      </c>
    </row>
    <row r="64" spans="1:19" s="305" customFormat="1" ht="13.35" customHeight="1">
      <c r="A64" s="501"/>
      <c r="D64" s="329" t="s">
        <v>1835</v>
      </c>
      <c r="E64" s="329"/>
      <c r="H64" s="898">
        <f>'Part VI-Revenues &amp; Expenses'!$O$56</f>
        <v>42</v>
      </c>
      <c r="I64" s="898">
        <f>'Part VI-Revenues &amp; Expenses'!$O$64</f>
        <v>0</v>
      </c>
      <c r="K64" s="314" t="s">
        <v>2793</v>
      </c>
      <c r="M64" s="1570"/>
      <c r="N64" s="1570"/>
      <c r="O64" s="1570"/>
      <c r="P64" s="897">
        <f>P62+P63</f>
        <v>54900</v>
      </c>
    </row>
    <row r="65" spans="1:16" s="305" customFormat="1" ht="13.35" customHeight="1">
      <c r="A65" s="501"/>
      <c r="C65" s="314" t="s">
        <v>255</v>
      </c>
      <c r="D65" s="1570"/>
      <c r="E65" s="1570"/>
      <c r="H65" s="328">
        <f>'Part VI-Revenues &amp; Expenses'!$O$59</f>
        <v>0</v>
      </c>
      <c r="J65" s="501"/>
      <c r="K65" s="314" t="s">
        <v>2794</v>
      </c>
      <c r="M65" s="1570"/>
      <c r="N65" s="1570"/>
      <c r="O65" s="1570"/>
      <c r="P65" s="898">
        <f>'Part VI-Revenues &amp; Expenses'!$O$118</f>
        <v>0</v>
      </c>
    </row>
    <row r="66" spans="1:16" s="305" customFormat="1" ht="13.35" customHeight="1">
      <c r="A66" s="501"/>
      <c r="C66" s="314" t="s">
        <v>2423</v>
      </c>
      <c r="D66" s="1570"/>
      <c r="E66" s="1570"/>
      <c r="H66" s="897">
        <f>H62+H65</f>
        <v>54</v>
      </c>
      <c r="J66" s="501"/>
      <c r="K66" s="314" t="s">
        <v>1432</v>
      </c>
      <c r="M66" s="1570"/>
      <c r="N66" s="1570"/>
      <c r="O66" s="1570"/>
      <c r="P66" s="328">
        <f>+P64+P65</f>
        <v>54900</v>
      </c>
    </row>
    <row r="67" spans="1:16" s="305" customFormat="1" ht="13.35" customHeight="1">
      <c r="A67" s="501"/>
      <c r="C67" s="314" t="s">
        <v>2424</v>
      </c>
      <c r="D67" s="1570"/>
      <c r="E67" s="1570"/>
      <c r="H67" s="898">
        <f>'Part VI-Revenues &amp; Expenses'!$O$61</f>
        <v>0</v>
      </c>
      <c r="J67" s="501"/>
    </row>
    <row r="68" spans="1:16" s="305" customFormat="1" ht="13.35" customHeight="1">
      <c r="A68" s="501"/>
      <c r="C68" s="314" t="s">
        <v>1806</v>
      </c>
      <c r="D68" s="1570"/>
      <c r="E68" s="1570"/>
      <c r="H68" s="328">
        <f>+H66+H67</f>
        <v>54</v>
      </c>
      <c r="J68" s="1570"/>
    </row>
    <row r="69" spans="1:16" s="305" customFormat="1" ht="3" customHeight="1">
      <c r="A69" s="501"/>
      <c r="I69" s="1571"/>
      <c r="L69" s="1571"/>
      <c r="M69" s="1571"/>
      <c r="N69" s="1570"/>
      <c r="P69" s="315"/>
    </row>
    <row r="70" spans="1:16" s="305" customFormat="1" ht="13.35" customHeight="1">
      <c r="A70" s="501"/>
      <c r="B70" s="501" t="s">
        <v>1748</v>
      </c>
      <c r="C70" s="316" t="s">
        <v>2313</v>
      </c>
      <c r="D70" s="329" t="s">
        <v>2012</v>
      </c>
      <c r="G70" s="1570"/>
      <c r="H70" s="3656">
        <v>2</v>
      </c>
      <c r="K70" s="314" t="s">
        <v>4102</v>
      </c>
      <c r="O70" s="1570"/>
      <c r="P70" s="3657">
        <v>2000</v>
      </c>
    </row>
    <row r="71" spans="1:16" s="305" customFormat="1" ht="13.35" customHeight="1">
      <c r="A71" s="501"/>
      <c r="B71" s="501"/>
      <c r="D71" s="1560" t="s">
        <v>2013</v>
      </c>
      <c r="H71" s="3658">
        <v>1</v>
      </c>
      <c r="I71" s="1570"/>
      <c r="K71" s="314" t="s">
        <v>254</v>
      </c>
      <c r="O71" s="1570"/>
      <c r="P71" s="328">
        <f>+P66+P70</f>
        <v>56900</v>
      </c>
    </row>
    <row r="72" spans="1:16" s="305" customFormat="1" ht="13.35" customHeight="1">
      <c r="A72" s="501"/>
      <c r="B72" s="501"/>
      <c r="D72" s="1560" t="s">
        <v>2014</v>
      </c>
      <c r="H72" s="328">
        <f>+H70+H71</f>
        <v>3</v>
      </c>
      <c r="I72" s="1570"/>
    </row>
    <row r="73" spans="1:16" s="305" customFormat="1" ht="3" customHeight="1">
      <c r="A73" s="501"/>
      <c r="B73" s="501"/>
      <c r="C73" s="1570"/>
      <c r="D73" s="1570"/>
      <c r="E73" s="1570"/>
      <c r="F73" s="1570"/>
      <c r="G73" s="1571"/>
      <c r="I73" s="314"/>
      <c r="J73" s="1570"/>
      <c r="P73" s="315"/>
    </row>
    <row r="74" spans="1:16" s="305" customFormat="1" ht="13.35" customHeight="1">
      <c r="A74" s="501"/>
      <c r="B74" s="501" t="s">
        <v>1749</v>
      </c>
      <c r="C74" s="316" t="s">
        <v>2861</v>
      </c>
      <c r="D74" s="1570"/>
      <c r="E74" s="1570"/>
      <c r="F74" s="1570"/>
      <c r="G74" s="1570"/>
      <c r="H74" s="3657">
        <v>108</v>
      </c>
      <c r="K74" s="1631" t="s">
        <v>3883</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3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35" customHeight="1">
      <c r="A78" s="501"/>
      <c r="B78" s="501" t="s">
        <v>1999</v>
      </c>
      <c r="C78" s="277" t="s">
        <v>2709</v>
      </c>
      <c r="D78" s="1563"/>
      <c r="E78" s="1563"/>
      <c r="F78" s="1570"/>
      <c r="G78" s="1571"/>
      <c r="H78" s="3659" t="s">
        <v>2932</v>
      </c>
      <c r="I78" s="3660"/>
      <c r="K78" s="1620" t="s">
        <v>1785</v>
      </c>
      <c r="L78" s="1620"/>
      <c r="M78" s="3514"/>
      <c r="N78" s="3543"/>
      <c r="O78" s="3543"/>
      <c r="P78" s="3544"/>
    </row>
    <row r="79" spans="1:16" s="305" customFormat="1" ht="3" customHeight="1">
      <c r="A79" s="501"/>
      <c r="B79" s="501"/>
      <c r="D79" s="1560"/>
      <c r="E79" s="1560"/>
      <c r="F79" s="1560"/>
      <c r="G79" s="1560"/>
      <c r="I79" s="1571"/>
      <c r="K79" s="1559"/>
      <c r="L79" s="1559"/>
      <c r="M79" s="1571"/>
      <c r="N79" s="1570"/>
      <c r="P79" s="315"/>
    </row>
    <row r="80" spans="1:16" s="305" customFormat="1" ht="13.35" customHeight="1">
      <c r="A80" s="501"/>
      <c r="B80" s="501"/>
      <c r="E80" s="1563"/>
      <c r="H80" s="1630" t="s">
        <v>3905</v>
      </c>
      <c r="I80" s="1630"/>
      <c r="K80" s="331" t="s">
        <v>2932</v>
      </c>
      <c r="L80" s="3656">
        <v>54</v>
      </c>
      <c r="M80" s="331" t="s">
        <v>2933</v>
      </c>
      <c r="N80" s="3656"/>
      <c r="P80" s="318" t="s">
        <v>3907</v>
      </c>
    </row>
    <row r="81" spans="1:16" s="305" customFormat="1" ht="13.35" customHeight="1">
      <c r="A81" s="501"/>
      <c r="B81" s="501"/>
      <c r="D81" s="1559"/>
      <c r="E81" s="1563"/>
      <c r="H81" s="1630"/>
      <c r="I81" s="1630"/>
      <c r="K81" s="318" t="s">
        <v>2934</v>
      </c>
      <c r="L81" s="3658"/>
      <c r="M81" s="318" t="s">
        <v>3906</v>
      </c>
      <c r="N81" s="3658"/>
      <c r="P81" s="3661"/>
    </row>
    <row r="82" spans="1:16" s="305" customFormat="1" ht="3" customHeight="1">
      <c r="A82" s="501"/>
      <c r="B82" s="501"/>
      <c r="D82" s="1560"/>
      <c r="E82" s="1560"/>
      <c r="F82" s="1560"/>
      <c r="G82" s="1560"/>
      <c r="I82" s="1571"/>
      <c r="K82" s="1559"/>
      <c r="L82" s="1559"/>
      <c r="M82" s="1571"/>
      <c r="N82" s="1570"/>
      <c r="P82" s="315"/>
    </row>
    <row r="83" spans="1:16" s="305" customFormat="1" ht="13.35" customHeight="1">
      <c r="A83" s="501"/>
      <c r="B83" s="501" t="s">
        <v>2001</v>
      </c>
      <c r="C83" s="316" t="s">
        <v>1423</v>
      </c>
      <c r="D83" s="1570"/>
      <c r="E83" s="329"/>
      <c r="F83" s="1560" t="s">
        <v>804</v>
      </c>
      <c r="H83" s="328">
        <f>'Part VIII-Threshold Criteria'!K301</f>
        <v>3</v>
      </c>
      <c r="K83" s="1620" t="s">
        <v>525</v>
      </c>
      <c r="L83" s="1620"/>
      <c r="N83" s="332">
        <f>IF('Part VI-Revenues &amp; Expenses'!$O$62=0,0,H83/'Part VI-Revenues &amp; Expenses'!$O$62)</f>
        <v>5.5555555555555552E-2</v>
      </c>
      <c r="O83" s="318" t="s">
        <v>3722</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0.66666666666666663</v>
      </c>
      <c r="O84" s="318" t="s">
        <v>3722</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3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3.7037037037037035E-2</v>
      </c>
      <c r="O86" s="318" t="s">
        <v>3722</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3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35" customHeight="1">
      <c r="A90" s="501"/>
      <c r="B90" s="501" t="s">
        <v>1999</v>
      </c>
      <c r="C90" s="277" t="s">
        <v>2392</v>
      </c>
      <c r="D90" s="1560"/>
      <c r="E90" s="1560"/>
      <c r="F90" s="1560"/>
      <c r="H90" s="3662" t="s">
        <v>878</v>
      </c>
      <c r="I90" s="3663"/>
      <c r="J90" s="3664"/>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35" customHeight="1">
      <c r="B92" s="501" t="s">
        <v>2001</v>
      </c>
      <c r="C92" s="307" t="s">
        <v>1546</v>
      </c>
      <c r="K92" s="310" t="s">
        <v>877</v>
      </c>
      <c r="N92" s="334"/>
      <c r="P92" s="3655"/>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35" customHeight="1">
      <c r="A94" s="333" t="s">
        <v>294</v>
      </c>
      <c r="B94" s="1563" t="s">
        <v>2057</v>
      </c>
      <c r="D94" s="1560"/>
    </row>
    <row r="95" spans="1:16" s="305" customFormat="1" ht="3" customHeight="1">
      <c r="A95" s="501"/>
      <c r="B95" s="501"/>
      <c r="D95" s="1560"/>
      <c r="N95" s="1570"/>
      <c r="P95" s="315"/>
    </row>
    <row r="96" spans="1:16" s="305" customFormat="1" ht="13.35" customHeight="1">
      <c r="A96" s="333"/>
      <c r="B96" s="501" t="s">
        <v>1999</v>
      </c>
      <c r="C96" s="307" t="s">
        <v>2726</v>
      </c>
      <c r="F96" s="329" t="s">
        <v>2617</v>
      </c>
      <c r="H96" s="3655" t="s">
        <v>3014</v>
      </c>
      <c r="K96" s="329" t="s">
        <v>3929</v>
      </c>
      <c r="L96" s="3655" t="s">
        <v>3011</v>
      </c>
      <c r="O96" s="312" t="s">
        <v>3923</v>
      </c>
      <c r="P96" s="3655" t="s">
        <v>3014</v>
      </c>
    </row>
    <row r="97" spans="1:16" s="305" customFormat="1" ht="3" customHeight="1">
      <c r="A97" s="501"/>
      <c r="B97" s="501"/>
      <c r="C97" s="1563"/>
      <c r="F97" s="1560"/>
      <c r="H97" s="1560"/>
      <c r="J97" s="1571"/>
      <c r="K97" s="1571"/>
      <c r="L97" s="1571"/>
      <c r="M97" s="1571"/>
      <c r="N97" s="1571"/>
      <c r="P97" s="315"/>
    </row>
    <row r="98" spans="1:16" s="305" customFormat="1" ht="13.35" customHeight="1">
      <c r="A98" s="333"/>
      <c r="B98" s="501" t="s">
        <v>2001</v>
      </c>
      <c r="C98" s="307" t="s">
        <v>2727</v>
      </c>
      <c r="F98" s="1559" t="s">
        <v>2696</v>
      </c>
      <c r="H98" s="3655" t="s">
        <v>3014</v>
      </c>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35" customHeight="1">
      <c r="A100" s="333" t="s">
        <v>428</v>
      </c>
      <c r="B100" s="1563" t="s">
        <v>2801</v>
      </c>
      <c r="D100" s="1560"/>
      <c r="H100" s="3514" t="s">
        <v>2837</v>
      </c>
      <c r="I100" s="3544"/>
      <c r="J100" s="1571"/>
    </row>
    <row r="101" spans="1:16" s="305" customFormat="1" ht="4.5" customHeight="1">
      <c r="A101" s="501"/>
      <c r="D101" s="322"/>
      <c r="E101" s="1570"/>
      <c r="I101" s="322"/>
      <c r="J101" s="314"/>
      <c r="K101" s="1570"/>
      <c r="P101" s="315"/>
    </row>
    <row r="102" spans="1:16" s="305" customFormat="1" ht="13.3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35" customHeight="1">
      <c r="A104" s="501"/>
      <c r="B104" s="501"/>
      <c r="C104" s="314" t="s">
        <v>557</v>
      </c>
      <c r="D104" s="1570"/>
      <c r="E104" s="3586"/>
      <c r="F104" s="3587"/>
      <c r="G104" s="3587"/>
      <c r="H104" s="3587"/>
      <c r="I104" s="3587"/>
      <c r="J104" s="3587"/>
      <c r="K104" s="3587"/>
      <c r="L104" s="3588"/>
      <c r="M104" s="1629" t="s">
        <v>558</v>
      </c>
      <c r="N104" s="1629"/>
      <c r="O104" s="3665"/>
      <c r="P104" s="3666"/>
    </row>
    <row r="105" spans="1:16" s="305" customFormat="1" ht="13.35" customHeight="1">
      <c r="C105" s="310" t="s">
        <v>1031</v>
      </c>
      <c r="D105" s="318"/>
      <c r="E105" s="3589"/>
      <c r="F105" s="3590"/>
      <c r="G105" s="3590"/>
      <c r="H105" s="3591"/>
      <c r="I105" s="3590"/>
      <c r="J105" s="3591"/>
      <c r="K105" s="3590"/>
      <c r="L105" s="3593"/>
      <c r="M105" s="1629" t="s">
        <v>816</v>
      </c>
      <c r="N105" s="1629"/>
      <c r="O105" s="3667"/>
      <c r="P105" s="3668"/>
    </row>
    <row r="106" spans="1:16" s="305" customFormat="1" ht="13.35" customHeight="1">
      <c r="C106" s="310" t="s">
        <v>624</v>
      </c>
      <c r="E106" s="3609"/>
      <c r="F106" s="3669"/>
      <c r="G106" s="3670"/>
      <c r="H106" s="1561" t="s">
        <v>1812</v>
      </c>
      <c r="I106" s="3671"/>
      <c r="J106" s="335" t="s">
        <v>2245</v>
      </c>
      <c r="K106" s="3672"/>
      <c r="L106" s="3673"/>
      <c r="M106" s="280" t="s">
        <v>3689</v>
      </c>
      <c r="N106" s="280"/>
      <c r="O106" s="3674"/>
      <c r="P106" s="3675"/>
    </row>
    <row r="107" spans="1:16" s="305" customFormat="1" ht="13.35" customHeight="1">
      <c r="C107" s="305" t="s">
        <v>2210</v>
      </c>
      <c r="E107" s="3609"/>
      <c r="F107" s="3669"/>
      <c r="G107" s="3670"/>
      <c r="H107" s="1039" t="s">
        <v>1996</v>
      </c>
      <c r="I107" s="3676"/>
      <c r="J107" s="3677"/>
      <c r="K107" s="3533"/>
      <c r="L107" s="1581" t="s">
        <v>2000</v>
      </c>
      <c r="M107" s="3586"/>
      <c r="N107" s="3678"/>
      <c r="O107" s="3679"/>
      <c r="P107" s="3680"/>
    </row>
    <row r="108" spans="1:16" s="305" customFormat="1" ht="13.35" customHeight="1">
      <c r="C108" s="310" t="s">
        <v>2209</v>
      </c>
      <c r="E108" s="3604"/>
      <c r="F108" s="3681"/>
      <c r="G108" s="3605"/>
      <c r="H108" s="1039" t="s">
        <v>1815</v>
      </c>
      <c r="I108" s="3604"/>
      <c r="J108" s="3682"/>
      <c r="K108" s="1561" t="s">
        <v>2722</v>
      </c>
      <c r="L108" s="3526"/>
      <c r="M108" s="3683"/>
      <c r="N108" s="3683"/>
      <c r="O108" s="3683"/>
      <c r="P108" s="3684"/>
    </row>
    <row r="109" spans="1:16" s="305" customFormat="1" ht="3" customHeight="1">
      <c r="A109" s="501"/>
      <c r="B109" s="501"/>
      <c r="G109" s="322"/>
      <c r="H109" s="1571"/>
      <c r="I109" s="1571"/>
      <c r="M109" s="315"/>
    </row>
    <row r="110" spans="1:16" s="305" customFormat="1" ht="13.3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35" customHeight="1">
      <c r="B112" s="329" t="s">
        <v>2169</v>
      </c>
      <c r="D112" s="336"/>
      <c r="E112" s="336"/>
      <c r="F112" s="336"/>
      <c r="G112" s="336"/>
      <c r="H112" s="336"/>
      <c r="I112" s="336"/>
      <c r="J112" s="336"/>
      <c r="K112" s="336"/>
      <c r="L112" s="336"/>
      <c r="M112" s="336"/>
      <c r="N112" s="336"/>
      <c r="O112" s="336"/>
      <c r="P112" s="336"/>
    </row>
    <row r="113" spans="1:16" s="305" customFormat="1" ht="5.0999999999999996" customHeight="1">
      <c r="A113" s="501"/>
      <c r="B113" s="501"/>
      <c r="C113" s="337"/>
      <c r="D113" s="337"/>
      <c r="E113" s="337"/>
      <c r="F113" s="337"/>
      <c r="G113" s="337"/>
      <c r="H113" s="337"/>
      <c r="I113" s="337"/>
      <c r="J113" s="337"/>
      <c r="K113" s="337"/>
      <c r="L113" s="337"/>
      <c r="M113" s="337"/>
      <c r="N113" s="337"/>
      <c r="O113" s="337"/>
      <c r="P113" s="337"/>
    </row>
    <row r="114" spans="1:16" s="305" customFormat="1" ht="13.35" customHeight="1">
      <c r="A114" s="501"/>
      <c r="B114" s="501" t="s">
        <v>1999</v>
      </c>
      <c r="C114" s="1563" t="s">
        <v>1424</v>
      </c>
      <c r="D114" s="1560"/>
      <c r="E114" s="1560"/>
      <c r="F114" s="1571"/>
      <c r="G114" s="1571"/>
      <c r="H114" s="3685">
        <v>3</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35" customHeight="1">
      <c r="A116" s="501"/>
      <c r="B116" s="501" t="s">
        <v>2001</v>
      </c>
      <c r="C116" s="1563" t="s">
        <v>418</v>
      </c>
      <c r="D116" s="1560"/>
      <c r="E116" s="1560"/>
      <c r="F116" s="1571"/>
      <c r="G116" s="1571"/>
      <c r="H116" s="3686">
        <v>2060206</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35" customHeight="1">
      <c r="B118" s="501" t="s">
        <v>757</v>
      </c>
      <c r="C118" s="1563" t="s">
        <v>304</v>
      </c>
      <c r="D118" s="1560"/>
      <c r="E118" s="1560"/>
      <c r="F118" s="1571"/>
      <c r="G118" s="1571"/>
      <c r="H118" s="1571"/>
      <c r="I118" s="1571"/>
      <c r="J118" s="322"/>
      <c r="K118" s="1571"/>
      <c r="L118" s="1571"/>
      <c r="N118" s="1570"/>
      <c r="O118" s="1570"/>
    </row>
    <row r="119" spans="1:16" s="305" customFormat="1" ht="13.3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35" customHeight="1">
      <c r="A120" s="501"/>
      <c r="B120" s="501"/>
      <c r="C120" s="3687" t="s">
        <v>4552</v>
      </c>
      <c r="D120" s="3688"/>
      <c r="E120" s="3688"/>
      <c r="F120" s="3689" t="s">
        <v>4667</v>
      </c>
      <c r="G120" s="3444"/>
      <c r="H120" s="3690"/>
      <c r="I120" s="3691" t="s">
        <v>4669</v>
      </c>
      <c r="J120" s="3687">
        <v>7</v>
      </c>
      <c r="K120" s="3688"/>
      <c r="L120" s="3688"/>
      <c r="M120" s="3689"/>
      <c r="N120" s="3444"/>
      <c r="O120" s="3690"/>
      <c r="P120" s="3691"/>
    </row>
    <row r="121" spans="1:16" s="305" customFormat="1" ht="13.35" customHeight="1">
      <c r="A121" s="501"/>
      <c r="B121" s="501"/>
      <c r="C121" s="3692" t="s">
        <v>4552</v>
      </c>
      <c r="D121" s="3693"/>
      <c r="E121" s="3693"/>
      <c r="F121" s="3694" t="s">
        <v>4668</v>
      </c>
      <c r="G121" s="3695"/>
      <c r="H121" s="3696"/>
      <c r="I121" s="3697" t="s">
        <v>4669</v>
      </c>
      <c r="J121" s="3692">
        <v>8</v>
      </c>
      <c r="K121" s="3693"/>
      <c r="L121" s="3693"/>
      <c r="M121" s="3694"/>
      <c r="N121" s="3695"/>
      <c r="O121" s="3696"/>
      <c r="P121" s="3697"/>
    </row>
    <row r="122" spans="1:16" s="305" customFormat="1" ht="13.35" customHeight="1">
      <c r="A122" s="501"/>
      <c r="B122" s="501"/>
      <c r="C122" s="3692">
        <v>3</v>
      </c>
      <c r="D122" s="3693"/>
      <c r="E122" s="3693"/>
      <c r="F122" s="3694"/>
      <c r="G122" s="3695"/>
      <c r="H122" s="3696"/>
      <c r="I122" s="3697"/>
      <c r="J122" s="3692">
        <v>9</v>
      </c>
      <c r="K122" s="3693"/>
      <c r="L122" s="3693"/>
      <c r="M122" s="3694"/>
      <c r="N122" s="3695"/>
      <c r="O122" s="3696"/>
      <c r="P122" s="3697"/>
    </row>
    <row r="123" spans="1:16" s="305" customFormat="1" ht="13.35" customHeight="1">
      <c r="A123" s="501"/>
      <c r="B123" s="501"/>
      <c r="C123" s="3692">
        <v>4</v>
      </c>
      <c r="D123" s="3693"/>
      <c r="E123" s="3693"/>
      <c r="F123" s="3694"/>
      <c r="G123" s="3695"/>
      <c r="H123" s="3696"/>
      <c r="I123" s="3697"/>
      <c r="J123" s="3692">
        <v>10</v>
      </c>
      <c r="K123" s="3693"/>
      <c r="L123" s="3693"/>
      <c r="M123" s="3694"/>
      <c r="N123" s="3695"/>
      <c r="O123" s="3696"/>
      <c r="P123" s="3697"/>
    </row>
    <row r="124" spans="1:16" s="305" customFormat="1" ht="13.35" customHeight="1">
      <c r="A124" s="501"/>
      <c r="B124" s="501"/>
      <c r="C124" s="3692">
        <v>5</v>
      </c>
      <c r="D124" s="3693"/>
      <c r="E124" s="3693"/>
      <c r="F124" s="3694"/>
      <c r="G124" s="3695"/>
      <c r="H124" s="3696"/>
      <c r="I124" s="3697"/>
      <c r="J124" s="3692">
        <v>11</v>
      </c>
      <c r="K124" s="3693"/>
      <c r="L124" s="3693"/>
      <c r="M124" s="3694"/>
      <c r="N124" s="3695"/>
      <c r="O124" s="3696"/>
      <c r="P124" s="3697"/>
    </row>
    <row r="125" spans="1:16" s="305" customFormat="1" ht="13.35" customHeight="1">
      <c r="A125" s="501"/>
      <c r="B125" s="501"/>
      <c r="C125" s="3698">
        <v>6</v>
      </c>
      <c r="D125" s="3699"/>
      <c r="E125" s="3699"/>
      <c r="F125" s="3700"/>
      <c r="G125" s="3701"/>
      <c r="H125" s="3702"/>
      <c r="I125" s="3703"/>
      <c r="J125" s="3698">
        <v>12</v>
      </c>
      <c r="K125" s="3699"/>
      <c r="L125" s="3699"/>
      <c r="M125" s="3700"/>
      <c r="N125" s="3701"/>
      <c r="O125" s="3702"/>
      <c r="P125" s="3703"/>
    </row>
    <row r="126" spans="1:16" s="305" customFormat="1" ht="5.0999999999999996" customHeight="1">
      <c r="A126" s="501"/>
      <c r="B126" s="501"/>
      <c r="C126" s="337"/>
      <c r="D126" s="337"/>
      <c r="E126" s="337"/>
      <c r="F126" s="337"/>
      <c r="G126" s="337"/>
      <c r="H126" s="337"/>
      <c r="I126" s="337"/>
      <c r="J126" s="337"/>
      <c r="K126" s="337"/>
      <c r="L126" s="337"/>
      <c r="M126" s="337"/>
      <c r="N126" s="337"/>
      <c r="O126" s="337"/>
      <c r="P126" s="337"/>
    </row>
    <row r="127" spans="1:16" s="305" customFormat="1" ht="13.3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3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3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35" customHeight="1">
      <c r="A130" s="501"/>
      <c r="B130" s="501"/>
      <c r="C130" s="3687">
        <v>1</v>
      </c>
      <c r="D130" s="3688"/>
      <c r="E130" s="3688"/>
      <c r="F130" s="3689"/>
      <c r="G130" s="3444"/>
      <c r="H130" s="3444"/>
      <c r="I130" s="3445"/>
      <c r="J130" s="3687">
        <v>7</v>
      </c>
      <c r="K130" s="3688"/>
      <c r="L130" s="3688"/>
      <c r="M130" s="3689"/>
      <c r="N130" s="3444"/>
      <c r="O130" s="3444"/>
      <c r="P130" s="3445"/>
    </row>
    <row r="131" spans="1:16" s="305" customFormat="1" ht="13.35" customHeight="1">
      <c r="A131" s="501"/>
      <c r="B131" s="501"/>
      <c r="C131" s="3692">
        <v>2</v>
      </c>
      <c r="D131" s="3693"/>
      <c r="E131" s="3693"/>
      <c r="F131" s="3694"/>
      <c r="G131" s="3695"/>
      <c r="H131" s="3695"/>
      <c r="I131" s="3704"/>
      <c r="J131" s="3692">
        <v>8</v>
      </c>
      <c r="K131" s="3693"/>
      <c r="L131" s="3693"/>
      <c r="M131" s="3694"/>
      <c r="N131" s="3695"/>
      <c r="O131" s="3695"/>
      <c r="P131" s="3704"/>
    </row>
    <row r="132" spans="1:16" s="305" customFormat="1" ht="13.35" customHeight="1">
      <c r="A132" s="501"/>
      <c r="B132" s="501"/>
      <c r="C132" s="3692">
        <v>3</v>
      </c>
      <c r="D132" s="3693"/>
      <c r="E132" s="3693"/>
      <c r="F132" s="3694"/>
      <c r="G132" s="3695"/>
      <c r="H132" s="3695"/>
      <c r="I132" s="3704"/>
      <c r="J132" s="3692">
        <v>9</v>
      </c>
      <c r="K132" s="3693"/>
      <c r="L132" s="3693"/>
      <c r="M132" s="3694"/>
      <c r="N132" s="3695"/>
      <c r="O132" s="3695"/>
      <c r="P132" s="3704"/>
    </row>
    <row r="133" spans="1:16" s="305" customFormat="1" ht="13.35" customHeight="1">
      <c r="A133" s="501"/>
      <c r="B133" s="501"/>
      <c r="C133" s="3692">
        <v>4</v>
      </c>
      <c r="D133" s="3693"/>
      <c r="E133" s="3693"/>
      <c r="F133" s="3694"/>
      <c r="G133" s="3695"/>
      <c r="H133" s="3695"/>
      <c r="I133" s="3704"/>
      <c r="J133" s="3692">
        <v>10</v>
      </c>
      <c r="K133" s="3693"/>
      <c r="L133" s="3693"/>
      <c r="M133" s="3694"/>
      <c r="N133" s="3695"/>
      <c r="O133" s="3695"/>
      <c r="P133" s="3704"/>
    </row>
    <row r="134" spans="1:16" s="305" customFormat="1" ht="13.35" customHeight="1">
      <c r="A134" s="501"/>
      <c r="B134" s="501"/>
      <c r="C134" s="3692">
        <v>5</v>
      </c>
      <c r="D134" s="3693"/>
      <c r="E134" s="3693"/>
      <c r="F134" s="3694"/>
      <c r="G134" s="3695"/>
      <c r="H134" s="3695"/>
      <c r="I134" s="3704"/>
      <c r="J134" s="3692">
        <v>11</v>
      </c>
      <c r="K134" s="3693"/>
      <c r="L134" s="3693"/>
      <c r="M134" s="3694"/>
      <c r="N134" s="3695"/>
      <c r="O134" s="3695"/>
      <c r="P134" s="3704"/>
    </row>
    <row r="135" spans="1:16" s="305" customFormat="1" ht="13.35" customHeight="1">
      <c r="A135" s="501"/>
      <c r="B135" s="501"/>
      <c r="C135" s="3698">
        <v>6</v>
      </c>
      <c r="D135" s="3699"/>
      <c r="E135" s="3699"/>
      <c r="F135" s="3700"/>
      <c r="G135" s="3701"/>
      <c r="H135" s="3701"/>
      <c r="I135" s="3705"/>
      <c r="J135" s="3698">
        <v>12</v>
      </c>
      <c r="K135" s="3699"/>
      <c r="L135" s="3699"/>
      <c r="M135" s="3700"/>
      <c r="N135" s="3701"/>
      <c r="O135" s="3701"/>
      <c r="P135" s="370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35" customHeight="1">
      <c r="A138" s="333" t="s">
        <v>366</v>
      </c>
      <c r="B138" s="330" t="s">
        <v>2434</v>
      </c>
      <c r="D138" s="330"/>
      <c r="E138" s="330"/>
      <c r="F138" s="330"/>
      <c r="I138" s="3655"/>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35" customHeight="1">
      <c r="A140" s="501"/>
      <c r="B140" s="501" t="s">
        <v>1999</v>
      </c>
      <c r="C140" s="311" t="s">
        <v>1726</v>
      </c>
      <c r="I140" s="3424"/>
      <c r="M140" s="1571"/>
      <c r="N140" s="1570"/>
      <c r="O140" s="1570"/>
      <c r="P140" s="315"/>
    </row>
    <row r="141" spans="1:16" s="305" customFormat="1" ht="13.35" customHeight="1">
      <c r="A141" s="501"/>
      <c r="B141" s="501"/>
      <c r="C141" s="1560" t="s">
        <v>2436</v>
      </c>
      <c r="D141" s="1560"/>
      <c r="E141" s="1560"/>
      <c r="F141" s="1571"/>
      <c r="I141" s="3706"/>
      <c r="N141" s="1570"/>
      <c r="O141" s="1570"/>
      <c r="P141" s="315"/>
    </row>
    <row r="142" spans="1:16" s="305" customFormat="1" ht="13.35" customHeight="1">
      <c r="A142" s="501"/>
      <c r="B142" s="501"/>
      <c r="C142" s="338" t="s">
        <v>1725</v>
      </c>
      <c r="D142" s="310"/>
      <c r="I142" s="3427"/>
      <c r="P142" s="315"/>
    </row>
    <row r="143" spans="1:16" s="305" customFormat="1" ht="13.35" customHeight="1">
      <c r="A143" s="501"/>
      <c r="B143" s="501"/>
      <c r="C143" s="1560" t="s">
        <v>2437</v>
      </c>
      <c r="D143" s="1560"/>
      <c r="E143" s="1560"/>
      <c r="F143" s="1571"/>
      <c r="I143" s="3706"/>
      <c r="K143" s="280" t="s">
        <v>2261</v>
      </c>
      <c r="O143" s="3586" t="s">
        <v>489</v>
      </c>
      <c r="P143" s="3588"/>
    </row>
    <row r="144" spans="1:16" s="305" customFormat="1" ht="13.35" customHeight="1">
      <c r="A144" s="501"/>
      <c r="B144" s="501"/>
      <c r="C144" s="1560" t="s">
        <v>2435</v>
      </c>
      <c r="F144" s="1571"/>
      <c r="I144" s="3707"/>
      <c r="K144" s="280" t="s">
        <v>2262</v>
      </c>
      <c r="O144" s="3612" t="s">
        <v>489</v>
      </c>
      <c r="P144" s="3592"/>
    </row>
    <row r="145" spans="1:16" s="305" customFormat="1" ht="13.35" customHeight="1">
      <c r="A145" s="501"/>
      <c r="B145" s="501"/>
      <c r="C145" s="1560" t="s">
        <v>2182</v>
      </c>
      <c r="D145" s="1560"/>
      <c r="E145" s="1560"/>
      <c r="F145" s="1571"/>
      <c r="I145" s="3708"/>
      <c r="J145" s="3709"/>
      <c r="N145" s="1570"/>
      <c r="O145" s="1570"/>
      <c r="P145" s="315"/>
    </row>
    <row r="146" spans="1:16" s="305" customFormat="1" ht="3" customHeight="1">
      <c r="A146" s="501"/>
      <c r="B146" s="501"/>
      <c r="C146" s="1560"/>
      <c r="D146" s="1560"/>
      <c r="E146" s="1560"/>
      <c r="F146" s="1571"/>
      <c r="N146" s="1570"/>
      <c r="O146" s="1570"/>
      <c r="P146" s="315"/>
    </row>
    <row r="147" spans="1:16" s="305" customFormat="1" ht="13.35" customHeight="1">
      <c r="A147" s="501"/>
      <c r="B147" s="501" t="s">
        <v>2001</v>
      </c>
      <c r="C147" s="1563" t="s">
        <v>2506</v>
      </c>
      <c r="D147" s="1560"/>
      <c r="E147" s="1560"/>
      <c r="F147" s="1571"/>
      <c r="I147" s="3685"/>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35" customHeight="1">
      <c r="A149" s="501"/>
      <c r="B149" s="501" t="s">
        <v>757</v>
      </c>
      <c r="C149" s="1563" t="s">
        <v>2719</v>
      </c>
      <c r="D149" s="1560"/>
      <c r="E149" s="1560"/>
      <c r="F149" s="1571"/>
      <c r="G149" s="1571"/>
      <c r="N149" s="1570"/>
      <c r="O149" s="1570"/>
      <c r="P149" s="315"/>
    </row>
    <row r="150" spans="1:16" s="305" customFormat="1" ht="13.35" customHeight="1">
      <c r="A150" s="501"/>
      <c r="B150" s="501"/>
      <c r="C150" s="1560" t="s">
        <v>726</v>
      </c>
      <c r="D150" s="1560"/>
      <c r="E150" s="1560"/>
      <c r="F150" s="1571"/>
      <c r="G150" s="1571"/>
      <c r="I150" s="3685"/>
      <c r="K150" s="1560" t="s">
        <v>1547</v>
      </c>
      <c r="L150" s="1560"/>
      <c r="M150" s="1571"/>
      <c r="N150" s="1571"/>
      <c r="O150" s="3685"/>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35" customHeight="1">
      <c r="A152" s="333" t="s">
        <v>1739</v>
      </c>
      <c r="B152" s="330" t="s">
        <v>1201</v>
      </c>
      <c r="D152" s="330"/>
      <c r="E152" s="330"/>
      <c r="F152" s="330"/>
      <c r="G152" s="1571"/>
      <c r="H152" s="1571"/>
      <c r="I152" s="1571"/>
      <c r="J152" s="322"/>
      <c r="K152" s="1571"/>
      <c r="L152" s="1571"/>
      <c r="N152" s="1570"/>
      <c r="O152" s="1570"/>
      <c r="P152" s="315"/>
    </row>
    <row r="153" spans="1:16" s="305" customFormat="1" ht="2.1" customHeight="1">
      <c r="A153" s="333"/>
      <c r="B153" s="501"/>
      <c r="C153" s="1563"/>
      <c r="D153" s="1563"/>
      <c r="E153" s="1563"/>
      <c r="F153" s="1563"/>
      <c r="G153" s="1571"/>
      <c r="H153" s="1571"/>
      <c r="I153" s="1571"/>
      <c r="J153" s="322"/>
      <c r="K153" s="1571"/>
      <c r="L153" s="1571"/>
      <c r="N153" s="1570"/>
      <c r="O153" s="1570"/>
    </row>
    <row r="154" spans="1:16" s="305" customFormat="1" ht="13.3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0"/>
      <c r="N155" s="1570"/>
      <c r="O155" s="1570"/>
      <c r="P155" s="315"/>
    </row>
    <row r="156" spans="1:16" s="305" customFormat="1" ht="12.6" customHeight="1">
      <c r="A156" s="501"/>
      <c r="B156" s="501"/>
      <c r="C156" s="305" t="s">
        <v>621</v>
      </c>
      <c r="K156" s="3711"/>
      <c r="L156" s="310" t="s">
        <v>1808</v>
      </c>
      <c r="P156" s="339">
        <f>IF('Part VI-Revenues &amp; Expenses'!O$60=0,0,K156/'Part VI-Revenues &amp; Expenses'!$O$60)</f>
        <v>0</v>
      </c>
    </row>
    <row r="157" spans="1:16" s="305" customFormat="1" ht="12.6" customHeight="1">
      <c r="A157" s="501"/>
      <c r="B157" s="501"/>
      <c r="C157" s="305" t="s">
        <v>3754</v>
      </c>
      <c r="H157" s="3657"/>
      <c r="I157" s="179"/>
      <c r="J157" s="901" t="s">
        <v>3753</v>
      </c>
      <c r="K157" s="371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6"/>
      <c r="F158" s="3587"/>
      <c r="G158" s="3587"/>
      <c r="H158" s="3587"/>
      <c r="I158" s="3587"/>
      <c r="J158" s="3587"/>
      <c r="K158" s="3618"/>
      <c r="L158" s="340" t="s">
        <v>1810</v>
      </c>
      <c r="M158" s="3712"/>
      <c r="N158" s="3713"/>
      <c r="O158" s="3713"/>
      <c r="P158" s="3714"/>
    </row>
    <row r="159" spans="1:16" s="305" customFormat="1" ht="12.6" customHeight="1">
      <c r="A159" s="501"/>
      <c r="B159" s="501"/>
      <c r="C159" s="310" t="s">
        <v>1811</v>
      </c>
      <c r="D159" s="318"/>
      <c r="E159" s="3589"/>
      <c r="F159" s="3590"/>
      <c r="G159" s="3590"/>
      <c r="H159" s="3590"/>
      <c r="I159" s="3591"/>
      <c r="J159" s="3590"/>
      <c r="K159" s="3593"/>
      <c r="L159" s="340" t="s">
        <v>1815</v>
      </c>
      <c r="M159" s="3715"/>
      <c r="N159" s="3716"/>
      <c r="O159" s="3717"/>
    </row>
    <row r="160" spans="1:16" s="305" customFormat="1" ht="12.6" customHeight="1">
      <c r="A160" s="501"/>
      <c r="B160" s="501"/>
      <c r="C160" s="310" t="s">
        <v>624</v>
      </c>
      <c r="E160" s="3612"/>
      <c r="F160" s="3591"/>
      <c r="G160" s="3591"/>
      <c r="H160" s="3592"/>
      <c r="I160" s="335" t="s">
        <v>2245</v>
      </c>
      <c r="J160" s="3595"/>
      <c r="K160" s="3597"/>
      <c r="L160" s="341" t="s">
        <v>1995</v>
      </c>
      <c r="M160" s="3715"/>
      <c r="N160" s="3716"/>
      <c r="O160" s="3717"/>
    </row>
    <row r="161" spans="1:16" s="305" customFormat="1" ht="12.6" customHeight="1">
      <c r="A161" s="501"/>
      <c r="B161" s="501"/>
      <c r="C161" s="310" t="s">
        <v>1814</v>
      </c>
      <c r="E161" s="3604"/>
      <c r="F161" s="3681"/>
      <c r="G161" s="3605"/>
      <c r="H161" s="1557"/>
      <c r="I161" s="1562" t="s">
        <v>1813</v>
      </c>
      <c r="J161" s="3718"/>
      <c r="K161" s="3683"/>
      <c r="L161" s="3527"/>
      <c r="M161" s="3683"/>
      <c r="N161" s="3683"/>
      <c r="O161" s="3683"/>
      <c r="P161" s="352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85"/>
      <c r="J163" s="1621" t="s">
        <v>769</v>
      </c>
      <c r="K163" s="1622"/>
      <c r="L163" s="3685"/>
      <c r="M163" s="1623" t="s">
        <v>2342</v>
      </c>
      <c r="N163" s="1624"/>
      <c r="O163" s="1625"/>
      <c r="P163" s="371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85" t="s">
        <v>3011</v>
      </c>
      <c r="J165" s="1621" t="s">
        <v>769</v>
      </c>
      <c r="K165" s="1622"/>
      <c r="L165" s="3685">
        <v>2040</v>
      </c>
      <c r="M165" s="1623" t="s">
        <v>2342</v>
      </c>
      <c r="N165" s="1624"/>
      <c r="O165" s="1625"/>
      <c r="P165" s="3719">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5"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5" t="s">
        <v>3014</v>
      </c>
      <c r="J169" s="345" t="s">
        <v>2771</v>
      </c>
      <c r="L169" s="1627" t="s">
        <v>3729</v>
      </c>
      <c r="M169" s="1627"/>
      <c r="N169" s="1563"/>
      <c r="O169" s="1563"/>
      <c r="P169" s="3656"/>
    </row>
    <row r="170" spans="1:16" s="305" customFormat="1" ht="12.6" customHeight="1">
      <c r="B170" s="501"/>
      <c r="L170" s="1620" t="s">
        <v>805</v>
      </c>
      <c r="M170" s="1620"/>
      <c r="N170" s="1563"/>
      <c r="O170" s="1563"/>
      <c r="P170" s="3658"/>
    </row>
    <row r="171" spans="1:16" s="305" customFormat="1" ht="12.6" customHeight="1">
      <c r="A171" s="501"/>
      <c r="B171" s="501"/>
      <c r="L171" s="1620" t="s">
        <v>1804</v>
      </c>
      <c r="M171" s="1620"/>
      <c r="N171" s="1563"/>
      <c r="O171" s="1563"/>
      <c r="P171" s="344" t="str">
        <f>IF(P169="","",P170/P169)</f>
        <v/>
      </c>
    </row>
    <row r="172" spans="1:16" s="305" customFormat="1" ht="13.3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0" t="s">
        <v>3014</v>
      </c>
      <c r="L173" s="1570" t="s">
        <v>1622</v>
      </c>
      <c r="M173" s="1570"/>
      <c r="N173" s="1570"/>
      <c r="P173" s="3710" t="s">
        <v>3011</v>
      </c>
    </row>
    <row r="174" spans="1:16" s="305" customFormat="1" ht="12.6" customHeight="1">
      <c r="A174" s="501"/>
      <c r="B174" s="501"/>
      <c r="C174" s="1570" t="s">
        <v>2229</v>
      </c>
      <c r="I174" s="3707" t="s">
        <v>3014</v>
      </c>
      <c r="L174" s="1570" t="s">
        <v>2864</v>
      </c>
      <c r="M174" s="1570"/>
      <c r="N174" s="1570"/>
      <c r="P174" s="3707" t="s">
        <v>3014</v>
      </c>
    </row>
    <row r="175" spans="1:16" s="305" customFormat="1" ht="12.6" customHeight="1">
      <c r="A175" s="501"/>
      <c r="C175" s="1570" t="s">
        <v>2740</v>
      </c>
      <c r="I175" s="3707" t="s">
        <v>3014</v>
      </c>
      <c r="L175" s="1570" t="s">
        <v>2707</v>
      </c>
      <c r="N175" s="3720"/>
      <c r="O175" s="3721"/>
      <c r="P175" s="3707" t="s">
        <v>3014</v>
      </c>
    </row>
    <row r="176" spans="1:16" s="305" customFormat="1" ht="12.6" customHeight="1">
      <c r="A176" s="501"/>
      <c r="B176" s="501"/>
      <c r="C176" s="1570" t="s">
        <v>1297</v>
      </c>
      <c r="D176" s="346"/>
      <c r="I176" s="3707" t="s">
        <v>3014</v>
      </c>
      <c r="K176" s="316"/>
      <c r="L176" s="1570" t="s">
        <v>3506</v>
      </c>
      <c r="M176" s="1570"/>
      <c r="N176" s="1570"/>
      <c r="P176" s="3707" t="s">
        <v>3014</v>
      </c>
    </row>
    <row r="177" spans="1:21" s="305" customFormat="1" ht="12.6" customHeight="1">
      <c r="A177" s="501"/>
      <c r="B177" s="307"/>
      <c r="C177" s="1570" t="s">
        <v>1820</v>
      </c>
      <c r="I177" s="3707" t="s">
        <v>3014</v>
      </c>
      <c r="J177" s="345" t="s">
        <v>2772</v>
      </c>
      <c r="O177" s="3722"/>
      <c r="P177" s="3723"/>
    </row>
    <row r="178" spans="1:21" s="305" customFormat="1" ht="12.6" customHeight="1">
      <c r="A178" s="501"/>
      <c r="B178" s="501"/>
      <c r="C178" s="1570" t="s">
        <v>2922</v>
      </c>
      <c r="I178" s="3724" t="s">
        <v>3014</v>
      </c>
      <c r="J178" s="345" t="s">
        <v>2772</v>
      </c>
      <c r="O178" s="3725"/>
      <c r="P178" s="3726"/>
    </row>
    <row r="179" spans="1:21" s="305" customFormat="1" ht="3" customHeight="1">
      <c r="A179" s="501"/>
      <c r="B179" s="501"/>
      <c r="P179" s="314"/>
    </row>
    <row r="180" spans="1:21" s="305" customFormat="1" ht="13.35" customHeight="1">
      <c r="B180" s="501" t="s">
        <v>1749</v>
      </c>
      <c r="C180" s="311" t="s">
        <v>747</v>
      </c>
    </row>
    <row r="181" spans="1:21" s="305" customFormat="1" ht="12.6" customHeight="1">
      <c r="A181" s="501"/>
      <c r="B181" s="501"/>
      <c r="C181" s="310" t="s">
        <v>645</v>
      </c>
      <c r="D181" s="1560"/>
      <c r="E181" s="1560"/>
      <c r="F181" s="1571"/>
      <c r="G181" s="1571"/>
      <c r="H181" s="3665"/>
      <c r="I181" s="3666"/>
      <c r="N181" s="1570"/>
      <c r="O181" s="1570"/>
      <c r="P181" s="315"/>
    </row>
    <row r="182" spans="1:21" s="305" customFormat="1" ht="12.6" customHeight="1">
      <c r="A182" s="501"/>
      <c r="B182" s="501"/>
      <c r="C182" s="310" t="s">
        <v>278</v>
      </c>
      <c r="D182" s="1560"/>
      <c r="E182" s="1560"/>
      <c r="F182" s="1571"/>
      <c r="G182" s="1571"/>
      <c r="H182" s="3727"/>
      <c r="I182" s="3728"/>
      <c r="N182" s="1570"/>
      <c r="O182" s="1570"/>
      <c r="P182" s="315"/>
    </row>
    <row r="183" spans="1:21" s="305" customFormat="1" ht="12.6" customHeight="1">
      <c r="A183" s="501"/>
      <c r="B183" s="501"/>
      <c r="C183" s="310" t="s">
        <v>2311</v>
      </c>
      <c r="D183" s="1560"/>
      <c r="E183" s="1560"/>
      <c r="F183" s="1571"/>
      <c r="G183" s="1571"/>
      <c r="H183" s="3729">
        <v>43983</v>
      </c>
      <c r="I183" s="3730"/>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31" t="s">
        <v>4716</v>
      </c>
      <c r="B186" s="3732"/>
      <c r="C186" s="3732"/>
      <c r="D186" s="3732"/>
      <c r="E186" s="3732"/>
      <c r="F186" s="3732"/>
      <c r="G186" s="3732"/>
      <c r="H186" s="3732"/>
      <c r="I186" s="3732"/>
      <c r="J186" s="3732"/>
      <c r="K186" s="3732"/>
      <c r="L186" s="3733"/>
      <c r="M186" s="3734"/>
      <c r="N186" s="3735"/>
      <c r="O186" s="3735"/>
      <c r="P186" s="373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3.1"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95</v>
      </c>
      <c r="S613" s="3740" t="s">
        <v>97</v>
      </c>
      <c r="T613" s="374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2578</v>
      </c>
      <c r="S614" s="3740" t="s">
        <v>634</v>
      </c>
      <c r="T614" s="374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2579</v>
      </c>
      <c r="S615" s="3740" t="s">
        <v>321</v>
      </c>
      <c r="T615" s="374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2580</v>
      </c>
      <c r="S616" s="3740" t="s">
        <v>2499</v>
      </c>
      <c r="T616" s="374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2581</v>
      </c>
      <c r="S617" s="3740"/>
      <c r="T617" s="374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2582</v>
      </c>
      <c r="S618" s="3740" t="s">
        <v>2023</v>
      </c>
      <c r="T618" s="374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2583</v>
      </c>
      <c r="S619" s="3740" t="s">
        <v>2499</v>
      </c>
      <c r="T619" s="374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2584</v>
      </c>
      <c r="S620" s="3740" t="s">
        <v>1339</v>
      </c>
      <c r="T620" s="374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2585</v>
      </c>
      <c r="S621" s="3740" t="s">
        <v>2025</v>
      </c>
      <c r="T621" s="374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2586</v>
      </c>
      <c r="S622" s="3740" t="s">
        <v>672</v>
      </c>
      <c r="T622" s="374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2587</v>
      </c>
      <c r="S623" s="3740" t="s">
        <v>634</v>
      </c>
      <c r="T623" s="374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2588</v>
      </c>
      <c r="S624" s="3740" t="s">
        <v>2188</v>
      </c>
      <c r="T624" s="374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2589</v>
      </c>
      <c r="S625" s="3740" t="s">
        <v>2548</v>
      </c>
      <c r="T625" s="374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2260</v>
      </c>
      <c r="S626" s="3740" t="s">
        <v>2545</v>
      </c>
      <c r="T626" s="374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2590</v>
      </c>
      <c r="S627" s="3740" t="s">
        <v>2188</v>
      </c>
      <c r="T627" s="374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2591</v>
      </c>
      <c r="S628" s="3740" t="s">
        <v>2502</v>
      </c>
      <c r="T628" s="374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2592</v>
      </c>
      <c r="S629" s="3740" t="s">
        <v>2023</v>
      </c>
      <c r="T629" s="374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1055</v>
      </c>
      <c r="S630" s="3740" t="s">
        <v>1468</v>
      </c>
      <c r="T630" s="374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913</v>
      </c>
      <c r="S631" s="3740" t="s">
        <v>1113</v>
      </c>
      <c r="T631" s="374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1056</v>
      </c>
      <c r="S632" s="3740" t="s">
        <v>634</v>
      </c>
      <c r="T632" s="374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1057</v>
      </c>
      <c r="S633" s="3740" t="s">
        <v>1926</v>
      </c>
      <c r="T633" s="374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1058</v>
      </c>
      <c r="S634" s="3740" t="s">
        <v>2021</v>
      </c>
      <c r="T634" s="374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1059</v>
      </c>
      <c r="S635" s="3740" t="s">
        <v>1106</v>
      </c>
      <c r="T635" s="374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1060</v>
      </c>
      <c r="S636" s="3740" t="s">
        <v>1532</v>
      </c>
      <c r="T636" s="374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1061</v>
      </c>
      <c r="S637" s="3740" t="s">
        <v>2499</v>
      </c>
      <c r="T637" s="374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1062</v>
      </c>
      <c r="S638" s="3740" t="s">
        <v>160</v>
      </c>
      <c r="T638" s="374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1063</v>
      </c>
      <c r="S639" s="3740" t="s">
        <v>1346</v>
      </c>
      <c r="T639" s="374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1064</v>
      </c>
      <c r="S640" s="3740" t="s">
        <v>1532</v>
      </c>
      <c r="T640" s="374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1065</v>
      </c>
      <c r="S641" s="3740" t="s">
        <v>1120</v>
      </c>
      <c r="T641" s="374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1066</v>
      </c>
      <c r="S642" s="3740" t="s">
        <v>2021</v>
      </c>
      <c r="T642" s="374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1067</v>
      </c>
      <c r="S644" s="3740" t="s">
        <v>2502</v>
      </c>
      <c r="T644" s="374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1619</v>
      </c>
      <c r="S645" s="3740" t="s">
        <v>2545</v>
      </c>
      <c r="T645" s="374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1068</v>
      </c>
      <c r="S646" s="3740"/>
      <c r="T646" s="374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185</v>
      </c>
      <c r="S647" s="3740" t="s">
        <v>160</v>
      </c>
      <c r="T647" s="374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1069</v>
      </c>
      <c r="S648" s="3740" t="s">
        <v>176</v>
      </c>
      <c r="T648" s="374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2301</v>
      </c>
      <c r="S649" s="3740" t="s">
        <v>1218</v>
      </c>
      <c r="T649" s="374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1070</v>
      </c>
      <c r="S650" s="3740" t="s">
        <v>634</v>
      </c>
      <c r="T650" s="374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1071</v>
      </c>
      <c r="S651" s="3740" t="s">
        <v>634</v>
      </c>
      <c r="T651" s="374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1072</v>
      </c>
      <c r="S652" s="3740" t="s">
        <v>634</v>
      </c>
      <c r="T652" s="374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1073</v>
      </c>
      <c r="S653" s="3740" t="s">
        <v>634</v>
      </c>
      <c r="T653" s="374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1074</v>
      </c>
      <c r="S654" s="3740" t="s">
        <v>1681</v>
      </c>
      <c r="T654" s="374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1075</v>
      </c>
      <c r="S655" s="3740" t="s">
        <v>964</v>
      </c>
      <c r="T655" s="374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1076</v>
      </c>
      <c r="S656" s="3740" t="s">
        <v>123</v>
      </c>
      <c r="T656" s="374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1077</v>
      </c>
      <c r="S657" s="3740" t="s">
        <v>634</v>
      </c>
      <c r="T657" s="374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1078</v>
      </c>
      <c r="S658" s="3740" t="s">
        <v>318</v>
      </c>
      <c r="T658" s="374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1079</v>
      </c>
      <c r="S659" s="3740" t="s">
        <v>322</v>
      </c>
      <c r="T659" s="374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840</v>
      </c>
      <c r="S660" s="3740" t="s">
        <v>1325</v>
      </c>
      <c r="T660" s="374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1080</v>
      </c>
      <c r="S661" s="3740" t="s">
        <v>672</v>
      </c>
      <c r="T661" s="374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1081</v>
      </c>
      <c r="S662" s="3740" t="s">
        <v>1532</v>
      </c>
      <c r="T662" s="374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1082</v>
      </c>
      <c r="S663" s="3740" t="s">
        <v>634</v>
      </c>
      <c r="T663" s="374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1083</v>
      </c>
      <c r="S664" s="3740" t="s">
        <v>664</v>
      </c>
      <c r="T664" s="374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1084</v>
      </c>
      <c r="S665" s="3740" t="s">
        <v>160</v>
      </c>
      <c r="T665" s="374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1085</v>
      </c>
      <c r="S666" s="3740" t="s">
        <v>1926</v>
      </c>
      <c r="T666" s="374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1086</v>
      </c>
      <c r="S667" s="3740" t="s">
        <v>2021</v>
      </c>
      <c r="T667" s="374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1087</v>
      </c>
      <c r="S668" s="3740" t="s">
        <v>634</v>
      </c>
      <c r="T668" s="374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1088</v>
      </c>
      <c r="S669" s="3740" t="s">
        <v>1681</v>
      </c>
      <c r="T669" s="374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1089</v>
      </c>
      <c r="S670" s="3740" t="s">
        <v>2502</v>
      </c>
      <c r="T670" s="374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1090</v>
      </c>
      <c r="S671" s="3740" t="s">
        <v>160</v>
      </c>
      <c r="T671" s="374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1091</v>
      </c>
      <c r="S672" s="3740" t="s">
        <v>160</v>
      </c>
      <c r="T672" s="374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d6kbiA/Mzp1Q0jepktBydZlYUClXERo1OQ6cKVcr9qceRPc5xCNGDddBBtH9aVQssLKL5QAWLNZHj8mBOBkaFg==" saltValue="GQ+0q/9H8hlTRCDi7hxa3g==" spinCount="100000" sheet="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topLeftCell="G1" zoomScaleNormal="100" workbookViewId="0">
      <selection sqref="A1:XFD1048576"/>
    </sheetView>
  </sheetViews>
  <sheetFormatPr defaultColWidth="9.140625" defaultRowHeight="12.75"/>
  <cols>
    <col min="1" max="1" width="2.5703125" style="324" customWidth="1"/>
    <col min="2" max="4" width="1.85546875" style="324" customWidth="1"/>
    <col min="5" max="5" width="14.5703125" style="324" customWidth="1"/>
    <col min="6" max="6" width="6.140625" style="324" customWidth="1"/>
    <col min="7" max="7" width="2.5703125" style="324" customWidth="1"/>
    <col min="8" max="8" width="8" style="324" customWidth="1"/>
    <col min="9" max="9" width="6.42578125" style="324" customWidth="1"/>
    <col min="10" max="10" width="8.42578125" style="324" customWidth="1"/>
    <col min="11" max="11" width="9.5703125" style="324" customWidth="1"/>
    <col min="12" max="13" width="8.85546875" style="324" customWidth="1"/>
    <col min="14" max="14" width="9.42578125" style="324" customWidth="1"/>
    <col min="15" max="15" width="9.5703125" style="324" customWidth="1"/>
    <col min="16" max="16" width="6.140625" style="324" customWidth="1"/>
    <col min="17" max="19" width="6.42578125" style="324" customWidth="1"/>
    <col min="20" max="24" width="11.5703125" style="324" customWidth="1"/>
    <col min="25" max="16384" width="9.140625" style="324"/>
  </cols>
  <sheetData>
    <row r="1" spans="1:27" s="305" customFormat="1" ht="14.1" customHeight="1">
      <c r="A1" s="1693" t="str">
        <f>CONCATENATE("PART TWO - DEVELOPMENT TEAM INFORMATION","  -  ",'Part I-Project Information'!$O$6," ",'Part I-Project Information'!$F$34,", ",'Part I-Project Information'!F38,", ",'Part I-Project Information'!J39," County")</f>
        <v>PART TWO - DEVELOPMENT TEAM INFORMATION  -  2018-041 Pointe North Village III, Albany, Dougherty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35" customHeight="1">
      <c r="A3" s="307" t="s">
        <v>622</v>
      </c>
      <c r="B3" s="311" t="s">
        <v>1872</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4" t="s">
        <v>4637</v>
      </c>
      <c r="I5" s="3515"/>
      <c r="J5" s="3515"/>
      <c r="K5" s="3515"/>
      <c r="L5" s="3515"/>
      <c r="M5" s="3515"/>
      <c r="N5" s="3516"/>
      <c r="O5" s="1559" t="s">
        <v>2005</v>
      </c>
      <c r="P5" s="1559"/>
      <c r="Q5" s="3514" t="s">
        <v>4555</v>
      </c>
      <c r="R5" s="3515"/>
      <c r="S5" s="3516"/>
      <c r="Y5" s="1163"/>
      <c r="Z5" s="1164"/>
      <c r="AA5" s="1570"/>
    </row>
    <row r="6" spans="1:27" s="305" customFormat="1" ht="11.25" customHeight="1">
      <c r="D6" s="348"/>
      <c r="E6" s="310" t="s">
        <v>1031</v>
      </c>
      <c r="F6" s="318"/>
      <c r="H6" s="3514" t="s">
        <v>4553</v>
      </c>
      <c r="I6" s="3515"/>
      <c r="J6" s="3515"/>
      <c r="K6" s="3515"/>
      <c r="L6" s="3515"/>
      <c r="M6" s="3515"/>
      <c r="N6" s="3516"/>
      <c r="O6" s="1559" t="s">
        <v>1760</v>
      </c>
      <c r="Q6" s="3514" t="s">
        <v>4559</v>
      </c>
      <c r="R6" s="3515"/>
      <c r="S6" s="3516"/>
      <c r="V6" s="1163"/>
      <c r="W6" s="1163"/>
      <c r="X6" s="1163"/>
      <c r="Y6" s="1163"/>
      <c r="Z6" s="1164"/>
      <c r="AA6" s="1570"/>
    </row>
    <row r="7" spans="1:27" s="305" customFormat="1" ht="11.25" customHeight="1">
      <c r="D7" s="348"/>
      <c r="E7" s="310" t="s">
        <v>624</v>
      </c>
      <c r="H7" s="3514" t="s">
        <v>2180</v>
      </c>
      <c r="I7" s="3515"/>
      <c r="J7" s="3516"/>
      <c r="K7" s="3517" t="s">
        <v>770</v>
      </c>
      <c r="L7" s="3514" t="s">
        <v>3228</v>
      </c>
      <c r="M7" s="3515"/>
      <c r="N7" s="3516"/>
      <c r="O7" s="1559" t="s">
        <v>1734</v>
      </c>
      <c r="Q7" s="3518">
        <v>4042021357</v>
      </c>
      <c r="R7" s="3519"/>
      <c r="S7" s="3520"/>
    </row>
    <row r="8" spans="1:27" s="305" customFormat="1" ht="11.25" customHeight="1">
      <c r="D8" s="348"/>
      <c r="E8" s="310" t="s">
        <v>1812</v>
      </c>
      <c r="H8" s="3521" t="s">
        <v>856</v>
      </c>
      <c r="I8" s="1562" t="s">
        <v>2245</v>
      </c>
      <c r="J8" s="3522">
        <v>300756229</v>
      </c>
      <c r="K8" s="3516"/>
      <c r="L8" s="305" t="s">
        <v>3714</v>
      </c>
      <c r="M8" s="3523" t="s">
        <v>4560</v>
      </c>
      <c r="N8" s="3524"/>
      <c r="O8" s="1559" t="s">
        <v>1995</v>
      </c>
      <c r="Q8" s="3518">
        <v>4042021357</v>
      </c>
      <c r="R8" s="3519"/>
      <c r="S8" s="3520"/>
    </row>
    <row r="9" spans="1:27" s="305" customFormat="1" ht="11.25" customHeight="1">
      <c r="D9" s="348"/>
      <c r="E9" s="310" t="s">
        <v>4315</v>
      </c>
      <c r="H9" s="3518">
        <v>4042021357</v>
      </c>
      <c r="I9" s="3520"/>
      <c r="J9" s="3525"/>
      <c r="K9" s="1571" t="s">
        <v>2000</v>
      </c>
      <c r="L9" s="3526" t="s">
        <v>4554</v>
      </c>
      <c r="M9" s="3527"/>
      <c r="N9" s="3527"/>
      <c r="O9" s="3527"/>
      <c r="P9" s="3527"/>
      <c r="Q9" s="3527"/>
      <c r="R9" s="3527"/>
      <c r="S9" s="3528"/>
    </row>
    <row r="10" spans="1:27" s="305" customFormat="1" ht="11.25" customHeight="1">
      <c r="D10" s="348"/>
      <c r="E10" s="1417" t="s">
        <v>4314</v>
      </c>
      <c r="H10" s="342"/>
      <c r="K10" s="278"/>
      <c r="N10" s="380" t="s">
        <v>3589</v>
      </c>
      <c r="Q10" s="1571"/>
    </row>
    <row r="11" spans="1:27" s="305" customFormat="1" ht="4.3499999999999996"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9" t="s">
        <v>1296</v>
      </c>
      <c r="W12" s="3529"/>
      <c r="X12" s="3529"/>
      <c r="Y12" s="3529"/>
      <c r="Z12" s="3529"/>
    </row>
    <row r="13" spans="1:27" s="305" customFormat="1" ht="11.25" customHeight="1">
      <c r="C13" s="350" t="s">
        <v>2002</v>
      </c>
      <c r="D13" s="347" t="s">
        <v>2003</v>
      </c>
      <c r="H13" s="1570"/>
      <c r="I13" s="1570"/>
      <c r="J13" s="1570"/>
      <c r="N13" s="1165"/>
      <c r="W13" s="3530"/>
      <c r="X13" s="3530"/>
      <c r="Y13" s="3530"/>
      <c r="Z13" s="3530"/>
    </row>
    <row r="14" spans="1:27" s="305" customFormat="1" ht="11.25" customHeight="1">
      <c r="D14" s="307" t="s">
        <v>2132</v>
      </c>
      <c r="E14" s="305" t="s">
        <v>1870</v>
      </c>
      <c r="H14" s="3531" t="s">
        <v>4638</v>
      </c>
      <c r="I14" s="3532"/>
      <c r="J14" s="3532"/>
      <c r="K14" s="3532"/>
      <c r="L14" s="3532"/>
      <c r="M14" s="3532"/>
      <c r="N14" s="3533"/>
      <c r="O14" s="1559" t="s">
        <v>2005</v>
      </c>
      <c r="P14" s="1559"/>
      <c r="Q14" s="3531" t="s">
        <v>4555</v>
      </c>
      <c r="R14" s="3532"/>
      <c r="S14" s="3533"/>
    </row>
    <row r="15" spans="1:27" s="305" customFormat="1" ht="11.25" customHeight="1">
      <c r="D15" s="348"/>
      <c r="E15" s="310" t="s">
        <v>1031</v>
      </c>
      <c r="F15" s="318"/>
      <c r="H15" s="3531" t="s">
        <v>4553</v>
      </c>
      <c r="I15" s="3532"/>
      <c r="J15" s="3532"/>
      <c r="K15" s="3532"/>
      <c r="L15" s="3532"/>
      <c r="M15" s="3532"/>
      <c r="N15" s="3533"/>
      <c r="O15" s="1559" t="s">
        <v>1760</v>
      </c>
      <c r="Q15" s="3531" t="s">
        <v>4559</v>
      </c>
      <c r="R15" s="3532"/>
      <c r="S15" s="3533"/>
    </row>
    <row r="16" spans="1:27" s="305" customFormat="1" ht="11.25" customHeight="1">
      <c r="D16" s="348"/>
      <c r="E16" s="310" t="s">
        <v>624</v>
      </c>
      <c r="H16" s="3531" t="s">
        <v>2180</v>
      </c>
      <c r="I16" s="3532"/>
      <c r="J16" s="3533"/>
      <c r="K16" s="1561" t="s">
        <v>2722</v>
      </c>
      <c r="L16" s="3531" t="s">
        <v>4561</v>
      </c>
      <c r="M16" s="3532"/>
      <c r="N16" s="3533"/>
      <c r="O16" s="1559" t="s">
        <v>1734</v>
      </c>
      <c r="Q16" s="3534">
        <v>4042021357</v>
      </c>
      <c r="R16" s="3535"/>
      <c r="S16" s="3536"/>
    </row>
    <row r="17" spans="3:19" s="305" customFormat="1" ht="11.25" customHeight="1">
      <c r="D17" s="307"/>
      <c r="E17" s="310" t="s">
        <v>1812</v>
      </c>
      <c r="H17" s="3537" t="s">
        <v>856</v>
      </c>
      <c r="K17" s="1562" t="s">
        <v>2245</v>
      </c>
      <c r="L17" s="3538">
        <v>300756229</v>
      </c>
      <c r="M17" s="3539"/>
      <c r="O17" s="1559" t="s">
        <v>1995</v>
      </c>
      <c r="Q17" s="3534">
        <v>4042021357</v>
      </c>
      <c r="R17" s="3535"/>
      <c r="S17" s="3536"/>
    </row>
    <row r="18" spans="3:19" s="305" customFormat="1" ht="11.25" customHeight="1">
      <c r="D18" s="348"/>
      <c r="E18" s="310" t="s">
        <v>4315</v>
      </c>
      <c r="H18" s="3534">
        <v>4042021357</v>
      </c>
      <c r="I18" s="3536"/>
      <c r="J18" s="3540"/>
      <c r="K18" s="1571" t="s">
        <v>2000</v>
      </c>
      <c r="L18" s="3526" t="s">
        <v>4554</v>
      </c>
      <c r="M18" s="3527"/>
      <c r="N18" s="3527"/>
      <c r="O18" s="3527"/>
      <c r="P18" s="3527"/>
      <c r="Q18" s="3527"/>
      <c r="R18" s="3527"/>
      <c r="S18" s="3528"/>
    </row>
    <row r="19" spans="3:19" ht="4.3499999999999996" customHeight="1">
      <c r="D19" s="333"/>
      <c r="H19" s="3541"/>
      <c r="I19" s="3541"/>
      <c r="J19" s="3541"/>
      <c r="K19" s="1571"/>
      <c r="L19" s="3541"/>
      <c r="M19" s="3541"/>
      <c r="N19" s="1558"/>
      <c r="O19" s="1613"/>
      <c r="P19" s="1613"/>
      <c r="Q19" s="1571"/>
      <c r="R19" s="1613"/>
      <c r="S19" s="1613"/>
    </row>
    <row r="20" spans="3:19" s="305" customFormat="1" ht="11.25" customHeight="1">
      <c r="D20" s="307" t="s">
        <v>2133</v>
      </c>
      <c r="E20" s="305" t="s">
        <v>1871</v>
      </c>
      <c r="F20" s="1570"/>
      <c r="H20" s="3531"/>
      <c r="I20" s="3532"/>
      <c r="J20" s="3532"/>
      <c r="K20" s="3532"/>
      <c r="L20" s="3532"/>
      <c r="M20" s="3532"/>
      <c r="N20" s="3533"/>
      <c r="O20" s="1559" t="s">
        <v>2005</v>
      </c>
      <c r="P20" s="1559"/>
      <c r="Q20" s="3531"/>
      <c r="R20" s="3532"/>
      <c r="S20" s="3533"/>
    </row>
    <row r="21" spans="3:19" s="305" customFormat="1" ht="11.25" customHeight="1">
      <c r="D21" s="348"/>
      <c r="E21" s="310" t="s">
        <v>1031</v>
      </c>
      <c r="F21" s="318"/>
      <c r="H21" s="3531"/>
      <c r="I21" s="3532"/>
      <c r="J21" s="3532"/>
      <c r="K21" s="3532"/>
      <c r="L21" s="3532"/>
      <c r="M21" s="3532"/>
      <c r="N21" s="3533"/>
      <c r="O21" s="1559" t="s">
        <v>1760</v>
      </c>
      <c r="Q21" s="3531"/>
      <c r="R21" s="3532"/>
      <c r="S21" s="3533"/>
    </row>
    <row r="22" spans="3:19" s="305" customFormat="1" ht="11.25" customHeight="1">
      <c r="D22" s="348"/>
      <c r="E22" s="310" t="s">
        <v>624</v>
      </c>
      <c r="H22" s="3531"/>
      <c r="I22" s="3532"/>
      <c r="J22" s="3533"/>
      <c r="K22" s="1561" t="s">
        <v>2722</v>
      </c>
      <c r="L22" s="3531"/>
      <c r="M22" s="3532"/>
      <c r="N22" s="3533"/>
      <c r="O22" s="1559" t="s">
        <v>1734</v>
      </c>
      <c r="Q22" s="3534"/>
      <c r="R22" s="3535"/>
      <c r="S22" s="3536"/>
    </row>
    <row r="23" spans="3:19" s="305" customFormat="1" ht="11.25" customHeight="1">
      <c r="E23" s="310" t="s">
        <v>1812</v>
      </c>
      <c r="H23" s="3537"/>
      <c r="K23" s="1562" t="s">
        <v>2245</v>
      </c>
      <c r="L23" s="3538"/>
      <c r="M23" s="3539"/>
      <c r="O23" s="1559" t="s">
        <v>1995</v>
      </c>
      <c r="Q23" s="3534"/>
      <c r="R23" s="3535"/>
      <c r="S23" s="3536"/>
    </row>
    <row r="24" spans="3:19" s="305" customFormat="1" ht="11.25" customHeight="1">
      <c r="D24" s="348"/>
      <c r="E24" s="310" t="s">
        <v>4315</v>
      </c>
      <c r="H24" s="3534"/>
      <c r="I24" s="3536"/>
      <c r="J24" s="3540"/>
      <c r="K24" s="1571" t="s">
        <v>2000</v>
      </c>
      <c r="L24" s="3526"/>
      <c r="M24" s="3527"/>
      <c r="N24" s="3527"/>
      <c r="O24" s="3527"/>
      <c r="P24" s="3527"/>
      <c r="Q24" s="3527"/>
      <c r="R24" s="3527"/>
      <c r="S24" s="3528"/>
    </row>
    <row r="25" spans="3:19" s="305" customFormat="1" ht="4.3499999999999996" customHeight="1">
      <c r="D25" s="348"/>
      <c r="E25" s="1570"/>
      <c r="F25" s="1570"/>
      <c r="G25" s="1559"/>
      <c r="H25" s="3541"/>
      <c r="I25" s="3541"/>
      <c r="J25" s="3541"/>
      <c r="K25" s="1571"/>
      <c r="L25" s="3541"/>
      <c r="M25" s="3541"/>
      <c r="N25" s="1558"/>
      <c r="O25" s="1613"/>
      <c r="P25" s="1613"/>
      <c r="Q25" s="1571"/>
      <c r="R25" s="1613"/>
      <c r="S25" s="1613"/>
    </row>
    <row r="26" spans="3:19" s="305" customFormat="1" ht="11.25" customHeight="1">
      <c r="D26" s="307" t="s">
        <v>1747</v>
      </c>
      <c r="E26" s="305" t="s">
        <v>1871</v>
      </c>
      <c r="F26" s="1570"/>
      <c r="H26" s="3531"/>
      <c r="I26" s="3532"/>
      <c r="J26" s="3532"/>
      <c r="K26" s="3532"/>
      <c r="L26" s="3532"/>
      <c r="M26" s="3532"/>
      <c r="N26" s="3533"/>
      <c r="O26" s="1559" t="s">
        <v>2005</v>
      </c>
      <c r="P26" s="1559"/>
      <c r="Q26" s="3531"/>
      <c r="R26" s="3532"/>
      <c r="S26" s="3533"/>
    </row>
    <row r="27" spans="3:19" s="305" customFormat="1" ht="11.25" customHeight="1">
      <c r="D27" s="348"/>
      <c r="E27" s="310" t="s">
        <v>1031</v>
      </c>
      <c r="F27" s="318"/>
      <c r="H27" s="3531"/>
      <c r="I27" s="3532"/>
      <c r="J27" s="3532"/>
      <c r="K27" s="3532"/>
      <c r="L27" s="3532"/>
      <c r="M27" s="3532"/>
      <c r="N27" s="3533"/>
      <c r="O27" s="1559" t="s">
        <v>1760</v>
      </c>
      <c r="Q27" s="3531"/>
      <c r="R27" s="3532"/>
      <c r="S27" s="3533"/>
    </row>
    <row r="28" spans="3:19" s="305" customFormat="1" ht="11.25" customHeight="1">
      <c r="D28" s="348"/>
      <c r="E28" s="310" t="s">
        <v>624</v>
      </c>
      <c r="H28" s="3531"/>
      <c r="I28" s="3532"/>
      <c r="J28" s="3533"/>
      <c r="K28" s="1561" t="s">
        <v>2722</v>
      </c>
      <c r="L28" s="3531"/>
      <c r="M28" s="3532"/>
      <c r="N28" s="3533"/>
      <c r="O28" s="1559" t="s">
        <v>1734</v>
      </c>
      <c r="Q28" s="3534"/>
      <c r="R28" s="3535"/>
      <c r="S28" s="3536"/>
    </row>
    <row r="29" spans="3:19" s="305" customFormat="1" ht="11.25" customHeight="1">
      <c r="E29" s="310" t="s">
        <v>1812</v>
      </c>
      <c r="H29" s="3537"/>
      <c r="K29" s="1562" t="s">
        <v>2245</v>
      </c>
      <c r="L29" s="3538"/>
      <c r="M29" s="3539"/>
      <c r="O29" s="1559" t="s">
        <v>1995</v>
      </c>
      <c r="Q29" s="3534"/>
      <c r="R29" s="3535"/>
      <c r="S29" s="3536"/>
    </row>
    <row r="30" spans="3:19" s="305" customFormat="1" ht="11.25" customHeight="1">
      <c r="D30" s="348"/>
      <c r="E30" s="310" t="s">
        <v>4315</v>
      </c>
      <c r="H30" s="3534"/>
      <c r="I30" s="3536"/>
      <c r="J30" s="3540"/>
      <c r="K30" s="1571" t="s">
        <v>2000</v>
      </c>
      <c r="L30" s="3526"/>
      <c r="M30" s="3527"/>
      <c r="N30" s="3527"/>
      <c r="O30" s="3527"/>
      <c r="P30" s="3527"/>
      <c r="Q30" s="3527"/>
      <c r="R30" s="3527"/>
      <c r="S30" s="3528"/>
    </row>
    <row r="31" spans="3:19" ht="4.3499999999999996" customHeight="1"/>
    <row r="32" spans="3:19" s="305" customFormat="1" ht="11.25" customHeight="1">
      <c r="C32" s="350" t="s">
        <v>2004</v>
      </c>
      <c r="D32" s="347" t="s">
        <v>1873</v>
      </c>
      <c r="H32" s="1570"/>
      <c r="I32" s="1570"/>
      <c r="J32" s="1570"/>
      <c r="K32" s="1417" t="s">
        <v>4314</v>
      </c>
      <c r="L32" s="1570"/>
      <c r="M32" s="1570"/>
    </row>
    <row r="33" spans="3:19" s="305" customFormat="1" ht="11.25" customHeight="1">
      <c r="D33" s="307" t="s">
        <v>2132</v>
      </c>
      <c r="E33" s="305" t="s">
        <v>758</v>
      </c>
      <c r="H33" s="3531" t="s">
        <v>4562</v>
      </c>
      <c r="I33" s="3532"/>
      <c r="J33" s="3532"/>
      <c r="K33" s="3532"/>
      <c r="L33" s="3532"/>
      <c r="M33" s="3532"/>
      <c r="N33" s="3533"/>
      <c r="O33" s="1559" t="s">
        <v>2005</v>
      </c>
      <c r="P33" s="1559"/>
      <c r="Q33" s="3531" t="s">
        <v>4566</v>
      </c>
      <c r="R33" s="3532"/>
      <c r="S33" s="3533"/>
    </row>
    <row r="34" spans="3:19" s="305" customFormat="1" ht="11.25" customHeight="1">
      <c r="D34" s="348"/>
      <c r="E34" s="310" t="s">
        <v>1031</v>
      </c>
      <c r="F34" s="318"/>
      <c r="H34" s="3531" t="s">
        <v>4563</v>
      </c>
      <c r="I34" s="3532"/>
      <c r="J34" s="3532"/>
      <c r="K34" s="3532"/>
      <c r="L34" s="3532"/>
      <c r="M34" s="3532"/>
      <c r="N34" s="3533"/>
      <c r="O34" s="1559" t="s">
        <v>1760</v>
      </c>
      <c r="Q34" s="3531" t="s">
        <v>4567</v>
      </c>
      <c r="R34" s="3532"/>
      <c r="S34" s="3533"/>
    </row>
    <row r="35" spans="3:19" s="305" customFormat="1" ht="11.25" customHeight="1">
      <c r="D35" s="348"/>
      <c r="E35" s="310" t="s">
        <v>624</v>
      </c>
      <c r="H35" s="3531" t="s">
        <v>2545</v>
      </c>
      <c r="I35" s="3532"/>
      <c r="J35" s="3533"/>
      <c r="K35" s="1561" t="s">
        <v>2722</v>
      </c>
      <c r="L35" s="3531" t="s">
        <v>4564</v>
      </c>
      <c r="M35" s="3532"/>
      <c r="N35" s="3533"/>
      <c r="O35" s="1559" t="s">
        <v>1734</v>
      </c>
      <c r="Q35" s="3534">
        <v>5734432021</v>
      </c>
      <c r="R35" s="3535"/>
      <c r="S35" s="3536"/>
    </row>
    <row r="36" spans="3:19" s="305" customFormat="1" ht="11.25" customHeight="1">
      <c r="E36" s="310" t="s">
        <v>1812</v>
      </c>
      <c r="H36" s="3537" t="s">
        <v>1353</v>
      </c>
      <c r="K36" s="1562" t="s">
        <v>2245</v>
      </c>
      <c r="L36" s="3538">
        <v>652034924</v>
      </c>
      <c r="M36" s="3539"/>
      <c r="O36" s="1559" t="s">
        <v>1995</v>
      </c>
      <c r="Q36" s="3534">
        <v>5734248811</v>
      </c>
      <c r="R36" s="3535"/>
      <c r="S36" s="3536"/>
    </row>
    <row r="37" spans="3:19" s="305" customFormat="1" ht="11.25" customHeight="1">
      <c r="D37" s="348"/>
      <c r="E37" s="310" t="s">
        <v>4315</v>
      </c>
      <c r="H37" s="3534">
        <v>5734432021</v>
      </c>
      <c r="I37" s="3536"/>
      <c r="J37" s="3540"/>
      <c r="K37" s="1571" t="s">
        <v>2000</v>
      </c>
      <c r="L37" s="3526" t="s">
        <v>4565</v>
      </c>
      <c r="M37" s="3527"/>
      <c r="N37" s="3527"/>
      <c r="O37" s="3527"/>
      <c r="P37" s="3527"/>
      <c r="Q37" s="3527"/>
      <c r="R37" s="3527"/>
      <c r="S37" s="3528"/>
    </row>
    <row r="38" spans="3:19" ht="4.3499999999999996" customHeight="1">
      <c r="H38" s="3541"/>
      <c r="I38" s="3541"/>
      <c r="J38" s="3541"/>
      <c r="K38" s="1571"/>
      <c r="L38" s="3541"/>
      <c r="M38" s="3541"/>
      <c r="N38" s="1558"/>
      <c r="O38" s="1613"/>
      <c r="P38" s="1613"/>
      <c r="Q38" s="1571"/>
      <c r="R38" s="1613"/>
      <c r="S38" s="1613"/>
    </row>
    <row r="39" spans="3:19" s="305" customFormat="1" ht="11.25" customHeight="1">
      <c r="D39" s="307" t="s">
        <v>2133</v>
      </c>
      <c r="E39" s="305" t="s">
        <v>759</v>
      </c>
      <c r="F39" s="307"/>
      <c r="H39" s="3531" t="s">
        <v>4562</v>
      </c>
      <c r="I39" s="3532"/>
      <c r="J39" s="3532"/>
      <c r="K39" s="3532"/>
      <c r="L39" s="3532"/>
      <c r="M39" s="3532"/>
      <c r="N39" s="3533"/>
      <c r="O39" s="1559" t="s">
        <v>2005</v>
      </c>
      <c r="P39" s="1559"/>
      <c r="Q39" s="3531" t="s">
        <v>4566</v>
      </c>
      <c r="R39" s="3532"/>
      <c r="S39" s="3533"/>
    </row>
    <row r="40" spans="3:19" s="305" customFormat="1" ht="11.25" customHeight="1">
      <c r="D40" s="348"/>
      <c r="E40" s="310" t="s">
        <v>1031</v>
      </c>
      <c r="F40" s="318"/>
      <c r="H40" s="3531" t="s">
        <v>4563</v>
      </c>
      <c r="I40" s="3532"/>
      <c r="J40" s="3532"/>
      <c r="K40" s="3532"/>
      <c r="L40" s="3532"/>
      <c r="M40" s="3532"/>
      <c r="N40" s="3533"/>
      <c r="O40" s="1559" t="s">
        <v>1760</v>
      </c>
      <c r="Q40" s="3531" t="s">
        <v>4567</v>
      </c>
      <c r="R40" s="3532"/>
      <c r="S40" s="3533"/>
    </row>
    <row r="41" spans="3:19" s="305" customFormat="1" ht="11.25" customHeight="1">
      <c r="D41" s="348"/>
      <c r="E41" s="310" t="s">
        <v>624</v>
      </c>
      <c r="H41" s="3531" t="s">
        <v>2545</v>
      </c>
      <c r="I41" s="3532"/>
      <c r="J41" s="3533"/>
      <c r="K41" s="1561" t="s">
        <v>2722</v>
      </c>
      <c r="L41" s="3531" t="s">
        <v>4564</v>
      </c>
      <c r="M41" s="3532"/>
      <c r="N41" s="3533"/>
      <c r="O41" s="1559" t="s">
        <v>1734</v>
      </c>
      <c r="Q41" s="3534">
        <v>5734432021</v>
      </c>
      <c r="R41" s="3535"/>
      <c r="S41" s="3536"/>
    </row>
    <row r="42" spans="3:19" s="305" customFormat="1" ht="11.25" customHeight="1">
      <c r="D42" s="307"/>
      <c r="E42" s="310" t="s">
        <v>1812</v>
      </c>
      <c r="H42" s="3537" t="s">
        <v>1353</v>
      </c>
      <c r="K42" s="1562" t="s">
        <v>2245</v>
      </c>
      <c r="L42" s="3538">
        <v>652034924</v>
      </c>
      <c r="M42" s="3539"/>
      <c r="O42" s="1559" t="s">
        <v>1995</v>
      </c>
      <c r="Q42" s="3534">
        <v>5734248811</v>
      </c>
      <c r="R42" s="3535"/>
      <c r="S42" s="3536"/>
    </row>
    <row r="43" spans="3:19" s="305" customFormat="1" ht="11.25" customHeight="1">
      <c r="D43" s="348"/>
      <c r="E43" s="310" t="s">
        <v>4315</v>
      </c>
      <c r="H43" s="3534">
        <v>5734432021</v>
      </c>
      <c r="I43" s="3536"/>
      <c r="J43" s="3540"/>
      <c r="K43" s="1571" t="s">
        <v>2000</v>
      </c>
      <c r="L43" s="3526" t="s">
        <v>4565</v>
      </c>
      <c r="M43" s="3527"/>
      <c r="N43" s="3527"/>
      <c r="O43" s="3527"/>
      <c r="P43" s="3527"/>
      <c r="Q43" s="3527"/>
      <c r="R43" s="3527"/>
      <c r="S43" s="3528"/>
    </row>
    <row r="44" spans="3:19" s="305" customFormat="1" ht="4.3499999999999996"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4314</v>
      </c>
      <c r="L45" s="1570"/>
      <c r="M45" s="1570"/>
    </row>
    <row r="46" spans="3:19" s="305" customFormat="1" ht="11.25" customHeight="1">
      <c r="E46" s="305" t="s">
        <v>93</v>
      </c>
      <c r="H46" s="3531"/>
      <c r="I46" s="3532"/>
      <c r="J46" s="3532"/>
      <c r="K46" s="3532"/>
      <c r="L46" s="3532"/>
      <c r="M46" s="3532"/>
      <c r="N46" s="3533"/>
      <c r="O46" s="1559" t="s">
        <v>2005</v>
      </c>
      <c r="P46" s="1559"/>
      <c r="Q46" s="3531"/>
      <c r="R46" s="3532"/>
      <c r="S46" s="3533"/>
    </row>
    <row r="47" spans="3:19" s="305" customFormat="1" ht="11.25" customHeight="1">
      <c r="D47" s="348"/>
      <c r="E47" s="310" t="s">
        <v>1031</v>
      </c>
      <c r="F47" s="318"/>
      <c r="H47" s="3531"/>
      <c r="I47" s="3532"/>
      <c r="J47" s="3532"/>
      <c r="K47" s="3532"/>
      <c r="L47" s="3532"/>
      <c r="M47" s="3532"/>
      <c r="N47" s="3533"/>
      <c r="O47" s="1559" t="s">
        <v>1760</v>
      </c>
      <c r="Q47" s="3531"/>
      <c r="R47" s="3532"/>
      <c r="S47" s="3533"/>
    </row>
    <row r="48" spans="3:19" s="305" customFormat="1" ht="11.25" customHeight="1">
      <c r="D48" s="348"/>
      <c r="E48" s="310" t="s">
        <v>624</v>
      </c>
      <c r="H48" s="3531"/>
      <c r="I48" s="3532"/>
      <c r="J48" s="3533"/>
      <c r="K48" s="1561" t="s">
        <v>2722</v>
      </c>
      <c r="L48" s="3531"/>
      <c r="M48" s="3532"/>
      <c r="N48" s="3533"/>
      <c r="O48" s="1559" t="s">
        <v>1734</v>
      </c>
      <c r="Q48" s="3534"/>
      <c r="R48" s="3535"/>
      <c r="S48" s="3536"/>
    </row>
    <row r="49" spans="1:19" s="305" customFormat="1" ht="11.25" customHeight="1">
      <c r="E49" s="310" t="s">
        <v>1812</v>
      </c>
      <c r="H49" s="3537"/>
      <c r="K49" s="1562" t="s">
        <v>2245</v>
      </c>
      <c r="L49" s="3538"/>
      <c r="M49" s="3539"/>
      <c r="O49" s="1559" t="s">
        <v>1995</v>
      </c>
      <c r="Q49" s="3534"/>
      <c r="R49" s="3535"/>
      <c r="S49" s="3536"/>
    </row>
    <row r="50" spans="1:19" s="305" customFormat="1" ht="11.25" customHeight="1">
      <c r="D50" s="348"/>
      <c r="E50" s="310" t="s">
        <v>4315</v>
      </c>
      <c r="H50" s="3534"/>
      <c r="I50" s="3536"/>
      <c r="J50" s="3540"/>
      <c r="K50" s="1571" t="s">
        <v>2000</v>
      </c>
      <c r="L50" s="3526"/>
      <c r="M50" s="3527"/>
      <c r="N50" s="3527"/>
      <c r="O50" s="3527"/>
      <c r="P50" s="3527"/>
      <c r="Q50" s="3527"/>
      <c r="R50" s="3527"/>
      <c r="S50" s="3528"/>
    </row>
    <row r="51" spans="1:19" ht="6.75" customHeight="1"/>
    <row r="52" spans="1:19" s="305" customFormat="1" ht="13.35" customHeight="1">
      <c r="A52" s="307" t="s">
        <v>748</v>
      </c>
      <c r="B52" s="307" t="s">
        <v>658</v>
      </c>
      <c r="F52" s="307"/>
      <c r="G52" s="1571"/>
      <c r="H52" s="1571"/>
      <c r="I52" s="1571"/>
      <c r="J52" s="1570"/>
      <c r="K52" s="1417" t="s">
        <v>4314</v>
      </c>
      <c r="L52" s="1570"/>
      <c r="M52" s="1570"/>
      <c r="N52" s="1570"/>
      <c r="O52" s="1570"/>
      <c r="P52" s="1570"/>
      <c r="Q52" s="1570"/>
      <c r="R52" s="1570"/>
      <c r="S52" s="1570"/>
    </row>
    <row r="53" spans="1:19" s="305" customFormat="1" ht="3" customHeight="1">
      <c r="A53" s="307"/>
      <c r="B53" s="307"/>
      <c r="F53" s="307"/>
      <c r="G53" s="1571"/>
      <c r="H53" s="3542"/>
      <c r="I53" s="3542"/>
      <c r="J53" s="3542"/>
      <c r="K53" s="1558"/>
      <c r="L53" s="3542"/>
      <c r="M53" s="3542"/>
      <c r="N53" s="1558"/>
      <c r="O53" s="1613"/>
      <c r="P53" s="1613"/>
      <c r="Q53" s="1571"/>
      <c r="R53" s="1613"/>
      <c r="S53" s="1613"/>
    </row>
    <row r="54" spans="1:19" s="305" customFormat="1" ht="11.25" customHeight="1">
      <c r="B54" s="307" t="s">
        <v>1999</v>
      </c>
      <c r="C54" s="307" t="s">
        <v>284</v>
      </c>
      <c r="H54" s="3531" t="s">
        <v>4552</v>
      </c>
      <c r="I54" s="3532"/>
      <c r="J54" s="3532"/>
      <c r="K54" s="3532"/>
      <c r="L54" s="3532"/>
      <c r="M54" s="3532"/>
      <c r="N54" s="3533"/>
      <c r="O54" s="1559" t="s">
        <v>2005</v>
      </c>
      <c r="P54" s="1559"/>
      <c r="Q54" s="3531" t="s">
        <v>4555</v>
      </c>
      <c r="R54" s="3532"/>
      <c r="S54" s="3533"/>
    </row>
    <row r="55" spans="1:19" s="305" customFormat="1" ht="11.25" customHeight="1">
      <c r="D55" s="348"/>
      <c r="E55" s="310" t="s">
        <v>1031</v>
      </c>
      <c r="F55" s="318"/>
      <c r="H55" s="3531" t="s">
        <v>4553</v>
      </c>
      <c r="I55" s="3532"/>
      <c r="J55" s="3532"/>
      <c r="K55" s="3532"/>
      <c r="L55" s="3532"/>
      <c r="M55" s="3532"/>
      <c r="N55" s="3533"/>
      <c r="O55" s="1559" t="s">
        <v>1760</v>
      </c>
      <c r="Q55" s="3531" t="s">
        <v>659</v>
      </c>
      <c r="R55" s="3532"/>
      <c r="S55" s="3533"/>
    </row>
    <row r="56" spans="1:19" s="305" customFormat="1" ht="11.25" customHeight="1">
      <c r="D56" s="348"/>
      <c r="E56" s="310" t="s">
        <v>624</v>
      </c>
      <c r="H56" s="3531" t="s">
        <v>2180</v>
      </c>
      <c r="I56" s="3532"/>
      <c r="J56" s="3533"/>
      <c r="K56" s="1561" t="s">
        <v>2722</v>
      </c>
      <c r="L56" s="3531" t="s">
        <v>4561</v>
      </c>
      <c r="M56" s="3532"/>
      <c r="N56" s="3533"/>
      <c r="O56" s="1559" t="s">
        <v>1734</v>
      </c>
      <c r="Q56" s="3534">
        <v>4042021357</v>
      </c>
      <c r="R56" s="3535"/>
      <c r="S56" s="3536"/>
    </row>
    <row r="57" spans="1:19" s="305" customFormat="1" ht="11.25" customHeight="1">
      <c r="E57" s="310" t="s">
        <v>1812</v>
      </c>
      <c r="H57" s="3537" t="s">
        <v>856</v>
      </c>
      <c r="K57" s="1562" t="s">
        <v>2245</v>
      </c>
      <c r="L57" s="3538">
        <v>300756229</v>
      </c>
      <c r="M57" s="3539"/>
      <c r="O57" s="1559" t="s">
        <v>1995</v>
      </c>
      <c r="Q57" s="3534">
        <v>4042021357</v>
      </c>
      <c r="R57" s="3535"/>
      <c r="S57" s="3536"/>
    </row>
    <row r="58" spans="1:19" s="305" customFormat="1" ht="11.25" customHeight="1">
      <c r="D58" s="348"/>
      <c r="E58" s="310" t="s">
        <v>4315</v>
      </c>
      <c r="H58" s="3534">
        <v>4042021357</v>
      </c>
      <c r="I58" s="3536"/>
      <c r="J58" s="3540"/>
      <c r="K58" s="1571" t="s">
        <v>2000</v>
      </c>
      <c r="L58" s="3526" t="s">
        <v>4554</v>
      </c>
      <c r="M58" s="3527"/>
      <c r="N58" s="3527"/>
      <c r="O58" s="3527"/>
      <c r="P58" s="3527"/>
      <c r="Q58" s="3527"/>
      <c r="R58" s="3527"/>
      <c r="S58" s="3528"/>
    </row>
    <row r="59" spans="1:19" s="305" customFormat="1" ht="6.6" customHeight="1">
      <c r="D59" s="348"/>
      <c r="E59" s="1570"/>
      <c r="F59" s="1570"/>
      <c r="G59" s="1559"/>
      <c r="H59" s="3541"/>
      <c r="I59" s="3541"/>
      <c r="J59" s="3541"/>
      <c r="K59" s="1571"/>
      <c r="L59" s="3541"/>
      <c r="M59" s="3541"/>
      <c r="N59" s="1558"/>
      <c r="O59" s="1613"/>
      <c r="P59" s="1613"/>
      <c r="Q59" s="1571"/>
      <c r="R59" s="1613"/>
      <c r="S59" s="1613"/>
    </row>
    <row r="60" spans="1:19" s="305" customFormat="1" ht="11.25" customHeight="1">
      <c r="B60" s="307" t="s">
        <v>2001</v>
      </c>
      <c r="C60" s="307" t="s">
        <v>285</v>
      </c>
      <c r="H60" s="3531"/>
      <c r="I60" s="3532"/>
      <c r="J60" s="3532"/>
      <c r="K60" s="3532"/>
      <c r="L60" s="3532"/>
      <c r="M60" s="3532"/>
      <c r="N60" s="3533"/>
      <c r="O60" s="1559" t="s">
        <v>2005</v>
      </c>
      <c r="P60" s="1559"/>
      <c r="Q60" s="3531"/>
      <c r="R60" s="3532"/>
      <c r="S60" s="3533"/>
    </row>
    <row r="61" spans="1:19" s="305" customFormat="1" ht="11.25" customHeight="1">
      <c r="D61" s="348"/>
      <c r="E61" s="310" t="s">
        <v>1031</v>
      </c>
      <c r="F61" s="318"/>
      <c r="H61" s="3531"/>
      <c r="I61" s="3532"/>
      <c r="J61" s="3532"/>
      <c r="K61" s="3532"/>
      <c r="L61" s="3532"/>
      <c r="M61" s="3532"/>
      <c r="N61" s="3533"/>
      <c r="O61" s="1559" t="s">
        <v>1760</v>
      </c>
      <c r="Q61" s="3531"/>
      <c r="R61" s="3532"/>
      <c r="S61" s="3533"/>
    </row>
    <row r="62" spans="1:19" s="305" customFormat="1" ht="11.25" customHeight="1">
      <c r="D62" s="348"/>
      <c r="E62" s="310" t="s">
        <v>624</v>
      </c>
      <c r="H62" s="3531"/>
      <c r="I62" s="3532"/>
      <c r="J62" s="3533"/>
      <c r="K62" s="1561" t="s">
        <v>2722</v>
      </c>
      <c r="L62" s="3531"/>
      <c r="M62" s="3532"/>
      <c r="N62" s="3533"/>
      <c r="O62" s="1559" t="s">
        <v>1734</v>
      </c>
      <c r="Q62" s="3534"/>
      <c r="R62" s="3535"/>
      <c r="S62" s="3536"/>
    </row>
    <row r="63" spans="1:19" s="305" customFormat="1" ht="11.25" customHeight="1">
      <c r="E63" s="310" t="s">
        <v>1812</v>
      </c>
      <c r="H63" s="3537"/>
      <c r="K63" s="1562" t="s">
        <v>2245</v>
      </c>
      <c r="L63" s="3538"/>
      <c r="M63" s="3539"/>
      <c r="O63" s="1559" t="s">
        <v>1995</v>
      </c>
      <c r="Q63" s="3534"/>
      <c r="R63" s="3535"/>
      <c r="S63" s="3536"/>
    </row>
    <row r="64" spans="1:19" s="305" customFormat="1" ht="11.25" customHeight="1">
      <c r="D64" s="348"/>
      <c r="E64" s="310" t="s">
        <v>4315</v>
      </c>
      <c r="H64" s="3534"/>
      <c r="I64" s="3536"/>
      <c r="J64" s="3540"/>
      <c r="K64" s="1571" t="s">
        <v>2000</v>
      </c>
      <c r="L64" s="3526"/>
      <c r="M64" s="3527"/>
      <c r="N64" s="3527"/>
      <c r="O64" s="3527"/>
      <c r="P64" s="3527"/>
      <c r="Q64" s="3527"/>
      <c r="R64" s="3527"/>
      <c r="S64" s="3528"/>
    </row>
    <row r="65" spans="1:19" s="305" customFormat="1" ht="6.6" customHeight="1">
      <c r="D65" s="348"/>
      <c r="E65" s="1570"/>
      <c r="F65" s="1570"/>
      <c r="G65" s="1559"/>
      <c r="H65" s="3541"/>
      <c r="I65" s="3541"/>
      <c r="J65" s="3541"/>
      <c r="K65" s="1571"/>
      <c r="L65" s="3541"/>
      <c r="M65" s="3541"/>
      <c r="N65" s="1558"/>
      <c r="O65" s="1613"/>
      <c r="P65" s="1613"/>
      <c r="Q65" s="1571"/>
      <c r="R65" s="1613"/>
      <c r="S65" s="1613"/>
    </row>
    <row r="66" spans="1:19" s="305" customFormat="1" ht="11.25" customHeight="1">
      <c r="B66" s="307" t="s">
        <v>757</v>
      </c>
      <c r="C66" s="307" t="s">
        <v>1540</v>
      </c>
      <c r="H66" s="3531"/>
      <c r="I66" s="3532"/>
      <c r="J66" s="3532"/>
      <c r="K66" s="3532"/>
      <c r="L66" s="3532"/>
      <c r="M66" s="3532"/>
      <c r="N66" s="3533"/>
      <c r="O66" s="1559" t="s">
        <v>2005</v>
      </c>
      <c r="P66" s="1559"/>
      <c r="Q66" s="3531"/>
      <c r="R66" s="3532"/>
      <c r="S66" s="3533"/>
    </row>
    <row r="67" spans="1:19" s="305" customFormat="1" ht="11.25" customHeight="1">
      <c r="D67" s="348"/>
      <c r="E67" s="310" t="s">
        <v>1031</v>
      </c>
      <c r="F67" s="318"/>
      <c r="H67" s="3531"/>
      <c r="I67" s="3532"/>
      <c r="J67" s="3532"/>
      <c r="K67" s="3532"/>
      <c r="L67" s="3532"/>
      <c r="M67" s="3532"/>
      <c r="N67" s="3533"/>
      <c r="O67" s="1559" t="s">
        <v>1760</v>
      </c>
      <c r="Q67" s="3531"/>
      <c r="R67" s="3532"/>
      <c r="S67" s="3533"/>
    </row>
    <row r="68" spans="1:19" s="305" customFormat="1" ht="11.25" customHeight="1">
      <c r="D68" s="348"/>
      <c r="E68" s="310" t="s">
        <v>624</v>
      </c>
      <c r="H68" s="3531"/>
      <c r="I68" s="3532"/>
      <c r="J68" s="3533"/>
      <c r="K68" s="1561" t="s">
        <v>2722</v>
      </c>
      <c r="L68" s="3531"/>
      <c r="M68" s="3532"/>
      <c r="N68" s="3533"/>
      <c r="O68" s="1559" t="s">
        <v>1734</v>
      </c>
      <c r="Q68" s="3534"/>
      <c r="R68" s="3535"/>
      <c r="S68" s="3536"/>
    </row>
    <row r="69" spans="1:19" s="305" customFormat="1" ht="11.25" customHeight="1">
      <c r="E69" s="310" t="s">
        <v>1812</v>
      </c>
      <c r="H69" s="3537"/>
      <c r="K69" s="1562" t="s">
        <v>2245</v>
      </c>
      <c r="L69" s="3538"/>
      <c r="M69" s="3539"/>
      <c r="O69" s="1559" t="s">
        <v>1995</v>
      </c>
      <c r="Q69" s="3534"/>
      <c r="R69" s="3535"/>
      <c r="S69" s="3536"/>
    </row>
    <row r="70" spans="1:19" s="305" customFormat="1" ht="11.25" customHeight="1">
      <c r="D70" s="348"/>
      <c r="E70" s="310" t="s">
        <v>4315</v>
      </c>
      <c r="H70" s="3534"/>
      <c r="I70" s="3536"/>
      <c r="J70" s="3540"/>
      <c r="K70" s="1571" t="s">
        <v>2000</v>
      </c>
      <c r="L70" s="3526"/>
      <c r="M70" s="3527"/>
      <c r="N70" s="3527"/>
      <c r="O70" s="3527"/>
      <c r="P70" s="3527"/>
      <c r="Q70" s="3527"/>
      <c r="R70" s="3527"/>
      <c r="S70" s="3528"/>
    </row>
    <row r="71" spans="1:19" ht="6.6" customHeight="1">
      <c r="H71" s="3541"/>
      <c r="I71" s="3541"/>
      <c r="J71" s="3541"/>
      <c r="K71" s="1571"/>
      <c r="L71" s="3541"/>
      <c r="M71" s="3541"/>
      <c r="N71" s="1558"/>
      <c r="O71" s="1613"/>
      <c r="P71" s="1613"/>
      <c r="Q71" s="1571"/>
      <c r="R71" s="1613"/>
      <c r="S71" s="1613"/>
    </row>
    <row r="72" spans="1:19" s="305" customFormat="1" ht="11.25" customHeight="1">
      <c r="B72" s="307" t="s">
        <v>2131</v>
      </c>
      <c r="C72" s="307" t="s">
        <v>286</v>
      </c>
      <c r="H72" s="3531"/>
      <c r="I72" s="3532"/>
      <c r="J72" s="3532"/>
      <c r="K72" s="3532"/>
      <c r="L72" s="3532"/>
      <c r="M72" s="3532"/>
      <c r="N72" s="3533"/>
      <c r="O72" s="1559" t="s">
        <v>2005</v>
      </c>
      <c r="P72" s="1559"/>
      <c r="Q72" s="3531"/>
      <c r="R72" s="3532"/>
      <c r="S72" s="3533"/>
    </row>
    <row r="73" spans="1:19" s="305" customFormat="1" ht="11.25" customHeight="1">
      <c r="D73" s="348"/>
      <c r="E73" s="310" t="s">
        <v>1031</v>
      </c>
      <c r="F73" s="318"/>
      <c r="H73" s="3531"/>
      <c r="I73" s="3532"/>
      <c r="J73" s="3532"/>
      <c r="K73" s="3532"/>
      <c r="L73" s="3532"/>
      <c r="M73" s="3532"/>
      <c r="N73" s="3533"/>
      <c r="O73" s="1559" t="s">
        <v>1760</v>
      </c>
      <c r="Q73" s="3531"/>
      <c r="R73" s="3532"/>
      <c r="S73" s="3533"/>
    </row>
    <row r="74" spans="1:19" s="305" customFormat="1" ht="11.25" customHeight="1">
      <c r="D74" s="348"/>
      <c r="E74" s="310" t="s">
        <v>624</v>
      </c>
      <c r="H74" s="3531"/>
      <c r="I74" s="3532"/>
      <c r="J74" s="3533"/>
      <c r="K74" s="1561" t="s">
        <v>2722</v>
      </c>
      <c r="L74" s="3531"/>
      <c r="M74" s="3532"/>
      <c r="N74" s="3533"/>
      <c r="O74" s="1559" t="s">
        <v>1734</v>
      </c>
      <c r="Q74" s="3534"/>
      <c r="R74" s="3535"/>
      <c r="S74" s="3536"/>
    </row>
    <row r="75" spans="1:19" s="305" customFormat="1" ht="11.25" customHeight="1">
      <c r="E75" s="310" t="s">
        <v>1812</v>
      </c>
      <c r="H75" s="3537"/>
      <c r="K75" s="1562" t="s">
        <v>2245</v>
      </c>
      <c r="L75" s="3538"/>
      <c r="M75" s="3539"/>
      <c r="O75" s="1559" t="s">
        <v>1995</v>
      </c>
      <c r="Q75" s="3534"/>
      <c r="R75" s="3535"/>
      <c r="S75" s="3536"/>
    </row>
    <row r="76" spans="1:19" s="305" customFormat="1" ht="11.25" customHeight="1">
      <c r="D76" s="348"/>
      <c r="E76" s="310" t="s">
        <v>4315</v>
      </c>
      <c r="H76" s="3534"/>
      <c r="I76" s="3536"/>
      <c r="J76" s="3540"/>
      <c r="K76" s="1571" t="s">
        <v>2000</v>
      </c>
      <c r="L76" s="3526"/>
      <c r="M76" s="3527"/>
      <c r="N76" s="3527"/>
      <c r="O76" s="3527"/>
      <c r="P76" s="3527"/>
      <c r="Q76" s="3527"/>
      <c r="R76" s="3527"/>
      <c r="S76" s="3528"/>
    </row>
    <row r="77" spans="1:19" ht="6.75" customHeight="1"/>
    <row r="78" spans="1:19" s="310" customFormat="1" ht="13.35" customHeight="1">
      <c r="A78" s="311" t="s">
        <v>750</v>
      </c>
      <c r="B78" s="311" t="s">
        <v>287</v>
      </c>
      <c r="D78" s="311"/>
      <c r="E78" s="1559"/>
      <c r="F78" s="277"/>
      <c r="G78" s="277"/>
      <c r="H78" s="277"/>
      <c r="I78" s="277"/>
      <c r="J78" s="277"/>
      <c r="K78" s="1417" t="s">
        <v>4314</v>
      </c>
      <c r="L78" s="277"/>
      <c r="M78" s="277"/>
    </row>
    <row r="79" spans="1:19" s="310" customFormat="1" ht="3" customHeight="1">
      <c r="A79" s="311"/>
      <c r="B79" s="311"/>
      <c r="D79" s="311"/>
      <c r="E79" s="1559"/>
      <c r="F79" s="277"/>
      <c r="G79" s="277"/>
      <c r="H79" s="3542"/>
      <c r="I79" s="3542"/>
      <c r="J79" s="3542"/>
      <c r="K79" s="1558"/>
      <c r="L79" s="3542"/>
      <c r="M79" s="3542"/>
      <c r="N79" s="1558"/>
      <c r="O79" s="1613"/>
      <c r="P79" s="1613"/>
      <c r="Q79" s="1571"/>
      <c r="R79" s="1613"/>
      <c r="S79" s="1613"/>
    </row>
    <row r="80" spans="1:19" s="305" customFormat="1" ht="11.25" customHeight="1">
      <c r="B80" s="307" t="s">
        <v>1999</v>
      </c>
      <c r="C80" s="307" t="s">
        <v>288</v>
      </c>
      <c r="H80" s="3531"/>
      <c r="I80" s="3532"/>
      <c r="J80" s="3532"/>
      <c r="K80" s="3532"/>
      <c r="L80" s="3532"/>
      <c r="M80" s="3532"/>
      <c r="N80" s="3533"/>
      <c r="O80" s="1559" t="s">
        <v>2005</v>
      </c>
      <c r="P80" s="1559"/>
      <c r="Q80" s="3531"/>
      <c r="R80" s="3532"/>
      <c r="S80" s="3533"/>
    </row>
    <row r="81" spans="2:19" s="305" customFormat="1" ht="11.25" customHeight="1">
      <c r="D81" s="348"/>
      <c r="E81" s="310" t="s">
        <v>1031</v>
      </c>
      <c r="F81" s="318"/>
      <c r="H81" s="3531"/>
      <c r="I81" s="3532"/>
      <c r="J81" s="3532"/>
      <c r="K81" s="3532"/>
      <c r="L81" s="3532"/>
      <c r="M81" s="3532"/>
      <c r="N81" s="3533"/>
      <c r="O81" s="1559" t="s">
        <v>1760</v>
      </c>
      <c r="Q81" s="3531"/>
      <c r="R81" s="3532"/>
      <c r="S81" s="3533"/>
    </row>
    <row r="82" spans="2:19" s="305" customFormat="1" ht="11.25" customHeight="1">
      <c r="D82" s="348"/>
      <c r="E82" s="310" t="s">
        <v>624</v>
      </c>
      <c r="H82" s="3531"/>
      <c r="I82" s="3532"/>
      <c r="J82" s="3533"/>
      <c r="K82" s="1561" t="s">
        <v>2722</v>
      </c>
      <c r="L82" s="3531"/>
      <c r="M82" s="3532"/>
      <c r="N82" s="3533"/>
      <c r="O82" s="1559" t="s">
        <v>1734</v>
      </c>
      <c r="Q82" s="3534"/>
      <c r="R82" s="3535"/>
      <c r="S82" s="3536"/>
    </row>
    <row r="83" spans="2:19" s="305" customFormat="1" ht="11.25" customHeight="1">
      <c r="E83" s="310" t="s">
        <v>1812</v>
      </c>
      <c r="H83" s="3537"/>
      <c r="K83" s="1562" t="s">
        <v>2245</v>
      </c>
      <c r="L83" s="3538"/>
      <c r="M83" s="3539"/>
      <c r="O83" s="1559" t="s">
        <v>1995</v>
      </c>
      <c r="Q83" s="3534"/>
      <c r="R83" s="3535"/>
      <c r="S83" s="3536"/>
    </row>
    <row r="84" spans="2:19" s="305" customFormat="1" ht="11.25" customHeight="1">
      <c r="D84" s="348"/>
      <c r="E84" s="310" t="s">
        <v>4315</v>
      </c>
      <c r="H84" s="3534"/>
      <c r="I84" s="3536"/>
      <c r="J84" s="3540"/>
      <c r="K84" s="1571" t="s">
        <v>2000</v>
      </c>
      <c r="L84" s="3526"/>
      <c r="M84" s="3527"/>
      <c r="N84" s="3527"/>
      <c r="O84" s="3527"/>
      <c r="P84" s="3527"/>
      <c r="Q84" s="3527"/>
      <c r="R84" s="3527"/>
      <c r="S84" s="3528"/>
    </row>
    <row r="85" spans="2:19" ht="6.6" customHeight="1">
      <c r="H85" s="3541"/>
      <c r="I85" s="3541"/>
      <c r="J85" s="3541"/>
      <c r="K85" s="1571"/>
      <c r="L85" s="3541"/>
      <c r="M85" s="3541"/>
      <c r="N85" s="1558"/>
      <c r="O85" s="1613"/>
      <c r="P85" s="1613"/>
      <c r="Q85" s="1571"/>
      <c r="R85" s="1613"/>
      <c r="S85" s="1613"/>
    </row>
    <row r="86" spans="2:19" s="305" customFormat="1" ht="11.25" customHeight="1">
      <c r="B86" s="307" t="s">
        <v>2001</v>
      </c>
      <c r="C86" s="307" t="s">
        <v>289</v>
      </c>
      <c r="H86" s="3531" t="s">
        <v>4568</v>
      </c>
      <c r="I86" s="3532"/>
      <c r="J86" s="3532"/>
      <c r="K86" s="3532"/>
      <c r="L86" s="3532"/>
      <c r="M86" s="3532"/>
      <c r="N86" s="3533"/>
      <c r="O86" s="1559" t="s">
        <v>2005</v>
      </c>
      <c r="P86" s="1559"/>
      <c r="Q86" s="3531" t="s">
        <v>4571</v>
      </c>
      <c r="R86" s="3532"/>
      <c r="S86" s="3533"/>
    </row>
    <row r="87" spans="2:19" s="305" customFormat="1" ht="11.25" customHeight="1">
      <c r="D87" s="348"/>
      <c r="E87" s="310" t="s">
        <v>1031</v>
      </c>
      <c r="F87" s="318"/>
      <c r="H87" s="3531" t="s">
        <v>4563</v>
      </c>
      <c r="I87" s="3532"/>
      <c r="J87" s="3532"/>
      <c r="K87" s="3532"/>
      <c r="L87" s="3532"/>
      <c r="M87" s="3532"/>
      <c r="N87" s="3533"/>
      <c r="O87" s="1559" t="s">
        <v>1760</v>
      </c>
      <c r="Q87" s="3531" t="s">
        <v>4567</v>
      </c>
      <c r="R87" s="3532"/>
      <c r="S87" s="3533"/>
    </row>
    <row r="88" spans="2:19" s="305" customFormat="1" ht="11.25" customHeight="1">
      <c r="D88" s="348"/>
      <c r="E88" s="310" t="s">
        <v>624</v>
      </c>
      <c r="H88" s="3531" t="s">
        <v>2545</v>
      </c>
      <c r="I88" s="3532"/>
      <c r="J88" s="3533"/>
      <c r="K88" s="1561" t="s">
        <v>2722</v>
      </c>
      <c r="L88" s="3531" t="s">
        <v>4569</v>
      </c>
      <c r="M88" s="3532"/>
      <c r="N88" s="3533"/>
      <c r="O88" s="1559" t="s">
        <v>1734</v>
      </c>
      <c r="Q88" s="3534">
        <v>5734432021</v>
      </c>
      <c r="R88" s="3535"/>
      <c r="S88" s="3536"/>
    </row>
    <row r="89" spans="2:19" s="305" customFormat="1" ht="11.25" customHeight="1">
      <c r="E89" s="310" t="s">
        <v>1812</v>
      </c>
      <c r="H89" s="3537" t="s">
        <v>1353</v>
      </c>
      <c r="K89" s="1562" t="s">
        <v>2245</v>
      </c>
      <c r="L89" s="3538">
        <v>652034924</v>
      </c>
      <c r="M89" s="3539"/>
      <c r="O89" s="1559" t="s">
        <v>1995</v>
      </c>
      <c r="Q89" s="3534"/>
      <c r="R89" s="3535"/>
      <c r="S89" s="3536"/>
    </row>
    <row r="90" spans="2:19" s="305" customFormat="1" ht="11.25" customHeight="1">
      <c r="D90" s="348"/>
      <c r="E90" s="310" t="s">
        <v>4315</v>
      </c>
      <c r="H90" s="3534">
        <v>5734432021</v>
      </c>
      <c r="I90" s="3536"/>
      <c r="J90" s="3540"/>
      <c r="K90" s="1571" t="s">
        <v>2000</v>
      </c>
      <c r="L90" s="3526" t="s">
        <v>4570</v>
      </c>
      <c r="M90" s="3527"/>
      <c r="N90" s="3527"/>
      <c r="O90" s="3527"/>
      <c r="P90" s="3527"/>
      <c r="Q90" s="3527"/>
      <c r="R90" s="3527"/>
      <c r="S90" s="3528"/>
    </row>
    <row r="91" spans="2:19" ht="6.6" customHeight="1">
      <c r="H91" s="3541"/>
      <c r="I91" s="3541"/>
      <c r="J91" s="3541"/>
      <c r="K91" s="1571"/>
      <c r="L91" s="3541"/>
      <c r="M91" s="3541"/>
      <c r="N91" s="1558"/>
      <c r="O91" s="1613"/>
      <c r="P91" s="1613"/>
      <c r="Q91" s="1571"/>
      <c r="R91" s="1613"/>
      <c r="S91" s="1613"/>
    </row>
    <row r="92" spans="2:19" s="305" customFormat="1" ht="11.25" customHeight="1">
      <c r="B92" s="307" t="s">
        <v>757</v>
      </c>
      <c r="C92" s="307" t="s">
        <v>290</v>
      </c>
      <c r="F92" s="324"/>
      <c r="H92" s="3531" t="s">
        <v>4572</v>
      </c>
      <c r="I92" s="3532"/>
      <c r="J92" s="3532"/>
      <c r="K92" s="3532"/>
      <c r="L92" s="3532"/>
      <c r="M92" s="3532"/>
      <c r="N92" s="3533"/>
      <c r="O92" s="1559" t="s">
        <v>2005</v>
      </c>
      <c r="P92" s="1559"/>
      <c r="Q92" s="3531" t="s">
        <v>4566</v>
      </c>
      <c r="R92" s="3532"/>
      <c r="S92" s="3533"/>
    </row>
    <row r="93" spans="2:19" s="305" customFormat="1" ht="11.25" customHeight="1">
      <c r="D93" s="348"/>
      <c r="E93" s="310" t="s">
        <v>1031</v>
      </c>
      <c r="F93" s="318"/>
      <c r="H93" s="3531" t="s">
        <v>4563</v>
      </c>
      <c r="I93" s="3532"/>
      <c r="J93" s="3532"/>
      <c r="K93" s="3532"/>
      <c r="L93" s="3532"/>
      <c r="M93" s="3532"/>
      <c r="N93" s="3533"/>
      <c r="O93" s="1559" t="s">
        <v>1760</v>
      </c>
      <c r="Q93" s="3531" t="s">
        <v>4567</v>
      </c>
      <c r="R93" s="3532"/>
      <c r="S93" s="3533"/>
    </row>
    <row r="94" spans="2:19" s="305" customFormat="1" ht="11.25" customHeight="1">
      <c r="D94" s="348"/>
      <c r="E94" s="310" t="s">
        <v>624</v>
      </c>
      <c r="H94" s="3531" t="s">
        <v>2545</v>
      </c>
      <c r="I94" s="3532"/>
      <c r="J94" s="3533"/>
      <c r="K94" s="1561" t="s">
        <v>2722</v>
      </c>
      <c r="L94" s="3531" t="s">
        <v>4573</v>
      </c>
      <c r="M94" s="3532"/>
      <c r="N94" s="3533"/>
      <c r="O94" s="1559" t="s">
        <v>1734</v>
      </c>
      <c r="Q94" s="3534">
        <v>5734432021</v>
      </c>
      <c r="R94" s="3535"/>
      <c r="S94" s="3536"/>
    </row>
    <row r="95" spans="2:19" s="305" customFormat="1" ht="11.25" customHeight="1">
      <c r="D95" s="348"/>
      <c r="E95" s="310" t="s">
        <v>1812</v>
      </c>
      <c r="H95" s="3537" t="s">
        <v>1353</v>
      </c>
      <c r="K95" s="1562" t="s">
        <v>2245</v>
      </c>
      <c r="L95" s="3538">
        <v>652034924</v>
      </c>
      <c r="M95" s="3539"/>
      <c r="O95" s="1559" t="s">
        <v>1995</v>
      </c>
      <c r="Q95" s="3534">
        <v>5734248811</v>
      </c>
      <c r="R95" s="3535"/>
      <c r="S95" s="3536"/>
    </row>
    <row r="96" spans="2:19" s="305" customFormat="1" ht="11.25" customHeight="1">
      <c r="D96" s="348"/>
      <c r="E96" s="310" t="s">
        <v>4315</v>
      </c>
      <c r="H96" s="3534">
        <v>5734432021</v>
      </c>
      <c r="I96" s="3536"/>
      <c r="J96" s="3540"/>
      <c r="K96" s="1571" t="s">
        <v>2000</v>
      </c>
      <c r="L96" s="3526" t="s">
        <v>4565</v>
      </c>
      <c r="M96" s="3527"/>
      <c r="N96" s="3527"/>
      <c r="O96" s="3527"/>
      <c r="P96" s="3527"/>
      <c r="Q96" s="3527"/>
      <c r="R96" s="3527"/>
      <c r="S96" s="3528"/>
    </row>
    <row r="97" spans="2:19" ht="6.6" customHeight="1">
      <c r="H97" s="3541"/>
      <c r="I97" s="3541"/>
      <c r="J97" s="3541"/>
      <c r="K97" s="1571"/>
      <c r="L97" s="3541"/>
      <c r="M97" s="3541"/>
      <c r="N97" s="1558"/>
      <c r="O97" s="1613"/>
      <c r="P97" s="1613"/>
      <c r="Q97" s="1571"/>
      <c r="R97" s="1613"/>
      <c r="S97" s="1613"/>
    </row>
    <row r="98" spans="2:19" s="305" customFormat="1" ht="11.25" customHeight="1">
      <c r="B98" s="307" t="s">
        <v>2131</v>
      </c>
      <c r="C98" s="307" t="s">
        <v>291</v>
      </c>
      <c r="H98" s="3531" t="s">
        <v>4574</v>
      </c>
      <c r="I98" s="3532"/>
      <c r="J98" s="3532"/>
      <c r="K98" s="3532"/>
      <c r="L98" s="3532"/>
      <c r="M98" s="3532"/>
      <c r="N98" s="3533"/>
      <c r="O98" s="1559" t="s">
        <v>2005</v>
      </c>
      <c r="P98" s="1559"/>
      <c r="Q98" s="3531" t="s">
        <v>4578</v>
      </c>
      <c r="R98" s="3532"/>
      <c r="S98" s="3533"/>
    </row>
    <row r="99" spans="2:19" s="305" customFormat="1" ht="11.25" customHeight="1">
      <c r="D99" s="348"/>
      <c r="E99" s="310" t="s">
        <v>1031</v>
      </c>
      <c r="F99" s="318"/>
      <c r="H99" s="3531" t="s">
        <v>4575</v>
      </c>
      <c r="I99" s="3532"/>
      <c r="J99" s="3532"/>
      <c r="K99" s="3532"/>
      <c r="L99" s="3532"/>
      <c r="M99" s="3532"/>
      <c r="N99" s="3533"/>
      <c r="O99" s="1559" t="s">
        <v>1760</v>
      </c>
      <c r="Q99" s="3531" t="s">
        <v>4579</v>
      </c>
      <c r="R99" s="3532"/>
      <c r="S99" s="3533"/>
    </row>
    <row r="100" spans="2:19" s="305" customFormat="1" ht="11.25" customHeight="1">
      <c r="D100" s="348"/>
      <c r="E100" s="310" t="s">
        <v>624</v>
      </c>
      <c r="H100" s="3531" t="s">
        <v>1709</v>
      </c>
      <c r="I100" s="3532"/>
      <c r="J100" s="3533"/>
      <c r="K100" s="1561" t="s">
        <v>2722</v>
      </c>
      <c r="L100" s="3531" t="s">
        <v>4576</v>
      </c>
      <c r="M100" s="3532"/>
      <c r="N100" s="3533"/>
      <c r="O100" s="1559" t="s">
        <v>1734</v>
      </c>
      <c r="Q100" s="3534">
        <v>2296718260</v>
      </c>
      <c r="R100" s="3535"/>
      <c r="S100" s="3536"/>
    </row>
    <row r="101" spans="2:19" s="305" customFormat="1" ht="11.25" customHeight="1">
      <c r="D101" s="348"/>
      <c r="E101" s="310" t="s">
        <v>1812</v>
      </c>
      <c r="H101" s="3537" t="s">
        <v>856</v>
      </c>
      <c r="K101" s="1562" t="s">
        <v>2245</v>
      </c>
      <c r="L101" s="3538">
        <v>316014531</v>
      </c>
      <c r="M101" s="3539"/>
      <c r="O101" s="1559" t="s">
        <v>1995</v>
      </c>
      <c r="Q101" s="3534">
        <v>2298349704</v>
      </c>
      <c r="R101" s="3535"/>
      <c r="S101" s="3536"/>
    </row>
    <row r="102" spans="2:19" ht="11.25" customHeight="1">
      <c r="E102" s="310" t="s">
        <v>4315</v>
      </c>
      <c r="F102" s="305"/>
      <c r="G102" s="305"/>
      <c r="H102" s="3534">
        <v>2296718260</v>
      </c>
      <c r="I102" s="3536"/>
      <c r="J102" s="3540"/>
      <c r="K102" s="1571" t="s">
        <v>2000</v>
      </c>
      <c r="L102" s="3526" t="s">
        <v>4577</v>
      </c>
      <c r="M102" s="3527"/>
      <c r="N102" s="3527"/>
      <c r="O102" s="3527"/>
      <c r="P102" s="3527"/>
      <c r="Q102" s="3527"/>
      <c r="R102" s="3527"/>
      <c r="S102" s="3528"/>
    </row>
    <row r="103" spans="2:19" ht="6" customHeight="1">
      <c r="E103" s="310"/>
      <c r="F103" s="305"/>
      <c r="G103" s="1570"/>
      <c r="H103" s="3542"/>
      <c r="I103" s="3542"/>
      <c r="J103" s="3542"/>
      <c r="K103" s="1558"/>
      <c r="L103" s="3542"/>
      <c r="M103" s="3542"/>
      <c r="N103" s="1558"/>
      <c r="O103" s="1613"/>
      <c r="P103" s="1613"/>
      <c r="Q103" s="1571"/>
      <c r="R103" s="1613"/>
      <c r="S103" s="1613"/>
    </row>
    <row r="104" spans="2:19" s="305" customFormat="1" ht="11.25" customHeight="1">
      <c r="B104" s="307" t="s">
        <v>1748</v>
      </c>
      <c r="C104" s="307" t="s">
        <v>292</v>
      </c>
      <c r="H104" s="3531" t="s">
        <v>4580</v>
      </c>
      <c r="I104" s="3532"/>
      <c r="J104" s="3532"/>
      <c r="K104" s="3532"/>
      <c r="L104" s="3532"/>
      <c r="M104" s="3532"/>
      <c r="N104" s="3533"/>
      <c r="O104" s="1559" t="s">
        <v>2005</v>
      </c>
      <c r="P104" s="1559"/>
      <c r="Q104" s="3531" t="s">
        <v>4582</v>
      </c>
      <c r="R104" s="3532"/>
      <c r="S104" s="3533"/>
    </row>
    <row r="105" spans="2:19" s="305" customFormat="1" ht="11.25" customHeight="1">
      <c r="D105" s="348"/>
      <c r="E105" s="310" t="s">
        <v>1031</v>
      </c>
      <c r="F105" s="318"/>
      <c r="H105" s="3531" t="s">
        <v>4581</v>
      </c>
      <c r="I105" s="3532"/>
      <c r="J105" s="3532"/>
      <c r="K105" s="3532"/>
      <c r="L105" s="3532"/>
      <c r="M105" s="3532"/>
      <c r="N105" s="3533"/>
      <c r="O105" s="1559" t="s">
        <v>1760</v>
      </c>
      <c r="Q105" s="3531" t="s">
        <v>4579</v>
      </c>
      <c r="R105" s="3532"/>
      <c r="S105" s="3533"/>
    </row>
    <row r="106" spans="2:19" s="305" customFormat="1" ht="11.25" customHeight="1">
      <c r="D106" s="348"/>
      <c r="E106" s="310" t="s">
        <v>624</v>
      </c>
      <c r="H106" s="3531" t="s">
        <v>1217</v>
      </c>
      <c r="I106" s="3532"/>
      <c r="J106" s="3533"/>
      <c r="K106" s="1561" t="s">
        <v>2722</v>
      </c>
      <c r="L106" s="3531" t="s">
        <v>4583</v>
      </c>
      <c r="M106" s="3532"/>
      <c r="N106" s="3533"/>
      <c r="O106" s="1559" t="s">
        <v>1734</v>
      </c>
      <c r="Q106" s="3534">
        <v>4048988244</v>
      </c>
      <c r="R106" s="3535"/>
      <c r="S106" s="3536"/>
    </row>
    <row r="107" spans="2:19" s="305" customFormat="1" ht="11.25" customHeight="1">
      <c r="D107" s="348"/>
      <c r="E107" s="310" t="s">
        <v>1812</v>
      </c>
      <c r="H107" s="3537" t="s">
        <v>856</v>
      </c>
      <c r="K107" s="1562" t="s">
        <v>2245</v>
      </c>
      <c r="L107" s="3538">
        <v>303280000</v>
      </c>
      <c r="M107" s="3539"/>
      <c r="O107" s="1559" t="s">
        <v>1995</v>
      </c>
      <c r="Q107" s="3534">
        <v>6783623460</v>
      </c>
      <c r="R107" s="3535"/>
      <c r="S107" s="3536"/>
    </row>
    <row r="108" spans="2:19" ht="11.25" customHeight="1">
      <c r="E108" s="310" t="s">
        <v>4315</v>
      </c>
      <c r="F108" s="305"/>
      <c r="G108" s="305"/>
      <c r="H108" s="3534">
        <v>4048988244</v>
      </c>
      <c r="I108" s="3536"/>
      <c r="J108" s="3540"/>
      <c r="K108" s="1571" t="s">
        <v>2000</v>
      </c>
      <c r="L108" s="3526" t="s">
        <v>4584</v>
      </c>
      <c r="M108" s="3527"/>
      <c r="N108" s="3527"/>
      <c r="O108" s="3527"/>
      <c r="P108" s="3527"/>
      <c r="Q108" s="3527"/>
      <c r="R108" s="3527"/>
      <c r="S108" s="3528"/>
    </row>
    <row r="109" spans="2:19" ht="6.6" customHeight="1">
      <c r="E109" s="310"/>
      <c r="F109" s="305"/>
      <c r="G109" s="1570"/>
      <c r="H109" s="3541"/>
      <c r="I109" s="3541"/>
      <c r="J109" s="3541"/>
      <c r="K109" s="1571"/>
      <c r="L109" s="3541"/>
      <c r="M109" s="3541"/>
      <c r="N109" s="1558"/>
      <c r="O109" s="1613"/>
      <c r="P109" s="1613"/>
      <c r="Q109" s="1571"/>
      <c r="R109" s="1613"/>
      <c r="S109" s="1613"/>
    </row>
    <row r="110" spans="2:19" s="305" customFormat="1" ht="11.25" customHeight="1">
      <c r="B110" s="307" t="s">
        <v>1749</v>
      </c>
      <c r="C110" s="307" t="s">
        <v>293</v>
      </c>
      <c r="H110" s="3531" t="s">
        <v>4585</v>
      </c>
      <c r="I110" s="3532"/>
      <c r="J110" s="3532"/>
      <c r="K110" s="3532"/>
      <c r="L110" s="3532"/>
      <c r="M110" s="3532"/>
      <c r="N110" s="3533"/>
      <c r="O110" s="1559" t="s">
        <v>2005</v>
      </c>
      <c r="P110" s="1559"/>
      <c r="Q110" s="3531" t="s">
        <v>4589</v>
      </c>
      <c r="R110" s="3532"/>
      <c r="S110" s="3533"/>
    </row>
    <row r="111" spans="2:19" s="305" customFormat="1" ht="11.25" customHeight="1">
      <c r="D111" s="348"/>
      <c r="E111" s="310" t="s">
        <v>1031</v>
      </c>
      <c r="F111" s="318"/>
      <c r="H111" s="3531" t="s">
        <v>4586</v>
      </c>
      <c r="I111" s="3532"/>
      <c r="J111" s="3532"/>
      <c r="K111" s="3532"/>
      <c r="L111" s="3532"/>
      <c r="M111" s="3532"/>
      <c r="N111" s="3533"/>
      <c r="O111" s="1559" t="s">
        <v>1760</v>
      </c>
      <c r="Q111" s="3531" t="s">
        <v>4579</v>
      </c>
      <c r="R111" s="3532"/>
      <c r="S111" s="3533"/>
    </row>
    <row r="112" spans="2:19" s="305" customFormat="1" ht="11.25" customHeight="1">
      <c r="D112" s="348"/>
      <c r="E112" s="310" t="s">
        <v>624</v>
      </c>
      <c r="H112" s="3531" t="s">
        <v>198</v>
      </c>
      <c r="I112" s="3532"/>
      <c r="J112" s="3533"/>
      <c r="K112" s="1561" t="s">
        <v>2722</v>
      </c>
      <c r="L112" s="3531" t="s">
        <v>4587</v>
      </c>
      <c r="M112" s="3532"/>
      <c r="N112" s="3533"/>
      <c r="O112" s="1559" t="s">
        <v>1734</v>
      </c>
      <c r="Q112" s="3534">
        <v>4043732800</v>
      </c>
      <c r="R112" s="3535"/>
      <c r="S112" s="3536"/>
    </row>
    <row r="113" spans="1:22" s="305" customFormat="1" ht="11.25" customHeight="1">
      <c r="D113" s="352"/>
      <c r="E113" s="310" t="s">
        <v>1812</v>
      </c>
      <c r="H113" s="3537" t="s">
        <v>856</v>
      </c>
      <c r="K113" s="1562" t="s">
        <v>2245</v>
      </c>
      <c r="L113" s="3538">
        <v>300303330</v>
      </c>
      <c r="M113" s="3539"/>
      <c r="O113" s="1559" t="s">
        <v>1995</v>
      </c>
      <c r="Q113" s="3534"/>
      <c r="R113" s="3535"/>
      <c r="S113" s="3536"/>
    </row>
    <row r="114" spans="1:22" s="305" customFormat="1" ht="11.25" customHeight="1">
      <c r="D114" s="352"/>
      <c r="E114" s="310" t="s">
        <v>4315</v>
      </c>
      <c r="H114" s="3534">
        <v>4043732800</v>
      </c>
      <c r="I114" s="3536"/>
      <c r="J114" s="3540"/>
      <c r="K114" s="1571" t="s">
        <v>2000</v>
      </c>
      <c r="L114" s="3526" t="s">
        <v>4588</v>
      </c>
      <c r="M114" s="3527"/>
      <c r="N114" s="3527"/>
      <c r="O114" s="3527"/>
      <c r="P114" s="3527"/>
      <c r="Q114" s="3527"/>
      <c r="R114" s="3527"/>
      <c r="S114" s="352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3514" t="s">
        <v>4640</v>
      </c>
      <c r="I117" s="3543"/>
      <c r="J117" s="3544"/>
      <c r="K117" s="1571" t="s">
        <v>2490</v>
      </c>
      <c r="L117" s="3531" t="s">
        <v>4641</v>
      </c>
      <c r="M117" s="3532"/>
      <c r="N117" s="3533"/>
      <c r="O117" s="310" t="s">
        <v>3603</v>
      </c>
      <c r="Q117" s="3531" t="s">
        <v>4643</v>
      </c>
      <c r="R117" s="3532"/>
      <c r="S117" s="3533"/>
    </row>
    <row r="118" spans="1:22" s="305" customFormat="1" ht="11.25" customHeight="1">
      <c r="D118" s="348"/>
      <c r="E118" s="310" t="s">
        <v>1031</v>
      </c>
      <c r="F118" s="318"/>
      <c r="H118" s="3531" t="s">
        <v>4642</v>
      </c>
      <c r="I118" s="3532"/>
      <c r="J118" s="3532"/>
      <c r="K118" s="3532"/>
      <c r="L118" s="3532"/>
      <c r="M118" s="3532"/>
      <c r="N118" s="3533"/>
      <c r="O118" s="310" t="s">
        <v>624</v>
      </c>
      <c r="Q118" s="3531" t="s">
        <v>1795</v>
      </c>
      <c r="R118" s="3532"/>
      <c r="S118" s="3533"/>
    </row>
    <row r="119" spans="1:22" s="305" customFormat="1" ht="11.25" customHeight="1">
      <c r="D119" s="348"/>
      <c r="E119" s="310" t="s">
        <v>1812</v>
      </c>
      <c r="H119" s="3537" t="s">
        <v>856</v>
      </c>
      <c r="I119" s="1562" t="s">
        <v>2245</v>
      </c>
      <c r="J119" s="3545">
        <v>317073852</v>
      </c>
      <c r="K119" s="3533"/>
      <c r="L119" s="1571" t="s">
        <v>2000</v>
      </c>
      <c r="M119" s="3526" t="s">
        <v>4644</v>
      </c>
      <c r="N119" s="3527"/>
      <c r="O119" s="3527"/>
      <c r="P119" s="3527"/>
      <c r="Q119" s="3527"/>
      <c r="R119" s="3527"/>
      <c r="S119" s="352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3912</v>
      </c>
      <c r="B121" s="1690"/>
      <c r="C121" s="1690"/>
      <c r="D121" s="1690"/>
      <c r="E121" s="1691"/>
      <c r="F121" s="3546" t="s">
        <v>2527</v>
      </c>
      <c r="G121" s="3547" t="s">
        <v>3502</v>
      </c>
      <c r="H121" s="3548"/>
      <c r="I121" s="3548"/>
      <c r="J121" s="3548"/>
      <c r="K121" s="3548"/>
      <c r="L121" s="3548"/>
      <c r="M121" s="3548"/>
      <c r="N121" s="3548"/>
      <c r="O121" s="3548"/>
      <c r="P121" s="3548"/>
      <c r="Q121" s="3548"/>
      <c r="R121" s="3548"/>
      <c r="S121" s="3549"/>
    </row>
    <row r="122" spans="1:22" s="305" customFormat="1" ht="31.5" customHeight="1">
      <c r="B122" s="521"/>
      <c r="C122" s="1195" t="s">
        <v>2002</v>
      </c>
      <c r="D122" s="1660" t="s">
        <v>2855</v>
      </c>
      <c r="E122" s="1692"/>
      <c r="F122" s="3550" t="s">
        <v>3014</v>
      </c>
      <c r="G122" s="3047"/>
      <c r="H122" s="3048"/>
      <c r="I122" s="3048"/>
      <c r="J122" s="3048"/>
      <c r="K122" s="3048"/>
      <c r="L122" s="3048"/>
      <c r="M122" s="3048"/>
      <c r="N122" s="3048"/>
      <c r="O122" s="3048"/>
      <c r="P122" s="3048"/>
      <c r="Q122" s="3048"/>
      <c r="R122" s="3048"/>
      <c r="S122" s="3049"/>
      <c r="U122" s="1696" t="s">
        <v>2047</v>
      </c>
      <c r="V122" s="1696"/>
    </row>
    <row r="123" spans="1:22" s="305" customFormat="1" ht="31.5" customHeight="1">
      <c r="B123" s="521"/>
      <c r="C123" s="647" t="s">
        <v>2004</v>
      </c>
      <c r="D123" s="1631" t="s">
        <v>2921</v>
      </c>
      <c r="E123" s="1689"/>
      <c r="F123" s="3551" t="s">
        <v>3014</v>
      </c>
      <c r="G123" s="3050"/>
      <c r="H123" s="3051"/>
      <c r="I123" s="3051"/>
      <c r="J123" s="3051"/>
      <c r="K123" s="3051"/>
      <c r="L123" s="3051"/>
      <c r="M123" s="3051"/>
      <c r="N123" s="3051"/>
      <c r="O123" s="3051"/>
      <c r="P123" s="3051"/>
      <c r="Q123" s="3051"/>
      <c r="R123" s="3051"/>
      <c r="S123" s="3052"/>
      <c r="U123" s="1696"/>
      <c r="V123" s="1696"/>
    </row>
    <row r="124" spans="1:22" s="305" customFormat="1" ht="31.5" customHeight="1">
      <c r="B124" s="521"/>
      <c r="C124" s="647" t="s">
        <v>2551</v>
      </c>
      <c r="D124" s="1631" t="s">
        <v>2897</v>
      </c>
      <c r="E124" s="1689"/>
      <c r="F124" s="3551" t="s">
        <v>3014</v>
      </c>
      <c r="G124" s="3050"/>
      <c r="H124" s="3051"/>
      <c r="I124" s="3051"/>
      <c r="J124" s="3051"/>
      <c r="K124" s="3051"/>
      <c r="L124" s="3051"/>
      <c r="M124" s="3051"/>
      <c r="N124" s="3051"/>
      <c r="O124" s="3051"/>
      <c r="P124" s="3051"/>
      <c r="Q124" s="3051"/>
      <c r="R124" s="3051"/>
      <c r="S124" s="3052"/>
      <c r="U124" s="1696"/>
      <c r="V124" s="1696"/>
    </row>
    <row r="125" spans="1:22" s="305" customFormat="1" ht="31.5" customHeight="1">
      <c r="B125" s="521"/>
      <c r="C125" s="647" t="s">
        <v>1236</v>
      </c>
      <c r="D125" s="1631" t="s">
        <v>2856</v>
      </c>
      <c r="E125" s="1689"/>
      <c r="F125" s="3551" t="s">
        <v>3014</v>
      </c>
      <c r="G125" s="3050"/>
      <c r="H125" s="3051"/>
      <c r="I125" s="3051"/>
      <c r="J125" s="3051"/>
      <c r="K125" s="3051"/>
      <c r="L125" s="3051"/>
      <c r="M125" s="3051"/>
      <c r="N125" s="3051"/>
      <c r="O125" s="3051"/>
      <c r="P125" s="3051"/>
      <c r="Q125" s="3051"/>
      <c r="R125" s="3051"/>
      <c r="S125" s="3052"/>
      <c r="U125" s="1696"/>
      <c r="V125" s="1696"/>
    </row>
    <row r="126" spans="1:22" s="305" customFormat="1" ht="31.5" customHeight="1">
      <c r="B126" s="521"/>
      <c r="C126" s="647" t="s">
        <v>1237</v>
      </c>
      <c r="D126" s="1631" t="s">
        <v>3489</v>
      </c>
      <c r="E126" s="1689"/>
      <c r="F126" s="3551" t="s">
        <v>3014</v>
      </c>
      <c r="G126" s="3050"/>
      <c r="H126" s="3051"/>
      <c r="I126" s="3051"/>
      <c r="J126" s="3051"/>
      <c r="K126" s="3051"/>
      <c r="L126" s="3051"/>
      <c r="M126" s="3051"/>
      <c r="N126" s="3051"/>
      <c r="O126" s="3051"/>
      <c r="P126" s="3051"/>
      <c r="Q126" s="3051"/>
      <c r="R126" s="3051"/>
      <c r="S126" s="3052"/>
      <c r="U126" s="1696"/>
      <c r="V126" s="1696"/>
    </row>
    <row r="127" spans="1:22" s="305" customFormat="1" ht="31.5" customHeight="1">
      <c r="B127" s="521"/>
      <c r="C127" s="647" t="s">
        <v>1896</v>
      </c>
      <c r="D127" s="1631" t="s">
        <v>3490</v>
      </c>
      <c r="E127" s="1689"/>
      <c r="F127" s="3551" t="s">
        <v>3011</v>
      </c>
      <c r="G127" s="3050" t="s">
        <v>4590</v>
      </c>
      <c r="H127" s="3051"/>
      <c r="I127" s="3051"/>
      <c r="J127" s="3051"/>
      <c r="K127" s="3051"/>
      <c r="L127" s="3051"/>
      <c r="M127" s="3051"/>
      <c r="N127" s="3051"/>
      <c r="O127" s="3051"/>
      <c r="P127" s="3051"/>
      <c r="Q127" s="3051"/>
      <c r="R127" s="3051"/>
      <c r="S127" s="3052"/>
      <c r="U127" s="1696"/>
      <c r="V127" s="1696"/>
    </row>
    <row r="128" spans="1:22" s="305" customFormat="1" ht="31.5" customHeight="1">
      <c r="B128" s="521"/>
      <c r="C128" s="647" t="s">
        <v>508</v>
      </c>
      <c r="D128" s="1631" t="s">
        <v>2857</v>
      </c>
      <c r="E128" s="1689"/>
      <c r="F128" s="3551" t="s">
        <v>3014</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2" t="s">
        <v>4591</v>
      </c>
      <c r="E129" s="3553"/>
      <c r="F129" s="3554" t="s">
        <v>3011</v>
      </c>
      <c r="G129" s="3053" t="s">
        <v>4639</v>
      </c>
      <c r="H129" s="3054"/>
      <c r="I129" s="3054"/>
      <c r="J129" s="3054"/>
      <c r="K129" s="3054"/>
      <c r="L129" s="3054"/>
      <c r="M129" s="3054"/>
      <c r="N129" s="3054"/>
      <c r="O129" s="3054"/>
      <c r="P129" s="3054"/>
      <c r="Q129" s="3054"/>
      <c r="R129" s="3054"/>
      <c r="S129" s="3055"/>
    </row>
    <row r="130" spans="1:22" s="305" customFormat="1" ht="13.3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3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3746</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7"/>
      <c r="F138" s="3048"/>
      <c r="G138" s="3048"/>
      <c r="H138" s="3048"/>
      <c r="I138" s="3555" t="s">
        <v>3014</v>
      </c>
      <c r="J138" s="3550" t="s">
        <v>3014</v>
      </c>
      <c r="K138" s="3556" t="s">
        <v>4560</v>
      </c>
      <c r="L138" s="3557">
        <v>1E-4</v>
      </c>
      <c r="M138" s="3558" t="s">
        <v>3014</v>
      </c>
      <c r="N138" s="3559"/>
      <c r="O138" s="3048"/>
      <c r="P138" s="3048"/>
      <c r="Q138" s="3048"/>
      <c r="R138" s="3048"/>
      <c r="S138" s="3049"/>
    </row>
    <row r="139" spans="1:22" s="305" customFormat="1" ht="24" customHeight="1">
      <c r="A139" s="1650" t="s">
        <v>3466</v>
      </c>
      <c r="B139" s="1651"/>
      <c r="C139" s="1651"/>
      <c r="D139" s="1652"/>
      <c r="E139" s="3050"/>
      <c r="F139" s="3051"/>
      <c r="G139" s="3051"/>
      <c r="H139" s="3051"/>
      <c r="I139" s="3560"/>
      <c r="J139" s="3551"/>
      <c r="K139" s="3561"/>
      <c r="L139" s="3562"/>
      <c r="M139" s="3563"/>
      <c r="N139" s="3564"/>
      <c r="O139" s="3051"/>
      <c r="P139" s="3051"/>
      <c r="Q139" s="3051"/>
      <c r="R139" s="3051"/>
      <c r="S139" s="3052"/>
      <c r="U139" s="1696" t="s">
        <v>2047</v>
      </c>
      <c r="V139" s="1696"/>
    </row>
    <row r="140" spans="1:22" s="305" customFormat="1" ht="24" customHeight="1">
      <c r="A140" s="1650" t="s">
        <v>3467</v>
      </c>
      <c r="B140" s="1651"/>
      <c r="C140" s="1651"/>
      <c r="D140" s="1652"/>
      <c r="E140" s="3050"/>
      <c r="F140" s="3051"/>
      <c r="G140" s="3051"/>
      <c r="H140" s="3051"/>
      <c r="I140" s="3560"/>
      <c r="J140" s="3551"/>
      <c r="K140" s="3561"/>
      <c r="L140" s="3562"/>
      <c r="M140" s="3563"/>
      <c r="N140" s="3564"/>
      <c r="O140" s="3051"/>
      <c r="P140" s="3051"/>
      <c r="Q140" s="3051"/>
      <c r="R140" s="3051"/>
      <c r="S140" s="3052"/>
      <c r="U140" s="1696"/>
      <c r="V140" s="1696"/>
    </row>
    <row r="141" spans="1:22" s="305" customFormat="1" ht="24" customHeight="1">
      <c r="A141" s="1650" t="s">
        <v>3468</v>
      </c>
      <c r="B141" s="1651"/>
      <c r="C141" s="1651"/>
      <c r="D141" s="1652"/>
      <c r="E141" s="3050"/>
      <c r="F141" s="3051"/>
      <c r="G141" s="3051"/>
      <c r="H141" s="3051"/>
      <c r="I141" s="3560" t="s">
        <v>3014</v>
      </c>
      <c r="J141" s="3551" t="s">
        <v>3014</v>
      </c>
      <c r="K141" s="3561" t="s">
        <v>4560</v>
      </c>
      <c r="L141" s="3562">
        <v>0.9899</v>
      </c>
      <c r="M141" s="3563" t="s">
        <v>3014</v>
      </c>
      <c r="N141" s="3564"/>
      <c r="O141" s="3051"/>
      <c r="P141" s="3051"/>
      <c r="Q141" s="3051"/>
      <c r="R141" s="3051"/>
      <c r="S141" s="3052"/>
      <c r="U141" s="1696"/>
      <c r="V141" s="1696"/>
    </row>
    <row r="142" spans="1:22" s="305" customFormat="1" ht="24" customHeight="1">
      <c r="A142" s="1650" t="s">
        <v>3469</v>
      </c>
      <c r="B142" s="1651"/>
      <c r="C142" s="1651"/>
      <c r="D142" s="1652"/>
      <c r="E142" s="3050"/>
      <c r="F142" s="3051"/>
      <c r="G142" s="3051"/>
      <c r="H142" s="3051"/>
      <c r="I142" s="3560" t="s">
        <v>3014</v>
      </c>
      <c r="J142" s="3551" t="s">
        <v>3014</v>
      </c>
      <c r="K142" s="3561" t="s">
        <v>4560</v>
      </c>
      <c r="L142" s="3562">
        <v>0.01</v>
      </c>
      <c r="M142" s="3563" t="s">
        <v>3014</v>
      </c>
      <c r="N142" s="3564"/>
      <c r="O142" s="3051"/>
      <c r="P142" s="3051"/>
      <c r="Q142" s="3051"/>
      <c r="R142" s="3051"/>
      <c r="S142" s="3052"/>
      <c r="U142" s="1696"/>
      <c r="V142" s="1696"/>
    </row>
    <row r="143" spans="1:22" s="305" customFormat="1" ht="24" customHeight="1">
      <c r="A143" s="1650" t="s">
        <v>2914</v>
      </c>
      <c r="B143" s="1651"/>
      <c r="C143" s="1651"/>
      <c r="D143" s="1652"/>
      <c r="E143" s="3050"/>
      <c r="F143" s="3051"/>
      <c r="G143" s="3051"/>
      <c r="H143" s="3051"/>
      <c r="I143" s="3560"/>
      <c r="J143" s="3551"/>
      <c r="K143" s="3561"/>
      <c r="L143" s="3562"/>
      <c r="M143" s="3563"/>
      <c r="N143" s="3564"/>
      <c r="O143" s="3051"/>
      <c r="P143" s="3051"/>
      <c r="Q143" s="3051"/>
      <c r="R143" s="3051"/>
      <c r="S143" s="3052"/>
      <c r="U143" s="1696"/>
      <c r="V143" s="1696"/>
    </row>
    <row r="144" spans="1:22" s="305" customFormat="1" ht="24" customHeight="1">
      <c r="A144" s="1650" t="s">
        <v>659</v>
      </c>
      <c r="B144" s="1651"/>
      <c r="C144" s="1651"/>
      <c r="D144" s="1652"/>
      <c r="E144" s="3050"/>
      <c r="F144" s="3051"/>
      <c r="G144" s="3051"/>
      <c r="H144" s="3051"/>
      <c r="I144" s="3560" t="s">
        <v>3014</v>
      </c>
      <c r="J144" s="3551" t="s">
        <v>3014</v>
      </c>
      <c r="K144" s="3561" t="s">
        <v>4560</v>
      </c>
      <c r="L144" s="3562"/>
      <c r="M144" s="3563" t="s">
        <v>3014</v>
      </c>
      <c r="N144" s="3564"/>
      <c r="O144" s="3051"/>
      <c r="P144" s="3051"/>
      <c r="Q144" s="3051"/>
      <c r="R144" s="3051"/>
      <c r="S144" s="3052"/>
      <c r="U144" s="1696"/>
      <c r="V144" s="1696"/>
    </row>
    <row r="145" spans="1:24" s="305" customFormat="1" ht="24" customHeight="1">
      <c r="A145" s="1650" t="s">
        <v>2915</v>
      </c>
      <c r="B145" s="1651"/>
      <c r="C145" s="1651"/>
      <c r="D145" s="1652"/>
      <c r="E145" s="3050"/>
      <c r="F145" s="3051"/>
      <c r="G145" s="3051"/>
      <c r="H145" s="3051"/>
      <c r="I145" s="3560"/>
      <c r="J145" s="3551"/>
      <c r="K145" s="3561"/>
      <c r="L145" s="3562"/>
      <c r="M145" s="3563"/>
      <c r="N145" s="3564"/>
      <c r="O145" s="3051"/>
      <c r="P145" s="3051"/>
      <c r="Q145" s="3051"/>
      <c r="R145" s="3051"/>
      <c r="S145" s="3052"/>
    </row>
    <row r="146" spans="1:24" s="305" customFormat="1" ht="24" customHeight="1">
      <c r="A146" s="1650" t="s">
        <v>2916</v>
      </c>
      <c r="B146" s="1651"/>
      <c r="C146" s="1651"/>
      <c r="D146" s="1652"/>
      <c r="E146" s="3050"/>
      <c r="F146" s="3051"/>
      <c r="G146" s="3051"/>
      <c r="H146" s="3051"/>
      <c r="I146" s="3560"/>
      <c r="J146" s="3551"/>
      <c r="K146" s="3561"/>
      <c r="L146" s="3562"/>
      <c r="M146" s="3563"/>
      <c r="N146" s="3564"/>
      <c r="O146" s="3051"/>
      <c r="P146" s="3051"/>
      <c r="Q146" s="3051"/>
      <c r="R146" s="3051"/>
      <c r="S146" s="3052"/>
    </row>
    <row r="147" spans="1:24" s="305" customFormat="1" ht="24" customHeight="1">
      <c r="A147" s="1650" t="s">
        <v>2918</v>
      </c>
      <c r="B147" s="1651"/>
      <c r="C147" s="1651"/>
      <c r="D147" s="1652"/>
      <c r="E147" s="3050"/>
      <c r="F147" s="3051"/>
      <c r="G147" s="3051"/>
      <c r="H147" s="3051"/>
      <c r="I147" s="3560"/>
      <c r="J147" s="3551"/>
      <c r="K147" s="3561"/>
      <c r="L147" s="3562"/>
      <c r="M147" s="3563"/>
      <c r="N147" s="3564"/>
      <c r="O147" s="3051"/>
      <c r="P147" s="3051"/>
      <c r="Q147" s="3051"/>
      <c r="R147" s="3051"/>
      <c r="S147" s="3052"/>
    </row>
    <row r="148" spans="1:24" s="305" customFormat="1" ht="24" customHeight="1">
      <c r="A148" s="1650" t="s">
        <v>2917</v>
      </c>
      <c r="B148" s="1651"/>
      <c r="C148" s="1651"/>
      <c r="D148" s="1652"/>
      <c r="E148" s="3050"/>
      <c r="F148" s="3051"/>
      <c r="G148" s="3051"/>
      <c r="H148" s="3051"/>
      <c r="I148" s="3560"/>
      <c r="J148" s="3551"/>
      <c r="K148" s="3561"/>
      <c r="L148" s="3562"/>
      <c r="M148" s="3563"/>
      <c r="N148" s="3564"/>
      <c r="O148" s="3051"/>
      <c r="P148" s="3051"/>
      <c r="Q148" s="3051"/>
      <c r="R148" s="3051"/>
      <c r="S148" s="3052"/>
    </row>
    <row r="149" spans="1:24" s="305" customFormat="1" ht="24" customHeight="1">
      <c r="A149" s="1650" t="s">
        <v>1541</v>
      </c>
      <c r="B149" s="1651"/>
      <c r="C149" s="1651"/>
      <c r="D149" s="1652"/>
      <c r="E149" s="3050"/>
      <c r="F149" s="3051"/>
      <c r="G149" s="3051"/>
      <c r="H149" s="3051"/>
      <c r="I149" s="3560" t="s">
        <v>3014</v>
      </c>
      <c r="J149" s="3551" t="s">
        <v>3014</v>
      </c>
      <c r="K149" s="3561" t="s">
        <v>4560</v>
      </c>
      <c r="L149" s="3562"/>
      <c r="M149" s="3563" t="s">
        <v>3014</v>
      </c>
      <c r="N149" s="3564"/>
      <c r="O149" s="3051"/>
      <c r="P149" s="3051"/>
      <c r="Q149" s="3051"/>
      <c r="R149" s="3051"/>
      <c r="S149" s="3052"/>
    </row>
    <row r="150" spans="1:24" s="305" customFormat="1" ht="24" customHeight="1">
      <c r="A150" s="1653" t="s">
        <v>2919</v>
      </c>
      <c r="B150" s="1654"/>
      <c r="C150" s="1654"/>
      <c r="D150" s="1655"/>
      <c r="E150" s="3053"/>
      <c r="F150" s="3054"/>
      <c r="G150" s="3054"/>
      <c r="H150" s="3054"/>
      <c r="I150" s="3565" t="s">
        <v>3014</v>
      </c>
      <c r="J150" s="3554" t="s">
        <v>3014</v>
      </c>
      <c r="K150" s="3566" t="s">
        <v>4560</v>
      </c>
      <c r="L150" s="3567"/>
      <c r="M150" s="3568" t="s">
        <v>3014</v>
      </c>
      <c r="N150" s="3569"/>
      <c r="O150" s="3054"/>
      <c r="P150" s="3054"/>
      <c r="Q150" s="3054"/>
      <c r="R150" s="3054"/>
      <c r="S150" s="3055"/>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2"/>
      <c r="B153" s="3570"/>
      <c r="C153" s="3570"/>
      <c r="D153" s="3570"/>
      <c r="E153" s="3570"/>
      <c r="F153" s="3570"/>
      <c r="G153" s="3570"/>
      <c r="H153" s="3570"/>
      <c r="I153" s="3570"/>
      <c r="J153" s="3570"/>
      <c r="K153" s="3570"/>
      <c r="L153" s="3570"/>
      <c r="M153" s="3571"/>
      <c r="N153" s="3572"/>
      <c r="O153" s="3573"/>
      <c r="P153" s="3573"/>
      <c r="Q153" s="3573"/>
      <c r="R153" s="3573"/>
      <c r="S153" s="357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5"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6" t="s">
        <v>846</v>
      </c>
    </row>
    <row r="160" spans="1:24" s="305" customFormat="1" ht="12" customHeight="1">
      <c r="A160" s="348"/>
      <c r="B160" s="324"/>
      <c r="C160" s="324"/>
      <c r="D160" s="324"/>
      <c r="E160" s="324"/>
      <c r="F160" s="324"/>
      <c r="G160" s="324"/>
      <c r="H160" s="324"/>
      <c r="I160" s="324"/>
      <c r="J160" s="324"/>
      <c r="K160" s="324"/>
      <c r="L160" s="324"/>
      <c r="M160" s="324"/>
      <c r="N160" s="324"/>
      <c r="O160" s="324"/>
      <c r="P160" s="3576" t="s">
        <v>847</v>
      </c>
    </row>
    <row r="161" spans="1:16" s="305" customFormat="1" ht="12" customHeight="1">
      <c r="A161" s="348"/>
      <c r="B161" s="324"/>
      <c r="C161" s="324"/>
      <c r="D161" s="324"/>
      <c r="E161" s="324"/>
      <c r="F161" s="324"/>
      <c r="G161" s="324"/>
      <c r="H161" s="324"/>
      <c r="I161" s="324"/>
      <c r="J161" s="324"/>
      <c r="K161" s="324"/>
      <c r="L161" s="324"/>
      <c r="M161" s="324"/>
      <c r="N161" s="324"/>
      <c r="O161" s="324"/>
      <c r="P161" s="3576" t="s">
        <v>848</v>
      </c>
    </row>
    <row r="162" spans="1:16" s="305" customFormat="1" ht="12" customHeight="1">
      <c r="A162" s="501"/>
      <c r="B162" s="324"/>
      <c r="C162" s="324"/>
      <c r="D162" s="324"/>
      <c r="E162" s="324"/>
      <c r="F162" s="324"/>
      <c r="G162" s="324"/>
      <c r="H162" s="324"/>
      <c r="I162" s="324"/>
      <c r="J162" s="324"/>
      <c r="K162" s="324"/>
      <c r="L162" s="324"/>
      <c r="M162" s="324"/>
      <c r="N162" s="324"/>
      <c r="O162" s="324"/>
      <c r="P162" s="3576" t="s">
        <v>849</v>
      </c>
    </row>
    <row r="163" spans="1:16" s="305" customFormat="1" ht="12" customHeight="1">
      <c r="B163" s="324"/>
      <c r="C163" s="324"/>
      <c r="D163" s="324"/>
      <c r="E163" s="324"/>
      <c r="F163" s="324"/>
      <c r="G163" s="324"/>
      <c r="H163" s="324"/>
      <c r="I163" s="324"/>
      <c r="J163" s="324"/>
      <c r="K163" s="324"/>
      <c r="L163" s="324"/>
      <c r="M163" s="324"/>
      <c r="N163" s="324"/>
      <c r="O163" s="324"/>
      <c r="P163" s="3576" t="s">
        <v>850</v>
      </c>
    </row>
    <row r="164" spans="1:16" s="305" customFormat="1" ht="12" customHeight="1">
      <c r="B164" s="324"/>
      <c r="C164" s="324"/>
      <c r="D164" s="324"/>
      <c r="E164" s="324"/>
      <c r="F164" s="324"/>
      <c r="G164" s="324"/>
      <c r="H164" s="324"/>
      <c r="I164" s="324"/>
      <c r="J164" s="324"/>
      <c r="K164" s="324"/>
      <c r="L164" s="324"/>
      <c r="M164" s="324"/>
      <c r="N164" s="324"/>
      <c r="O164" s="324"/>
      <c r="P164" s="3576" t="s">
        <v>851</v>
      </c>
    </row>
    <row r="165" spans="1:16" s="305" customFormat="1" ht="12" customHeight="1">
      <c r="B165" s="324"/>
      <c r="C165" s="324"/>
      <c r="D165" s="324"/>
      <c r="E165" s="324"/>
      <c r="F165" s="324"/>
      <c r="G165" s="324"/>
      <c r="H165" s="324"/>
      <c r="I165" s="324"/>
      <c r="J165" s="324"/>
      <c r="K165" s="324"/>
      <c r="L165" s="324"/>
      <c r="M165" s="324"/>
      <c r="N165" s="324"/>
      <c r="O165" s="324"/>
      <c r="P165" s="3576" t="s">
        <v>852</v>
      </c>
    </row>
    <row r="166" spans="1:16" s="305" customFormat="1" ht="12" customHeight="1">
      <c r="B166" s="324"/>
      <c r="C166" s="324"/>
      <c r="D166" s="324"/>
      <c r="E166" s="324"/>
      <c r="F166" s="324"/>
      <c r="G166" s="324"/>
      <c r="H166" s="324"/>
      <c r="I166" s="324"/>
      <c r="J166" s="324"/>
      <c r="K166" s="324"/>
      <c r="L166" s="324"/>
      <c r="M166" s="324"/>
      <c r="N166" s="324"/>
      <c r="O166" s="324"/>
      <c r="P166" s="3576" t="s">
        <v>853</v>
      </c>
    </row>
    <row r="167" spans="1:16" ht="12" customHeight="1">
      <c r="P167" s="3576" t="s">
        <v>854</v>
      </c>
    </row>
    <row r="168" spans="1:16" ht="12" customHeight="1">
      <c r="A168" s="333"/>
      <c r="P168" s="3576" t="s">
        <v>855</v>
      </c>
    </row>
    <row r="169" spans="1:16" ht="12" customHeight="1">
      <c r="P169" s="3576" t="s">
        <v>856</v>
      </c>
    </row>
    <row r="170" spans="1:16" ht="12" customHeight="1">
      <c r="P170" s="3576" t="s">
        <v>857</v>
      </c>
    </row>
    <row r="171" spans="1:16" ht="12" customHeight="1">
      <c r="P171" s="3576" t="s">
        <v>858</v>
      </c>
    </row>
    <row r="172" spans="1:16" ht="12" customHeight="1">
      <c r="P172" s="3576" t="s">
        <v>859</v>
      </c>
    </row>
    <row r="173" spans="1:16" ht="12" customHeight="1">
      <c r="P173" s="3576" t="s">
        <v>860</v>
      </c>
    </row>
    <row r="174" spans="1:16" ht="12" customHeight="1">
      <c r="P174" s="3576" t="s">
        <v>861</v>
      </c>
    </row>
    <row r="175" spans="1:16" ht="12" customHeight="1">
      <c r="P175" s="3576" t="s">
        <v>862</v>
      </c>
    </row>
    <row r="176" spans="1:16" ht="12" customHeight="1">
      <c r="P176" s="3576" t="s">
        <v>863</v>
      </c>
    </row>
    <row r="177" spans="16:16" ht="12" customHeight="1">
      <c r="P177" s="3576" t="s">
        <v>864</v>
      </c>
    </row>
    <row r="178" spans="16:16" ht="12" customHeight="1">
      <c r="P178" s="3576" t="s">
        <v>865</v>
      </c>
    </row>
    <row r="179" spans="16:16" ht="12" customHeight="1">
      <c r="P179" s="3576" t="s">
        <v>866</v>
      </c>
    </row>
    <row r="180" spans="16:16" ht="12" customHeight="1">
      <c r="P180" s="3576" t="s">
        <v>867</v>
      </c>
    </row>
    <row r="181" spans="16:16" ht="12" customHeight="1">
      <c r="P181" s="3576" t="s">
        <v>868</v>
      </c>
    </row>
    <row r="182" spans="16:16" ht="12" customHeight="1">
      <c r="P182" s="3576" t="s">
        <v>869</v>
      </c>
    </row>
    <row r="183" spans="16:16" ht="12" customHeight="1">
      <c r="P183" s="3576" t="s">
        <v>870</v>
      </c>
    </row>
    <row r="184" spans="16:16" ht="12" customHeight="1">
      <c r="P184" s="3576" t="s">
        <v>1353</v>
      </c>
    </row>
    <row r="185" spans="16:16" ht="12" customHeight="1">
      <c r="P185" s="3576" t="s">
        <v>1354</v>
      </c>
    </row>
    <row r="186" spans="16:16" ht="12" customHeight="1">
      <c r="P186" s="3576" t="s">
        <v>1355</v>
      </c>
    </row>
    <row r="187" spans="16:16" ht="12" customHeight="1">
      <c r="P187" s="3576" t="s">
        <v>1356</v>
      </c>
    </row>
    <row r="188" spans="16:16" ht="12" customHeight="1">
      <c r="P188" s="3576" t="s">
        <v>1357</v>
      </c>
    </row>
    <row r="189" spans="16:16" ht="13.5">
      <c r="P189" s="3576" t="s">
        <v>1358</v>
      </c>
    </row>
    <row r="190" spans="16:16" ht="12" customHeight="1">
      <c r="P190" s="3576" t="s">
        <v>1359</v>
      </c>
    </row>
    <row r="191" spans="16:16" ht="12" customHeight="1">
      <c r="P191" s="3576" t="s">
        <v>1360</v>
      </c>
    </row>
    <row r="192" spans="16:16" ht="12" customHeight="1">
      <c r="P192" s="3576" t="s">
        <v>1361</v>
      </c>
    </row>
    <row r="193" spans="16:16" ht="12" customHeight="1">
      <c r="P193" s="3576" t="s">
        <v>1362</v>
      </c>
    </row>
    <row r="194" spans="16:16" ht="12" customHeight="1">
      <c r="P194" s="3576" t="s">
        <v>1363</v>
      </c>
    </row>
    <row r="195" spans="16:16" ht="12" customHeight="1">
      <c r="P195" s="3576" t="s">
        <v>1364</v>
      </c>
    </row>
    <row r="196" spans="16:16" ht="12" customHeight="1">
      <c r="P196" s="3576" t="s">
        <v>1365</v>
      </c>
    </row>
    <row r="197" spans="16:16" ht="12" customHeight="1">
      <c r="P197" s="3576" t="s">
        <v>1366</v>
      </c>
    </row>
    <row r="198" spans="16:16" ht="12" customHeight="1">
      <c r="P198" s="3576" t="s">
        <v>1367</v>
      </c>
    </row>
    <row r="199" spans="16:16" ht="12" customHeight="1">
      <c r="P199" s="3576" t="s">
        <v>1368</v>
      </c>
    </row>
    <row r="200" spans="16:16" ht="12" customHeight="1">
      <c r="P200" s="3576" t="s">
        <v>1369</v>
      </c>
    </row>
    <row r="201" spans="16:16" ht="12" customHeight="1">
      <c r="P201" s="3576" t="s">
        <v>1370</v>
      </c>
    </row>
    <row r="202" spans="16:16" ht="12" customHeight="1">
      <c r="P202" s="3576" t="s">
        <v>1371</v>
      </c>
    </row>
    <row r="203" spans="16:16" ht="12" customHeight="1">
      <c r="P203" s="3576" t="s">
        <v>1372</v>
      </c>
    </row>
    <row r="204" spans="16:16" ht="12" customHeight="1">
      <c r="P204" s="3576" t="s">
        <v>1373</v>
      </c>
    </row>
    <row r="205" spans="16:16" ht="12" customHeight="1">
      <c r="P205" s="3576" t="s">
        <v>1374</v>
      </c>
    </row>
    <row r="206" spans="16:16" ht="12" customHeight="1">
      <c r="P206" s="3576" t="s">
        <v>1375</v>
      </c>
    </row>
    <row r="207" spans="16:16" ht="12" customHeight="1">
      <c r="P207" s="3576" t="s">
        <v>1376</v>
      </c>
    </row>
    <row r="208" spans="16:16" ht="12" customHeight="1">
      <c r="P208" s="3576" t="s">
        <v>1377</v>
      </c>
    </row>
    <row r="209" spans="16:16" ht="12" customHeight="1">
      <c r="P209" s="3576" t="s">
        <v>1378</v>
      </c>
    </row>
  </sheetData>
  <sheetProtection algorithmName="SHA-512" hashValue="QFlMwdq1vXn+RklIp34eMucv+xVwusJ72EzpvxbhgGlMnQWyUPh2NCmdZT1MDR3RhzCjAN+0reKcvohLYw6kWQ==" saltValue="URwCBOx053w88eNooRdlY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2" zoomScaleNormal="100" workbookViewId="0">
      <selection sqref="A1:XFD1048576"/>
    </sheetView>
  </sheetViews>
  <sheetFormatPr defaultColWidth="9.140625" defaultRowHeight="13.5"/>
  <cols>
    <col min="1" max="1" width="4.42578125" style="354" customWidth="1"/>
    <col min="2" max="17" width="8.140625" style="354" customWidth="1"/>
    <col min="18" max="18" width="3.42578125" style="354" customWidth="1"/>
    <col min="19" max="19" width="13.5703125" style="354" customWidth="1"/>
    <col min="20" max="20" width="98.5703125" style="354" customWidth="1"/>
    <col min="21" max="16384" width="9.140625" style="354"/>
  </cols>
  <sheetData>
    <row r="1" spans="1:20" s="278" customFormat="1" ht="14.1" customHeight="1">
      <c r="A1" s="1693" t="str">
        <f>CONCATENATE("PART THREE - SOURCES OF FUNDS","  -  ",'Part I-Project Information'!$O$6," ",'Part I-Project Information'!$F$34,", ",'Part I-Project Information'!$F$38,", ",'Part I-Project Information'!$J$39," County")</f>
        <v>PART THREE - SOURCES OF FUNDS  -  2018-041 Pointe North Village III, Albany, Dougherty County</v>
      </c>
      <c r="B1" s="1694"/>
      <c r="C1" s="1694"/>
      <c r="D1" s="1694"/>
      <c r="E1" s="1694"/>
      <c r="F1" s="1694"/>
      <c r="G1" s="1694"/>
      <c r="H1" s="1694"/>
      <c r="I1" s="1694"/>
      <c r="J1" s="1694"/>
      <c r="K1" s="1694"/>
      <c r="L1" s="1694"/>
      <c r="M1" s="1694"/>
      <c r="N1" s="1694"/>
      <c r="O1" s="1694"/>
      <c r="P1" s="1694"/>
      <c r="Q1" s="1695"/>
      <c r="S1" s="1736" t="str">
        <f>$A$1</f>
        <v>PART THREE - SOURCES OF FUNDS  -  2018-041 Pointe North Village III, Albany, Dougherty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35" customHeight="1">
      <c r="A3" s="307" t="s">
        <v>622</v>
      </c>
      <c r="B3" s="327" t="s">
        <v>2507</v>
      </c>
      <c r="C3" s="305"/>
      <c r="D3" s="1570"/>
      <c r="E3" s="1570"/>
      <c r="F3" s="1570"/>
      <c r="G3" s="1570"/>
      <c r="J3" s="1570"/>
      <c r="P3" s="1555" t="s">
        <v>4550</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4" t="s">
        <v>3011</v>
      </c>
      <c r="C5" s="1559" t="s">
        <v>2426</v>
      </c>
      <c r="D5" s="305"/>
      <c r="H5" s="3424" t="s">
        <v>3014</v>
      </c>
      <c r="I5" s="1559" t="s">
        <v>1549</v>
      </c>
      <c r="L5" s="3424" t="s">
        <v>3014</v>
      </c>
      <c r="M5" s="305" t="s">
        <v>3919</v>
      </c>
      <c r="S5" s="3425"/>
      <c r="T5" s="3426"/>
    </row>
    <row r="6" spans="1:20" s="278" customFormat="1" ht="16.5" customHeight="1">
      <c r="A6" s="501"/>
      <c r="B6" s="3427" t="s">
        <v>3014</v>
      </c>
      <c r="C6" s="1559" t="s">
        <v>555</v>
      </c>
      <c r="D6" s="305"/>
      <c r="H6" s="3427" t="s">
        <v>3014</v>
      </c>
      <c r="I6" s="1559" t="s">
        <v>554</v>
      </c>
      <c r="L6" s="3427" t="s">
        <v>3014</v>
      </c>
      <c r="M6" s="1559" t="s">
        <v>2618</v>
      </c>
      <c r="S6" s="3428"/>
      <c r="T6" s="3429"/>
    </row>
    <row r="7" spans="1:20" s="278" customFormat="1" ht="16.5" customHeight="1">
      <c r="A7" s="305"/>
      <c r="B7" s="3427" t="s">
        <v>3014</v>
      </c>
      <c r="C7" s="1559" t="s">
        <v>3916</v>
      </c>
      <c r="F7" s="3430"/>
      <c r="G7" s="3431"/>
      <c r="H7" s="3427" t="s">
        <v>3014</v>
      </c>
      <c r="I7" s="1559" t="s">
        <v>3706</v>
      </c>
      <c r="L7" s="3427" t="s">
        <v>3014</v>
      </c>
      <c r="M7" s="1559" t="s">
        <v>2619</v>
      </c>
      <c r="S7" s="3428"/>
      <c r="T7" s="3429"/>
    </row>
    <row r="8" spans="1:20" s="278" customFormat="1" ht="16.5" customHeight="1">
      <c r="A8" s="501"/>
      <c r="B8" s="3427" t="s">
        <v>3014</v>
      </c>
      <c r="C8" s="1559" t="s">
        <v>1816</v>
      </c>
      <c r="D8" s="305"/>
      <c r="H8" s="3427" t="s">
        <v>3014</v>
      </c>
      <c r="I8" s="305" t="s">
        <v>2627</v>
      </c>
      <c r="L8" s="3427" t="s">
        <v>3014</v>
      </c>
      <c r="M8" s="310" t="s">
        <v>3711</v>
      </c>
      <c r="S8" s="3432"/>
      <c r="T8" s="3433"/>
    </row>
    <row r="9" spans="1:20" s="278" customFormat="1" ht="16.5" customHeight="1">
      <c r="A9" s="501"/>
      <c r="B9" s="3427" t="s">
        <v>3014</v>
      </c>
      <c r="C9" s="1559" t="s">
        <v>556</v>
      </c>
      <c r="H9" s="3427" t="s">
        <v>3014</v>
      </c>
      <c r="I9" s="305" t="s">
        <v>2625</v>
      </c>
      <c r="L9" s="3427" t="s">
        <v>3014</v>
      </c>
      <c r="M9" s="310" t="s">
        <v>2626</v>
      </c>
      <c r="S9" s="3425"/>
      <c r="T9" s="3426"/>
    </row>
    <row r="10" spans="1:20" s="278" customFormat="1" ht="16.5" customHeight="1">
      <c r="A10" s="501"/>
      <c r="B10" s="3427" t="s">
        <v>3014</v>
      </c>
      <c r="C10" s="310" t="s">
        <v>3917</v>
      </c>
      <c r="G10" s="649"/>
      <c r="H10" s="3427" t="s">
        <v>3014</v>
      </c>
      <c r="I10" s="305" t="s">
        <v>3747</v>
      </c>
      <c r="J10" s="1035"/>
      <c r="K10" s="1035"/>
      <c r="L10" s="3427" t="s">
        <v>3014</v>
      </c>
      <c r="M10" s="310" t="s">
        <v>3749</v>
      </c>
      <c r="O10" s="3434" t="s">
        <v>3902</v>
      </c>
      <c r="P10" s="3435"/>
      <c r="Q10" s="3436"/>
      <c r="S10" s="3428"/>
      <c r="T10" s="3429"/>
    </row>
    <row r="11" spans="1:20" s="278" customFormat="1" ht="16.5" customHeight="1">
      <c r="A11" s="501"/>
      <c r="B11" s="3427" t="s">
        <v>3014</v>
      </c>
      <c r="C11" s="1559" t="s">
        <v>3750</v>
      </c>
      <c r="D11" s="305"/>
      <c r="E11" s="3437"/>
      <c r="F11" s="3438"/>
      <c r="H11" s="3427" t="s">
        <v>3014</v>
      </c>
      <c r="I11" s="305" t="s">
        <v>3752</v>
      </c>
      <c r="L11" s="3439" t="s">
        <v>3014</v>
      </c>
      <c r="M11" s="305" t="s">
        <v>3645</v>
      </c>
      <c r="S11" s="3428"/>
      <c r="T11" s="3429"/>
    </row>
    <row r="12" spans="1:20" s="278" customFormat="1" ht="16.5" customHeight="1">
      <c r="A12" s="501"/>
      <c r="B12" s="3439" t="s">
        <v>3014</v>
      </c>
      <c r="C12" s="1559" t="s">
        <v>3751</v>
      </c>
      <c r="E12" s="3440"/>
      <c r="F12" s="3441"/>
      <c r="H12" s="3427" t="s">
        <v>3014</v>
      </c>
      <c r="I12" s="521" t="s">
        <v>2814</v>
      </c>
      <c r="J12" s="521"/>
      <c r="K12" s="521"/>
      <c r="L12" s="3442" t="s">
        <v>3014</v>
      </c>
      <c r="M12" s="3443" t="s">
        <v>3713</v>
      </c>
      <c r="N12" s="3444"/>
      <c r="O12" s="3444"/>
      <c r="P12" s="3444"/>
      <c r="Q12" s="3445"/>
      <c r="S12" s="3432"/>
      <c r="T12" s="3433"/>
    </row>
    <row r="13" spans="1:20" s="278" customFormat="1" ht="16.5" customHeight="1">
      <c r="A13" s="501"/>
      <c r="C13" s="278" t="s">
        <v>3748</v>
      </c>
      <c r="E13" s="3434" t="s">
        <v>3472</v>
      </c>
      <c r="F13" s="3435"/>
      <c r="G13" s="3436"/>
      <c r="H13" s="3439" t="s">
        <v>3014</v>
      </c>
      <c r="I13" s="310" t="s">
        <v>3918</v>
      </c>
      <c r="J13" s="521"/>
      <c r="K13" s="521"/>
      <c r="M13" s="3446" t="s">
        <v>3724</v>
      </c>
      <c r="N13" s="3447"/>
      <c r="O13" s="3447"/>
      <c r="P13" s="3447"/>
      <c r="Q13" s="3448"/>
    </row>
    <row r="14" spans="1:20" s="278" customFormat="1" ht="17.100000000000001"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4.1" customHeight="1">
      <c r="A17" s="307"/>
      <c r="B17" s="277"/>
      <c r="C17" s="305"/>
      <c r="K17" s="305"/>
      <c r="L17" s="305"/>
      <c r="M17" s="1570"/>
      <c r="N17" s="1561"/>
      <c r="O17" s="1561"/>
      <c r="P17" s="305"/>
      <c r="Q17" s="305"/>
    </row>
    <row r="18" spans="1:20" s="278" customFormat="1" ht="17.100000000000001"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49" t="s">
        <v>4660</v>
      </c>
      <c r="I19" s="3450"/>
      <c r="J19" s="3450"/>
      <c r="K19" s="3451"/>
      <c r="L19" s="3351">
        <v>7527811</v>
      </c>
      <c r="M19" s="3352"/>
      <c r="N19" s="3452">
        <v>6.5000000000000002E-2</v>
      </c>
      <c r="O19" s="3453"/>
      <c r="P19" s="3454">
        <v>24</v>
      </c>
      <c r="Q19" s="3455"/>
      <c r="S19" s="3425"/>
      <c r="T19" s="3426"/>
    </row>
    <row r="20" spans="1:20" s="278" customFormat="1" ht="16.5" customHeight="1">
      <c r="A20" s="305"/>
      <c r="B20" s="1707" t="s">
        <v>1604</v>
      </c>
      <c r="C20" s="1708"/>
      <c r="D20" s="1708"/>
      <c r="E20" s="1570"/>
      <c r="F20" s="1570"/>
      <c r="G20" s="1570"/>
      <c r="H20" s="3456"/>
      <c r="I20" s="3457"/>
      <c r="J20" s="3457"/>
      <c r="K20" s="3458"/>
      <c r="L20" s="3356"/>
      <c r="M20" s="3357"/>
      <c r="N20" s="3459"/>
      <c r="O20" s="3460"/>
      <c r="P20" s="3461"/>
      <c r="Q20" s="3462"/>
      <c r="S20" s="3428"/>
      <c r="T20" s="3429"/>
    </row>
    <row r="21" spans="1:20" s="278" customFormat="1" ht="16.5" customHeight="1">
      <c r="A21" s="305"/>
      <c r="B21" s="1733" t="s">
        <v>1605</v>
      </c>
      <c r="C21" s="1734"/>
      <c r="D21" s="1734"/>
      <c r="E21" s="1567"/>
      <c r="F21" s="1567"/>
      <c r="G21" s="1567"/>
      <c r="H21" s="3463"/>
      <c r="I21" s="3464"/>
      <c r="J21" s="3464"/>
      <c r="K21" s="3465"/>
      <c r="L21" s="3385"/>
      <c r="M21" s="3386"/>
      <c r="N21" s="3466"/>
      <c r="O21" s="3467"/>
      <c r="P21" s="3468"/>
      <c r="Q21" s="3469"/>
      <c r="S21" s="3428"/>
      <c r="T21" s="3429"/>
    </row>
    <row r="22" spans="1:20" s="278" customFormat="1" ht="16.5" customHeight="1">
      <c r="A22" s="305"/>
      <c r="B22" s="1725" t="s">
        <v>2231</v>
      </c>
      <c r="C22" s="1726"/>
      <c r="D22" s="1726"/>
      <c r="E22" s="1570"/>
      <c r="F22" s="1570"/>
      <c r="G22" s="1570"/>
      <c r="H22" s="3470"/>
      <c r="I22" s="3471"/>
      <c r="J22" s="3471"/>
      <c r="K22" s="3472"/>
      <c r="L22" s="3473"/>
      <c r="M22" s="3474"/>
      <c r="N22" s="1727"/>
      <c r="O22" s="1728"/>
      <c r="P22" s="1722"/>
      <c r="Q22" s="1722"/>
      <c r="S22" s="3428"/>
      <c r="T22" s="3429"/>
    </row>
    <row r="23" spans="1:20" s="278" customFormat="1" ht="16.5" customHeight="1">
      <c r="A23" s="305"/>
      <c r="B23" s="1707" t="s">
        <v>809</v>
      </c>
      <c r="C23" s="1708"/>
      <c r="D23" s="1708"/>
      <c r="E23" s="1570"/>
      <c r="H23" s="3456"/>
      <c r="I23" s="3457"/>
      <c r="J23" s="3457"/>
      <c r="K23" s="3458"/>
      <c r="L23" s="3356"/>
      <c r="M23" s="3357"/>
      <c r="N23" s="1727"/>
      <c r="O23" s="1728"/>
      <c r="P23" s="1722"/>
      <c r="Q23" s="1722"/>
      <c r="S23" s="3428"/>
      <c r="T23" s="3429"/>
    </row>
    <row r="24" spans="1:20" s="278" customFormat="1" ht="16.5" customHeight="1">
      <c r="A24" s="305"/>
      <c r="B24" s="1707" t="s">
        <v>647</v>
      </c>
      <c r="C24" s="1708"/>
      <c r="D24" s="1708"/>
      <c r="E24" s="1570"/>
      <c r="H24" s="3456"/>
      <c r="I24" s="3457"/>
      <c r="J24" s="3457"/>
      <c r="K24" s="3458"/>
      <c r="L24" s="3356"/>
      <c r="M24" s="3357"/>
      <c r="N24" s="1727"/>
      <c r="O24" s="1728"/>
      <c r="P24" s="1722"/>
      <c r="Q24" s="1722"/>
      <c r="S24" s="3428"/>
      <c r="T24" s="3429"/>
    </row>
    <row r="25" spans="1:20" s="278" customFormat="1" ht="16.5" customHeight="1">
      <c r="A25" s="305"/>
      <c r="B25" s="1707" t="s">
        <v>810</v>
      </c>
      <c r="C25" s="1708"/>
      <c r="D25" s="1708"/>
      <c r="E25" s="1570"/>
      <c r="H25" s="3456" t="s">
        <v>4661</v>
      </c>
      <c r="I25" s="3457"/>
      <c r="J25" s="3457"/>
      <c r="K25" s="3458"/>
      <c r="L25" s="3356">
        <v>1313966</v>
      </c>
      <c r="M25" s="3357"/>
      <c r="N25" s="305"/>
      <c r="O25" s="305"/>
      <c r="P25" s="305"/>
      <c r="Q25" s="305"/>
      <c r="S25" s="3432"/>
      <c r="T25" s="3433"/>
    </row>
    <row r="26" spans="1:20" s="278" customFormat="1" ht="16.5" customHeight="1">
      <c r="A26" s="305"/>
      <c r="B26" s="1707" t="s">
        <v>811</v>
      </c>
      <c r="C26" s="1708"/>
      <c r="D26" s="1708"/>
      <c r="E26" s="1570"/>
      <c r="H26" s="3456" t="s">
        <v>4661</v>
      </c>
      <c r="I26" s="3457"/>
      <c r="J26" s="3457"/>
      <c r="K26" s="3458"/>
      <c r="L26" s="3356">
        <v>571961</v>
      </c>
      <c r="M26" s="3357"/>
      <c r="N26" s="305"/>
      <c r="Q26" s="305"/>
      <c r="S26" s="3425"/>
      <c r="T26" s="3426"/>
    </row>
    <row r="27" spans="1:20" s="278" customFormat="1" ht="16.5" customHeight="1">
      <c r="A27" s="305"/>
      <c r="B27" s="1569" t="s">
        <v>244</v>
      </c>
      <c r="C27" s="1570"/>
      <c r="D27" s="3475"/>
      <c r="E27" s="3475"/>
      <c r="F27" s="3475"/>
      <c r="G27" s="3475"/>
      <c r="H27" s="3456"/>
      <c r="I27" s="3457"/>
      <c r="J27" s="3457"/>
      <c r="K27" s="3458"/>
      <c r="L27" s="3356"/>
      <c r="M27" s="3357"/>
      <c r="N27" s="305"/>
      <c r="Q27" s="305"/>
      <c r="S27" s="3428"/>
      <c r="T27" s="3429"/>
    </row>
    <row r="28" spans="1:20" s="278" customFormat="1" ht="16.5" customHeight="1">
      <c r="A28" s="305"/>
      <c r="B28" s="1569" t="s">
        <v>244</v>
      </c>
      <c r="C28" s="1570"/>
      <c r="D28" s="3476"/>
      <c r="E28" s="3476"/>
      <c r="F28" s="3476"/>
      <c r="G28" s="3476"/>
      <c r="H28" s="3456"/>
      <c r="I28" s="3457"/>
      <c r="J28" s="3457"/>
      <c r="K28" s="3458"/>
      <c r="L28" s="3356"/>
      <c r="M28" s="3357"/>
      <c r="N28" s="305"/>
      <c r="S28" s="3428"/>
      <c r="T28" s="3429"/>
    </row>
    <row r="29" spans="1:20" s="278" customFormat="1" ht="16.5" customHeight="1">
      <c r="A29" s="305"/>
      <c r="B29" s="1566" t="s">
        <v>244</v>
      </c>
      <c r="C29" s="1567"/>
      <c r="D29" s="3477"/>
      <c r="E29" s="3477"/>
      <c r="F29" s="3477"/>
      <c r="G29" s="3477"/>
      <c r="H29" s="3463"/>
      <c r="I29" s="3464"/>
      <c r="J29" s="3464"/>
      <c r="K29" s="3465"/>
      <c r="L29" s="3385"/>
      <c r="M29" s="3386"/>
      <c r="N29" s="305"/>
      <c r="S29" s="3428"/>
      <c r="T29" s="3429"/>
    </row>
    <row r="30" spans="1:20" s="278" customFormat="1" ht="16.5" customHeight="1">
      <c r="A30" s="305"/>
      <c r="B30" s="277" t="s">
        <v>1310</v>
      </c>
      <c r="C30" s="305"/>
      <c r="D30" s="305"/>
      <c r="E30" s="305"/>
      <c r="F30" s="305"/>
      <c r="G30" s="305"/>
      <c r="H30" s="305"/>
      <c r="I30" s="305"/>
      <c r="L30" s="1729">
        <f>SUM(L19:L29)</f>
        <v>9413738</v>
      </c>
      <c r="M30" s="1730"/>
      <c r="N30" s="324"/>
      <c r="S30" s="3428"/>
      <c r="T30" s="3429"/>
    </row>
    <row r="31" spans="1:20" s="278" customFormat="1" ht="16.5" customHeight="1">
      <c r="A31" s="305"/>
      <c r="B31" s="1559" t="s">
        <v>1311</v>
      </c>
      <c r="C31" s="305"/>
      <c r="D31" s="305"/>
      <c r="E31" s="305"/>
      <c r="F31" s="305"/>
      <c r="G31" s="305"/>
      <c r="H31" s="305"/>
      <c r="I31" s="305"/>
      <c r="L31" s="347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9413738</v>
      </c>
      <c r="M31" s="3479"/>
      <c r="N31" s="900"/>
      <c r="S31" s="3428"/>
      <c r="T31" s="3429"/>
    </row>
    <row r="32" spans="1:20" s="278" customFormat="1" ht="16.5" customHeight="1">
      <c r="A32" s="305"/>
      <c r="B32" s="310" t="s">
        <v>2173</v>
      </c>
      <c r="C32" s="305"/>
      <c r="D32" s="305"/>
      <c r="E32" s="305"/>
      <c r="F32" s="305"/>
      <c r="G32" s="305"/>
      <c r="H32" s="305"/>
      <c r="I32" s="305"/>
      <c r="L32" s="1731">
        <f>L30-L31</f>
        <v>0</v>
      </c>
      <c r="M32" s="1732"/>
      <c r="N32" s="900"/>
      <c r="S32" s="3432"/>
      <c r="T32" s="3433"/>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3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35" customHeight="1">
      <c r="A36" s="305"/>
      <c r="B36" s="1564" t="s">
        <v>1885</v>
      </c>
      <c r="C36" s="1567"/>
      <c r="D36" s="1567"/>
      <c r="E36" s="1620" t="s">
        <v>1309</v>
      </c>
      <c r="F36" s="1620"/>
      <c r="G36" s="1620"/>
      <c r="H36" s="1620"/>
      <c r="I36" s="1637" t="s">
        <v>493</v>
      </c>
      <c r="J36" s="1637"/>
      <c r="K36" s="1558" t="s">
        <v>1819</v>
      </c>
      <c r="L36" s="1558" t="s">
        <v>2230</v>
      </c>
      <c r="M36" s="1558" t="s">
        <v>2230</v>
      </c>
      <c r="N36" s="3480"/>
      <c r="O36" s="3480"/>
      <c r="P36" s="1637" t="s">
        <v>75</v>
      </c>
      <c r="Q36" s="1637"/>
      <c r="S36" s="1724" t="s">
        <v>2700</v>
      </c>
      <c r="T36" s="1724"/>
    </row>
    <row r="37" spans="1:20" s="278" customFormat="1" ht="14.25" customHeight="1">
      <c r="A37" s="305"/>
      <c r="B37" s="1725" t="s">
        <v>2631</v>
      </c>
      <c r="C37" s="1726"/>
      <c r="D37" s="1726"/>
      <c r="E37" s="3449" t="s">
        <v>4660</v>
      </c>
      <c r="F37" s="3450"/>
      <c r="G37" s="3450"/>
      <c r="H37" s="3451"/>
      <c r="I37" s="3481">
        <v>805000</v>
      </c>
      <c r="J37" s="3482"/>
      <c r="K37" s="3483">
        <v>6.5000000000000002E-2</v>
      </c>
      <c r="L37" s="3424">
        <v>20</v>
      </c>
      <c r="M37" s="3424">
        <v>30</v>
      </c>
      <c r="N37" s="3484">
        <f t="shared" ref="N37:N41" si="0">IF(OR(I37&lt;=0,I37=""),"",IF(P37="Amortizing",-PMT(K37/12,M37*12,I37,0,0)*12,""))</f>
        <v>61057.771069420298</v>
      </c>
      <c r="O37" s="3484"/>
      <c r="P37" s="3485" t="s">
        <v>4662</v>
      </c>
      <c r="Q37" s="3485"/>
      <c r="S37" s="3425"/>
      <c r="T37" s="3426"/>
    </row>
    <row r="38" spans="1:20" s="278" customFormat="1" ht="14.25" customHeight="1">
      <c r="A38" s="305"/>
      <c r="B38" s="1707" t="s">
        <v>2632</v>
      </c>
      <c r="C38" s="1708"/>
      <c r="D38" s="1708"/>
      <c r="E38" s="3456"/>
      <c r="F38" s="3457"/>
      <c r="G38" s="3457"/>
      <c r="H38" s="3458"/>
      <c r="I38" s="3486"/>
      <c r="J38" s="3487"/>
      <c r="K38" s="3488"/>
      <c r="L38" s="3427"/>
      <c r="M38" s="3427"/>
      <c r="N38" s="3489" t="str">
        <f t="shared" si="0"/>
        <v/>
      </c>
      <c r="O38" s="3489"/>
      <c r="P38" s="3490"/>
      <c r="Q38" s="3490"/>
      <c r="S38" s="3428"/>
      <c r="T38" s="3429"/>
    </row>
    <row r="39" spans="1:20" s="278" customFormat="1" ht="14.25" customHeight="1">
      <c r="A39" s="305"/>
      <c r="B39" s="1707" t="s">
        <v>2633</v>
      </c>
      <c r="C39" s="1708"/>
      <c r="D39" s="1708"/>
      <c r="E39" s="3456"/>
      <c r="F39" s="3457"/>
      <c r="G39" s="3457"/>
      <c r="H39" s="3458"/>
      <c r="I39" s="3486"/>
      <c r="J39" s="3487"/>
      <c r="K39" s="3488"/>
      <c r="L39" s="3427"/>
      <c r="M39" s="3427"/>
      <c r="N39" s="3489" t="str">
        <f t="shared" si="0"/>
        <v/>
      </c>
      <c r="O39" s="3489"/>
      <c r="P39" s="3490"/>
      <c r="Q39" s="3490"/>
      <c r="S39" s="3428"/>
      <c r="T39" s="3429"/>
    </row>
    <row r="40" spans="1:20" s="278" customFormat="1" ht="14.25" customHeight="1">
      <c r="A40" s="305"/>
      <c r="B40" s="1569" t="s">
        <v>749</v>
      </c>
      <c r="C40" s="3491"/>
      <c r="D40" s="3492"/>
      <c r="E40" s="3456"/>
      <c r="F40" s="3457"/>
      <c r="G40" s="3457"/>
      <c r="H40" s="3458"/>
      <c r="I40" s="3486"/>
      <c r="J40" s="3487"/>
      <c r="K40" s="3493"/>
      <c r="L40" s="3439"/>
      <c r="M40" s="3439"/>
      <c r="N40" s="3494" t="str">
        <f t="shared" si="0"/>
        <v/>
      </c>
      <c r="O40" s="3494"/>
      <c r="P40" s="3495"/>
      <c r="Q40" s="3495"/>
      <c r="S40" s="3428"/>
      <c r="T40" s="3429"/>
    </row>
    <row r="41" spans="1:20" s="278" customFormat="1" ht="14.25" customHeight="1">
      <c r="A41" s="305"/>
      <c r="B41" s="1569" t="s">
        <v>2767</v>
      </c>
      <c r="C41" s="1570"/>
      <c r="D41" s="1575"/>
      <c r="E41" s="3456"/>
      <c r="F41" s="3457"/>
      <c r="G41" s="3457"/>
      <c r="H41" s="3458"/>
      <c r="I41" s="3486"/>
      <c r="J41" s="3487"/>
      <c r="K41" s="480"/>
      <c r="L41" s="1573"/>
      <c r="M41" s="1573"/>
      <c r="N41" s="1716" t="str">
        <f t="shared" si="0"/>
        <v/>
      </c>
      <c r="O41" s="1716"/>
      <c r="P41" s="1717"/>
      <c r="Q41" s="1717"/>
      <c r="S41" s="3428"/>
      <c r="T41" s="3429"/>
    </row>
    <row r="42" spans="1:20" s="278" customFormat="1" ht="14.25" customHeight="1">
      <c r="A42" s="305"/>
      <c r="B42" s="1566" t="s">
        <v>230</v>
      </c>
      <c r="C42" s="1567"/>
      <c r="D42" s="382">
        <f>IF(OR(I42="",I42=0,'Part IV-A-Uses of Funds'!$G$118="",'Part IV-A-Uses of Funds'!$G$118=0),"",I42/'Part IV-A-Uses of Funds'!$G$118)</f>
        <v>7.7188507889281517E-4</v>
      </c>
      <c r="E42" s="3463" t="s">
        <v>4552</v>
      </c>
      <c r="F42" s="3464"/>
      <c r="G42" s="3464"/>
      <c r="H42" s="3465"/>
      <c r="I42" s="3496">
        <v>944</v>
      </c>
      <c r="J42" s="3497"/>
      <c r="K42" s="3498">
        <v>0</v>
      </c>
      <c r="L42" s="3442">
        <v>15</v>
      </c>
      <c r="M42" s="3442">
        <v>0</v>
      </c>
      <c r="N42" s="3499">
        <f>-'Part VII-Pro Forma'!B29</f>
        <v>944</v>
      </c>
      <c r="O42" s="3500"/>
      <c r="P42" s="3501" t="s">
        <v>1175</v>
      </c>
      <c r="Q42" s="3502"/>
      <c r="S42" s="3428"/>
      <c r="T42" s="3429"/>
    </row>
    <row r="43" spans="1:20" s="278" customFormat="1" ht="3" customHeight="1">
      <c r="A43" s="305"/>
      <c r="B43" s="305"/>
      <c r="C43" s="305"/>
      <c r="D43" s="305"/>
      <c r="E43" s="305"/>
      <c r="F43" s="305"/>
      <c r="G43" s="305"/>
      <c r="H43" s="305"/>
      <c r="I43" s="1616"/>
      <c r="J43" s="3503"/>
      <c r="K43" s="1615"/>
      <c r="L43" s="1571"/>
      <c r="M43" s="1571"/>
      <c r="N43" s="1617"/>
      <c r="O43" s="1617"/>
      <c r="P43" s="1571"/>
      <c r="Q43" s="1571"/>
      <c r="S43" s="3504"/>
      <c r="T43" s="3505"/>
    </row>
    <row r="44" spans="1:20" s="278" customFormat="1" ht="14.25" customHeight="1">
      <c r="A44" s="305"/>
      <c r="B44" s="1165" t="s">
        <v>4236</v>
      </c>
      <c r="C44" s="1570"/>
      <c r="E44" s="278" t="s">
        <v>4131</v>
      </c>
      <c r="F44" s="1714">
        <f>IF(OR($I$42="",$I$42=0,'Part VII-Pro Forma'!$S$33=0,'Part VII-Pro Forma'!$S$33=""),"",VLOOKUP($L$42,'Part VII-Pro Forma'!$Q$19:$S$38,3))</f>
        <v>313129.35875511344</v>
      </c>
      <c r="G44" s="1715"/>
      <c r="H44" s="649" t="s">
        <v>4235</v>
      </c>
      <c r="I44" s="1720">
        <f>IF(OR($I$42="",$I$42=0,'Part VII-Pro Forma'!$R$33=0,'Part VII-Pro Forma'!$R$33=""),"",VLOOKUP($L$42,'Part VII-Pro Forma'!$Q$19:$S$33,2))</f>
        <v>944</v>
      </c>
      <c r="J44" s="1721"/>
      <c r="K44" s="3506"/>
      <c r="L44" s="1571"/>
      <c r="M44" s="1571"/>
      <c r="N44" s="1617"/>
      <c r="O44" s="1617"/>
      <c r="P44" s="1571"/>
      <c r="Q44" s="1571"/>
      <c r="S44" s="3504"/>
      <c r="T44" s="3505"/>
    </row>
    <row r="45" spans="1:20" s="278" customFormat="1" ht="14.25" customHeight="1">
      <c r="A45" s="305"/>
      <c r="B45" s="1165" t="s">
        <v>4294</v>
      </c>
      <c r="C45" s="1570"/>
      <c r="D45" s="1166"/>
      <c r="F45" s="3507">
        <v>1</v>
      </c>
      <c r="G45" s="3508"/>
      <c r="H45" s="649" t="s">
        <v>4237</v>
      </c>
      <c r="I45" s="1718">
        <f>IF(OR($F$44 = 0,$F$44 =""),"",$I$44/$F$44)</f>
        <v>3.0147284935305809E-3</v>
      </c>
      <c r="J45" s="1719"/>
      <c r="K45" s="1615"/>
      <c r="L45" s="1571"/>
      <c r="M45" s="1571"/>
      <c r="N45" s="1617"/>
      <c r="O45" s="1617"/>
      <c r="P45" s="1571"/>
      <c r="Q45" s="1571"/>
      <c r="S45" s="3504"/>
      <c r="T45" s="3505"/>
    </row>
    <row r="46" spans="1:20" s="278" customFormat="1" ht="3" customHeight="1">
      <c r="A46" s="305"/>
      <c r="B46" s="305"/>
      <c r="C46" s="305"/>
      <c r="D46" s="305"/>
      <c r="E46" s="305"/>
      <c r="F46" s="305"/>
      <c r="G46" s="305"/>
      <c r="H46" s="305"/>
      <c r="I46" s="3509"/>
      <c r="J46" s="3510"/>
      <c r="K46" s="1615"/>
      <c r="L46" s="1571"/>
      <c r="M46" s="1571"/>
      <c r="N46" s="1617"/>
      <c r="O46" s="1617"/>
      <c r="P46" s="1571"/>
      <c r="Q46" s="1571"/>
      <c r="S46" s="3504"/>
      <c r="T46" s="3505"/>
    </row>
    <row r="47" spans="1:20" s="278" customFormat="1" ht="14.25" customHeight="1">
      <c r="A47" s="305"/>
      <c r="B47" s="1704" t="s">
        <v>2231</v>
      </c>
      <c r="C47" s="1705"/>
      <c r="D47" s="1706"/>
      <c r="E47" s="3449"/>
      <c r="F47" s="3450"/>
      <c r="G47" s="3450"/>
      <c r="H47" s="3451"/>
      <c r="I47" s="3511"/>
      <c r="J47" s="3512"/>
      <c r="K47" s="383"/>
      <c r="L47" s="383"/>
      <c r="M47" s="383"/>
      <c r="N47" s="383"/>
      <c r="O47" s="383"/>
      <c r="P47" s="383"/>
      <c r="Q47" s="383"/>
      <c r="S47" s="3425"/>
      <c r="T47" s="3426"/>
    </row>
    <row r="48" spans="1:20" s="278" customFormat="1" ht="14.25" customHeight="1">
      <c r="A48" s="305"/>
      <c r="B48" s="1707" t="s">
        <v>809</v>
      </c>
      <c r="C48" s="1708"/>
      <c r="D48" s="1709"/>
      <c r="E48" s="3456"/>
      <c r="F48" s="3457"/>
      <c r="G48" s="3457"/>
      <c r="H48" s="3458"/>
      <c r="I48" s="3486"/>
      <c r="J48" s="3487"/>
      <c r="L48" s="1710" t="s">
        <v>522</v>
      </c>
      <c r="M48" s="1710"/>
      <c r="N48" s="1711" t="s">
        <v>523</v>
      </c>
      <c r="O48" s="1711"/>
      <c r="P48" s="413" t="s">
        <v>521</v>
      </c>
      <c r="Q48" s="383"/>
      <c r="S48" s="3428"/>
      <c r="T48" s="3429"/>
    </row>
    <row r="49" spans="1:23" s="278" customFormat="1" ht="14.25" customHeight="1">
      <c r="A49" s="305"/>
      <c r="B49" s="1707" t="s">
        <v>810</v>
      </c>
      <c r="C49" s="1708"/>
      <c r="D49" s="1709"/>
      <c r="E49" s="3456" t="s">
        <v>4661</v>
      </c>
      <c r="F49" s="3457"/>
      <c r="G49" s="3457"/>
      <c r="H49" s="3458"/>
      <c r="I49" s="3486">
        <v>6569828</v>
      </c>
      <c r="J49" s="3486"/>
      <c r="L49" s="1712">
        <f>'Part IV-A-Uses of Funds'!$J$175*10*'Part IV-A-Uses of Funds'!$N$168</f>
        <v>6570483</v>
      </c>
      <c r="M49" s="1712"/>
      <c r="N49" s="1713">
        <f>I49-L49</f>
        <v>-655</v>
      </c>
      <c r="O49" s="1713"/>
      <c r="P49" s="414" t="s">
        <v>2577</v>
      </c>
      <c r="Q49" s="383"/>
      <c r="S49" s="3428"/>
      <c r="T49" s="3429"/>
    </row>
    <row r="50" spans="1:23" s="278" customFormat="1" ht="14.25" customHeight="1">
      <c r="A50" s="305"/>
      <c r="B50" s="1707" t="s">
        <v>811</v>
      </c>
      <c r="C50" s="1708"/>
      <c r="D50" s="1709"/>
      <c r="E50" s="3456" t="s">
        <v>4661</v>
      </c>
      <c r="F50" s="3457"/>
      <c r="G50" s="3457"/>
      <c r="H50" s="3458"/>
      <c r="I50" s="3486">
        <v>2859807</v>
      </c>
      <c r="J50" s="3486"/>
      <c r="L50" s="1712">
        <f>'Part IV-A-Uses of Funds'!$J$175*10*'Part IV-A-Uses of Funds'!$Q$168</f>
        <v>2860092.6</v>
      </c>
      <c r="M50" s="1712"/>
      <c r="N50" s="1713">
        <f>I50-L50</f>
        <v>-285.60000000009313</v>
      </c>
      <c r="O50" s="1713"/>
      <c r="P50" s="415">
        <f>I49/I59</f>
        <v>0.64186188309057846</v>
      </c>
      <c r="Q50" s="383"/>
      <c r="S50" s="3428"/>
      <c r="T50" s="3429"/>
    </row>
    <row r="51" spans="1:23" s="278" customFormat="1" ht="14.25" customHeight="1">
      <c r="A51" s="305"/>
      <c r="B51" s="1707" t="s">
        <v>1422</v>
      </c>
      <c r="C51" s="1708"/>
      <c r="D51" s="1709"/>
      <c r="E51" s="3456"/>
      <c r="F51" s="3457"/>
      <c r="G51" s="3457"/>
      <c r="H51" s="3458"/>
      <c r="I51" s="3486"/>
      <c r="J51" s="3486"/>
      <c r="P51" s="415">
        <f>I50/I59</f>
        <v>0.27939865492606775</v>
      </c>
      <c r="Q51" s="383"/>
      <c r="S51" s="3432"/>
      <c r="T51" s="3433"/>
    </row>
    <row r="52" spans="1:23" s="278" customFormat="1" ht="14.25" customHeight="1">
      <c r="A52" s="305"/>
      <c r="B52" s="1569" t="s">
        <v>536</v>
      </c>
      <c r="C52" s="1570"/>
      <c r="D52" s="1575"/>
      <c r="E52" s="3456"/>
      <c r="F52" s="3457"/>
      <c r="G52" s="3457"/>
      <c r="H52" s="3458"/>
      <c r="I52" s="3486"/>
      <c r="J52" s="3486"/>
      <c r="K52" s="305"/>
      <c r="P52" s="416">
        <f>SUM(P50:P51)</f>
        <v>0.9212605380166462</v>
      </c>
      <c r="Q52" s="383"/>
      <c r="S52" s="3428"/>
      <c r="T52" s="3429"/>
    </row>
    <row r="53" spans="1:23" s="278" customFormat="1" ht="14.25" customHeight="1">
      <c r="A53" s="305"/>
      <c r="B53" s="1569" t="s">
        <v>1883</v>
      </c>
      <c r="C53" s="1570"/>
      <c r="D53" s="1575"/>
      <c r="E53" s="3456"/>
      <c r="F53" s="3457"/>
      <c r="G53" s="3457"/>
      <c r="H53" s="3458"/>
      <c r="I53" s="3486"/>
      <c r="J53" s="3486"/>
      <c r="N53" s="384"/>
      <c r="O53" s="384"/>
      <c r="P53" s="384"/>
      <c r="Q53" s="383"/>
      <c r="S53" s="3428"/>
      <c r="T53" s="3429"/>
    </row>
    <row r="54" spans="1:23" s="278" customFormat="1" ht="14.25" customHeight="1">
      <c r="A54" s="305"/>
      <c r="B54" s="1569" t="s">
        <v>1884</v>
      </c>
      <c r="C54" s="1570"/>
      <c r="D54" s="1575"/>
      <c r="E54" s="3456"/>
      <c r="F54" s="3457"/>
      <c r="G54" s="3457"/>
      <c r="H54" s="3458"/>
      <c r="I54" s="3486"/>
      <c r="J54" s="3486"/>
      <c r="M54" s="384"/>
      <c r="N54" s="384"/>
      <c r="O54" s="384"/>
      <c r="P54" s="384"/>
      <c r="Q54" s="383"/>
      <c r="S54" s="3428"/>
      <c r="T54" s="3429"/>
    </row>
    <row r="55" spans="1:23" s="278" customFormat="1" ht="14.25" customHeight="1">
      <c r="A55" s="305"/>
      <c r="B55" s="1569" t="s">
        <v>749</v>
      </c>
      <c r="C55" s="3475"/>
      <c r="D55" s="3475"/>
      <c r="E55" s="3456"/>
      <c r="F55" s="3457"/>
      <c r="G55" s="3457"/>
      <c r="H55" s="3458"/>
      <c r="I55" s="3486"/>
      <c r="J55" s="3486"/>
      <c r="M55" s="384"/>
      <c r="N55" s="384"/>
      <c r="O55" s="384"/>
      <c r="P55" s="384"/>
      <c r="Q55" s="383"/>
      <c r="S55" s="3428"/>
      <c r="T55" s="3429"/>
    </row>
    <row r="56" spans="1:23" s="278" customFormat="1" ht="14.25" customHeight="1">
      <c r="A56" s="305"/>
      <c r="B56" s="1569" t="s">
        <v>749</v>
      </c>
      <c r="C56" s="3476"/>
      <c r="D56" s="3476"/>
      <c r="E56" s="3456"/>
      <c r="F56" s="3457"/>
      <c r="G56" s="3457"/>
      <c r="H56" s="3458"/>
      <c r="I56" s="3486"/>
      <c r="J56" s="3486"/>
      <c r="K56" s="305"/>
      <c r="L56" s="385"/>
      <c r="M56" s="384"/>
      <c r="N56" s="384"/>
      <c r="O56" s="384"/>
      <c r="P56" s="384"/>
      <c r="Q56" s="383"/>
      <c r="S56" s="3428"/>
      <c r="T56" s="3429"/>
    </row>
    <row r="57" spans="1:23" s="278" customFormat="1" ht="14.25" customHeight="1">
      <c r="A57" s="305"/>
      <c r="B57" s="1566" t="s">
        <v>749</v>
      </c>
      <c r="C57" s="3477"/>
      <c r="D57" s="3477"/>
      <c r="E57" s="3463"/>
      <c r="F57" s="3464"/>
      <c r="G57" s="3464"/>
      <c r="H57" s="3465"/>
      <c r="I57" s="3513"/>
      <c r="J57" s="3513"/>
      <c r="K57" s="305"/>
      <c r="L57" s="385"/>
      <c r="M57" s="384"/>
      <c r="N57" s="384"/>
      <c r="O57" s="384"/>
      <c r="P57" s="384"/>
      <c r="Q57" s="383"/>
      <c r="S57" s="3428"/>
      <c r="T57" s="3429"/>
    </row>
    <row r="58" spans="1:23" s="278" customFormat="1" ht="14.25" customHeight="1">
      <c r="A58" s="305"/>
      <c r="B58" s="1559" t="s">
        <v>2232</v>
      </c>
      <c r="C58" s="305"/>
      <c r="D58" s="305"/>
      <c r="E58" s="305"/>
      <c r="F58" s="305"/>
      <c r="G58" s="305"/>
      <c r="I58" s="1698">
        <f>SUM(I37:J42)+SUM(I47:J57)</f>
        <v>10235579</v>
      </c>
      <c r="J58" s="1699"/>
      <c r="K58" s="305"/>
      <c r="L58" s="385"/>
      <c r="M58" s="384"/>
      <c r="N58" s="384"/>
      <c r="O58" s="384"/>
      <c r="P58" s="384"/>
      <c r="Q58" s="383"/>
      <c r="S58" s="3428"/>
      <c r="T58" s="3429"/>
    </row>
    <row r="59" spans="1:23" s="278" customFormat="1" ht="14.25" customHeight="1" thickBot="1">
      <c r="A59" s="305"/>
      <c r="B59" s="1559" t="s">
        <v>2233</v>
      </c>
      <c r="C59" s="305"/>
      <c r="D59" s="305"/>
      <c r="E59" s="305"/>
      <c r="F59" s="305"/>
      <c r="G59" s="305"/>
      <c r="I59" s="1700">
        <f>'Part IV-A-Uses of Funds'!$G$132</f>
        <v>10235578.982141985</v>
      </c>
      <c r="J59" s="1701"/>
      <c r="K59" s="305"/>
      <c r="L59" s="385"/>
      <c r="M59" s="384"/>
      <c r="N59" s="384"/>
      <c r="O59" s="384"/>
      <c r="P59" s="384"/>
      <c r="Q59" s="383"/>
      <c r="S59" s="3428"/>
      <c r="T59" s="3429"/>
    </row>
    <row r="60" spans="1:23" s="278" customFormat="1" ht="14.25" customHeight="1" thickBot="1">
      <c r="A60" s="305"/>
      <c r="B60" s="310" t="s">
        <v>1537</v>
      </c>
      <c r="C60" s="305"/>
      <c r="D60" s="305"/>
      <c r="E60" s="305"/>
      <c r="F60" s="305"/>
      <c r="G60" s="305"/>
      <c r="I60" s="1702">
        <f>I58-I59</f>
        <v>1.785801537334919E-2</v>
      </c>
      <c r="J60" s="1703"/>
      <c r="K60" s="305"/>
      <c r="L60" s="385"/>
      <c r="M60" s="384"/>
      <c r="N60" s="384"/>
      <c r="O60" s="384"/>
      <c r="P60" s="384"/>
      <c r="Q60" s="383"/>
      <c r="S60" s="3432"/>
      <c r="T60" s="3433"/>
    </row>
    <row r="61" spans="1:23" s="278" customFormat="1" ht="13.3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1" t="s">
        <v>4663</v>
      </c>
      <c r="B64" s="3311"/>
      <c r="C64" s="3311"/>
      <c r="D64" s="3311"/>
      <c r="E64" s="3311"/>
      <c r="F64" s="3311"/>
      <c r="G64" s="3311"/>
      <c r="H64" s="3311"/>
      <c r="I64" s="3311"/>
      <c r="J64" s="3311"/>
      <c r="K64" s="3311"/>
      <c r="L64" s="3311"/>
      <c r="M64" s="3312"/>
      <c r="N64" s="3312"/>
      <c r="O64" s="3312"/>
      <c r="P64" s="3312"/>
      <c r="Q64" s="3312"/>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L5RPdytB/AAhtfAVZXtrbdq5ezcia/VfGuRHHyIKO5v76QUKDYMsjoEfPpMvblxF5LiI69b0Rhfc9e6JdkS/eg==" saltValue="3ly4VJErXoUD2ePHAOm3L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5703125" style="28" customWidth="1"/>
    <col min="2" max="5" width="16.85546875" style="28" customWidth="1"/>
    <col min="6" max="6" width="4.85546875" style="28" bestFit="1" customWidth="1"/>
    <col min="7" max="7" width="11.42578125" style="28" customWidth="1"/>
    <col min="8" max="8" width="12.140625" style="28" bestFit="1" customWidth="1"/>
    <col min="9" max="9" width="12.42578125" style="28" bestFit="1" customWidth="1"/>
    <col min="10" max="10" width="11.5703125" style="28" bestFit="1" customWidth="1"/>
    <col min="11" max="11" width="15.140625" style="28" bestFit="1" customWidth="1"/>
    <col min="12" max="16384" width="8.85546875" style="28"/>
  </cols>
  <sheetData>
    <row r="1" spans="1:17" s="171" customFormat="1" ht="16.350000000000001"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1.1"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3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1.1"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3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3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5703125" style="28" customWidth="1"/>
    <col min="7" max="7" width="11.5703125" style="28" customWidth="1"/>
    <col min="8" max="8" width="2.42578125" style="83" customWidth="1"/>
    <col min="9" max="9" width="10.42578125" style="28" bestFit="1" customWidth="1"/>
    <col min="10" max="10" width="12.42578125" style="28" customWidth="1"/>
    <col min="11" max="11" width="10.5703125" style="28" customWidth="1"/>
    <col min="12" max="16384" width="8.85546875" style="28"/>
  </cols>
  <sheetData>
    <row r="1" spans="1:17" s="171" customFormat="1" ht="16.350000000000001"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3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4.1"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42578125" style="324" customWidth="1"/>
    <col min="5" max="5" width="12.5703125" style="324" customWidth="1"/>
    <col min="6" max="6" width="10.42578125" style="324" customWidth="1"/>
    <col min="7" max="8" width="6.42578125" style="324" customWidth="1"/>
    <col min="9" max="9" width="1.5703125" style="324" customWidth="1"/>
    <col min="10" max="11" width="6.42578125" style="324" customWidth="1"/>
    <col min="12" max="12" width="1.5703125" style="324" customWidth="1"/>
    <col min="13" max="14" width="6.42578125" style="324" customWidth="1"/>
    <col min="15" max="15" width="1.5703125" style="324" customWidth="1"/>
    <col min="16" max="17" width="6.42578125" style="324" customWidth="1"/>
    <col min="18" max="18" width="1.570312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2018-041 Pointe North Village III, Albany, Dougherty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2018-041 Pointe North Village III, Albany, Dougherty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2.1"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1">
        <v>6500</v>
      </c>
      <c r="H8" s="3352"/>
      <c r="J8" s="3351">
        <v>6500</v>
      </c>
      <c r="K8" s="3352"/>
      <c r="L8" s="1580"/>
      <c r="M8" s="3351"/>
      <c r="N8" s="3352"/>
      <c r="P8" s="3351"/>
      <c r="Q8" s="3352"/>
      <c r="S8" s="3351"/>
      <c r="T8" s="3352"/>
      <c r="V8" s="3353"/>
      <c r="W8" s="3354"/>
      <c r="X8" s="3355"/>
    </row>
    <row r="9" spans="1:24" s="305" customFormat="1" ht="12.6" customHeight="1">
      <c r="B9" s="305" t="s">
        <v>461</v>
      </c>
      <c r="G9" s="3356">
        <v>7200</v>
      </c>
      <c r="H9" s="3357"/>
      <c r="J9" s="3356">
        <v>7200</v>
      </c>
      <c r="K9" s="3357"/>
      <c r="L9" s="1580"/>
      <c r="M9" s="3356"/>
      <c r="N9" s="3357"/>
      <c r="P9" s="3356"/>
      <c r="Q9" s="3357"/>
      <c r="S9" s="3356"/>
      <c r="T9" s="3357"/>
      <c r="V9" s="3353"/>
      <c r="W9" s="3354"/>
      <c r="X9" s="3355"/>
    </row>
    <row r="10" spans="1:24" s="305" customFormat="1" ht="12.6" customHeight="1">
      <c r="B10" s="305" t="s">
        <v>491</v>
      </c>
      <c r="G10" s="3356">
        <v>8200</v>
      </c>
      <c r="H10" s="3357"/>
      <c r="J10" s="3356">
        <v>8200</v>
      </c>
      <c r="K10" s="3357"/>
      <c r="L10" s="1580"/>
      <c r="M10" s="3356"/>
      <c r="N10" s="3357"/>
      <c r="P10" s="3356"/>
      <c r="Q10" s="3357"/>
      <c r="S10" s="3356"/>
      <c r="T10" s="3357"/>
      <c r="V10" s="3353"/>
      <c r="W10" s="3354"/>
      <c r="X10" s="3355"/>
    </row>
    <row r="11" spans="1:24" s="305" customFormat="1" ht="12.6" customHeight="1">
      <c r="B11" s="305" t="s">
        <v>492</v>
      </c>
      <c r="G11" s="3356">
        <v>7000</v>
      </c>
      <c r="H11" s="3357"/>
      <c r="J11" s="3356">
        <v>7000</v>
      </c>
      <c r="K11" s="3357"/>
      <c r="L11" s="1580"/>
      <c r="M11" s="3356"/>
      <c r="N11" s="3357"/>
      <c r="P11" s="3356"/>
      <c r="Q11" s="3357"/>
      <c r="S11" s="3356"/>
      <c r="T11" s="3357"/>
      <c r="V11" s="3353"/>
      <c r="W11" s="3354"/>
      <c r="X11" s="3355"/>
    </row>
    <row r="12" spans="1:24" s="305" customFormat="1" ht="12.6" customHeight="1">
      <c r="B12" s="305" t="s">
        <v>2516</v>
      </c>
      <c r="G12" s="3356">
        <v>6100</v>
      </c>
      <c r="H12" s="3357"/>
      <c r="J12" s="3356">
        <v>6100</v>
      </c>
      <c r="K12" s="3357"/>
      <c r="L12" s="1580"/>
      <c r="M12" s="3356"/>
      <c r="N12" s="3357"/>
      <c r="P12" s="3356"/>
      <c r="Q12" s="3357"/>
      <c r="S12" s="3356"/>
      <c r="T12" s="3357"/>
      <c r="V12" s="3353"/>
      <c r="W12" s="3354"/>
      <c r="X12" s="3355"/>
    </row>
    <row r="13" spans="1:24" s="305" customFormat="1" ht="12.6" customHeight="1">
      <c r="B13" s="305" t="s">
        <v>192</v>
      </c>
      <c r="G13" s="3356"/>
      <c r="H13" s="3357"/>
      <c r="J13" s="3356"/>
      <c r="K13" s="3357"/>
      <c r="L13" s="1580"/>
      <c r="M13" s="3356"/>
      <c r="N13" s="3357"/>
      <c r="P13" s="3356"/>
      <c r="Q13" s="3357"/>
      <c r="S13" s="3356"/>
      <c r="T13" s="3357"/>
      <c r="V13" s="3353"/>
      <c r="W13" s="3354"/>
      <c r="X13" s="3355"/>
    </row>
    <row r="14" spans="1:24" s="305" customFormat="1" ht="12.6" customHeight="1">
      <c r="A14" s="387" t="str">
        <f>IF(AND(G14&gt;0,OR(C14="",C14="&lt;Enter detailed description here; use Comments section if needed&gt;")),"X","")</f>
        <v/>
      </c>
      <c r="B14" s="305" t="s">
        <v>749</v>
      </c>
      <c r="C14" s="3358" t="s">
        <v>3739</v>
      </c>
      <c r="D14" s="3358"/>
      <c r="E14" s="3358"/>
      <c r="F14" s="3359"/>
      <c r="G14" s="3356"/>
      <c r="H14" s="3357"/>
      <c r="J14" s="3356"/>
      <c r="K14" s="3357"/>
      <c r="L14" s="1580"/>
      <c r="M14" s="3356"/>
      <c r="N14" s="3357"/>
      <c r="P14" s="3356"/>
      <c r="Q14" s="3357"/>
      <c r="S14" s="3356"/>
      <c r="T14" s="3357"/>
      <c r="U14" s="386" t="str">
        <f>IF(AND(G14&gt;0,OR(C14="",C14="&lt;Enter detailed description here; use Comments section if needed&gt;")),"NO DESCRIPTION PROVIDED - please enter detailed description in Other box at left; use Comments section below if needed.","")</f>
        <v/>
      </c>
      <c r="V14" s="3360"/>
      <c r="W14" s="3354"/>
      <c r="X14" s="3355"/>
    </row>
    <row r="15" spans="1:24" s="305" customFormat="1" ht="12.6" customHeight="1">
      <c r="A15" s="387" t="str">
        <f>IF(AND(G15&gt;0,OR(C15="",C15="&lt;Enter detailed description here; use Comments section if needed&gt;")),"X","")</f>
        <v/>
      </c>
      <c r="B15" s="305" t="s">
        <v>749</v>
      </c>
      <c r="C15" s="3358" t="s">
        <v>3739</v>
      </c>
      <c r="D15" s="3358"/>
      <c r="E15" s="3358"/>
      <c r="F15" s="3359"/>
      <c r="G15" s="3356"/>
      <c r="H15" s="3357"/>
      <c r="J15" s="3356"/>
      <c r="K15" s="3357"/>
      <c r="L15" s="1580"/>
      <c r="M15" s="3356"/>
      <c r="N15" s="3357"/>
      <c r="P15" s="3356"/>
      <c r="Q15" s="3357"/>
      <c r="S15" s="3356"/>
      <c r="T15" s="3357"/>
      <c r="U15" s="386" t="str">
        <f>IF(AND(G15&gt;0,OR(C15="",C15="&lt;Enter detailed description here; use Comments section if needed&gt;")),"NO DESCRIPTION PROVIDED - please enter detailed description in Other box at left; use Comments section below if needed.","")</f>
        <v/>
      </c>
      <c r="V15" s="3360"/>
      <c r="W15" s="3354"/>
      <c r="X15" s="3355"/>
    </row>
    <row r="16" spans="1:24" s="305" customFormat="1" ht="12.6" customHeight="1" thickBot="1">
      <c r="A16" s="387" t="str">
        <f>IF(AND(G16&gt;0,OR(C16="",C16="&lt;Enter detailed description here; use Comments section if needed&gt;")),"X","")</f>
        <v/>
      </c>
      <c r="B16" s="305" t="s">
        <v>749</v>
      </c>
      <c r="C16" s="3358" t="s">
        <v>3739</v>
      </c>
      <c r="D16" s="3358"/>
      <c r="E16" s="3358"/>
      <c r="F16" s="3359"/>
      <c r="G16" s="3361"/>
      <c r="H16" s="3362"/>
      <c r="J16" s="3361"/>
      <c r="K16" s="3362"/>
      <c r="L16" s="1580"/>
      <c r="M16" s="3361"/>
      <c r="N16" s="3362"/>
      <c r="P16" s="3361"/>
      <c r="Q16" s="3362"/>
      <c r="S16" s="3361"/>
      <c r="T16" s="3362"/>
      <c r="U16" s="386" t="str">
        <f>IF(AND(G16&gt;0,OR(C16="",C16="&lt;Enter detailed description here; use Comments section if needed&gt;")),"NO DESCRIPTION PROVIDED - please enter detailed description in Other box at left; use Comments section below if needed.","")</f>
        <v/>
      </c>
      <c r="V16" s="3360"/>
      <c r="W16" s="3363"/>
      <c r="X16" s="3364"/>
    </row>
    <row r="17" spans="2:24" s="305" customFormat="1" ht="12.6" customHeight="1" thickTop="1">
      <c r="F17" s="361" t="s">
        <v>193</v>
      </c>
      <c r="G17" s="1800">
        <f>SUM(G8:H16)</f>
        <v>35000</v>
      </c>
      <c r="H17" s="1801"/>
      <c r="J17" s="1800">
        <f>SUM(J8:K16)</f>
        <v>35000</v>
      </c>
      <c r="K17" s="1826"/>
      <c r="L17" s="1580"/>
      <c r="M17" s="1800">
        <f>SUM(M8:N16)</f>
        <v>0</v>
      </c>
      <c r="N17" s="1801"/>
      <c r="P17" s="1800">
        <f>SUM(P8:Q16)</f>
        <v>0</v>
      </c>
      <c r="Q17" s="1801"/>
      <c r="S17" s="1800">
        <f>SUM(S8:T16)</f>
        <v>0</v>
      </c>
      <c r="T17" s="1801"/>
      <c r="V17" s="3365">
        <f>SUM(V8:V16)</f>
        <v>0</v>
      </c>
      <c r="W17" s="3366"/>
      <c r="X17" s="336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1">
        <v>645000</v>
      </c>
      <c r="H19" s="3352"/>
      <c r="J19" s="363"/>
      <c r="K19" s="360"/>
      <c r="L19" s="363"/>
      <c r="M19" s="363"/>
      <c r="N19" s="360"/>
      <c r="P19" s="363"/>
      <c r="Q19" s="360"/>
      <c r="S19" s="3351">
        <v>645000</v>
      </c>
      <c r="T19" s="3352"/>
      <c r="V19" s="3353"/>
      <c r="W19" s="3354"/>
      <c r="X19" s="3355"/>
    </row>
    <row r="20" spans="2:24" s="305" customFormat="1" ht="12.6" customHeight="1">
      <c r="B20" s="305" t="s">
        <v>1129</v>
      </c>
      <c r="G20" s="3356"/>
      <c r="H20" s="3357"/>
      <c r="J20" s="363"/>
      <c r="K20" s="360"/>
      <c r="L20" s="363"/>
      <c r="M20" s="363"/>
      <c r="N20" s="360"/>
      <c r="P20" s="363"/>
      <c r="Q20" s="360"/>
      <c r="S20" s="3356"/>
      <c r="T20" s="3357"/>
      <c r="V20" s="3353"/>
      <c r="W20" s="3354"/>
      <c r="X20" s="3355"/>
    </row>
    <row r="21" spans="2:24" s="305" customFormat="1" ht="12.6" customHeight="1">
      <c r="B21" s="305" t="s">
        <v>462</v>
      </c>
      <c r="G21" s="3356"/>
      <c r="H21" s="3357"/>
      <c r="J21" s="363"/>
      <c r="K21" s="360"/>
      <c r="L21" s="363"/>
      <c r="M21" s="3351"/>
      <c r="N21" s="3352"/>
      <c r="P21" s="363"/>
      <c r="Q21" s="360"/>
      <c r="S21" s="3356"/>
      <c r="T21" s="3357"/>
      <c r="V21" s="3353"/>
      <c r="W21" s="3354"/>
      <c r="X21" s="3355"/>
    </row>
    <row r="22" spans="2:24" s="305" customFormat="1" ht="12.6" customHeight="1" thickBot="1">
      <c r="B22" s="305" t="s">
        <v>432</v>
      </c>
      <c r="G22" s="3361"/>
      <c r="H22" s="3362"/>
      <c r="J22" s="363"/>
      <c r="K22" s="360"/>
      <c r="L22" s="363"/>
      <c r="M22" s="3361"/>
      <c r="N22" s="3362"/>
      <c r="P22" s="363"/>
      <c r="Q22" s="360"/>
      <c r="S22" s="3361"/>
      <c r="T22" s="3362"/>
      <c r="V22" s="3353"/>
      <c r="W22" s="3363"/>
      <c r="X22" s="3364"/>
    </row>
    <row r="23" spans="2:24" s="305" customFormat="1" ht="12.6" customHeight="1" thickTop="1">
      <c r="F23" s="361" t="s">
        <v>193</v>
      </c>
      <c r="G23" s="1800">
        <f>SUM(G19:H22)</f>
        <v>645000</v>
      </c>
      <c r="H23" s="1801"/>
      <c r="J23" s="363"/>
      <c r="K23" s="360"/>
      <c r="L23" s="363"/>
      <c r="M23" s="1800">
        <f>SUM(M21:N22)</f>
        <v>0</v>
      </c>
      <c r="N23" s="1801"/>
      <c r="P23" s="363"/>
      <c r="Q23" s="360"/>
      <c r="S23" s="1800">
        <f>SUM(S19:T22)</f>
        <v>645000</v>
      </c>
      <c r="T23" s="1801"/>
      <c r="V23" s="3365">
        <f>SUM(V19:V22)</f>
        <v>0</v>
      </c>
      <c r="W23" s="3366"/>
      <c r="X23" s="336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333333.33333333331</v>
      </c>
      <c r="G25" s="3351">
        <v>1000000</v>
      </c>
      <c r="H25" s="3352"/>
      <c r="J25" s="3351">
        <v>920000</v>
      </c>
      <c r="K25" s="3352"/>
      <c r="L25" s="1580"/>
      <c r="M25" s="3368"/>
      <c r="N25" s="3369"/>
      <c r="P25" s="3368"/>
      <c r="Q25" s="3369"/>
      <c r="S25" s="3351">
        <v>80000</v>
      </c>
      <c r="T25" s="3352"/>
      <c r="V25" s="3353"/>
      <c r="W25" s="3354"/>
      <c r="X25" s="3355"/>
    </row>
    <row r="26" spans="2:24" s="305" customFormat="1" ht="12.6" customHeight="1" thickBot="1">
      <c r="B26" s="305" t="s">
        <v>1132</v>
      </c>
      <c r="G26" s="3361"/>
      <c r="H26" s="3362"/>
      <c r="J26" s="3361"/>
      <c r="K26" s="3362"/>
      <c r="L26" s="364"/>
      <c r="M26" s="1825"/>
      <c r="N26" s="1825"/>
      <c r="P26" s="1825"/>
      <c r="Q26" s="1825"/>
      <c r="S26" s="3361"/>
      <c r="T26" s="3362"/>
      <c r="V26" s="3353"/>
      <c r="W26" s="3363"/>
      <c r="X26" s="3364"/>
    </row>
    <row r="27" spans="2:24" s="305" customFormat="1" ht="12.6" customHeight="1" thickTop="1">
      <c r="F27" s="361" t="s">
        <v>193</v>
      </c>
      <c r="G27" s="1800">
        <f>SUM(G25:H26)</f>
        <v>1000000</v>
      </c>
      <c r="H27" s="1801"/>
      <c r="J27" s="1800">
        <f>SUM(J25:K26)</f>
        <v>920000</v>
      </c>
      <c r="K27" s="1801"/>
      <c r="L27" s="363"/>
      <c r="M27" s="1800">
        <f>M25</f>
        <v>0</v>
      </c>
      <c r="N27" s="1801"/>
      <c r="P27" s="1800">
        <f>P25</f>
        <v>0</v>
      </c>
      <c r="Q27" s="1801"/>
      <c r="S27" s="1800">
        <f>SUM(S25:T26)</f>
        <v>80000</v>
      </c>
      <c r="T27" s="1801"/>
      <c r="V27" s="3365">
        <f>SUM(V25:V26)</f>
        <v>0</v>
      </c>
      <c r="W27" s="3366"/>
      <c r="X27" s="336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1">
        <v>4676500</v>
      </c>
      <c r="H29" s="3352"/>
      <c r="J29" s="3351">
        <v>4676500</v>
      </c>
      <c r="K29" s="3352"/>
      <c r="L29" s="1580"/>
      <c r="M29" s="3351"/>
      <c r="N29" s="3352"/>
      <c r="P29" s="3351"/>
      <c r="Q29" s="3352"/>
      <c r="S29" s="3351"/>
      <c r="T29" s="3352"/>
      <c r="V29" s="3353"/>
      <c r="W29" s="3354"/>
      <c r="X29" s="3355"/>
    </row>
    <row r="30" spans="2:24" s="305" customFormat="1" ht="12.6" customHeight="1">
      <c r="B30" s="305" t="s">
        <v>1135</v>
      </c>
      <c r="G30" s="3356"/>
      <c r="H30" s="3357"/>
      <c r="J30" s="3356"/>
      <c r="K30" s="3357"/>
      <c r="L30" s="1580"/>
      <c r="M30" s="3356"/>
      <c r="N30" s="3357"/>
      <c r="P30" s="3356"/>
      <c r="Q30" s="3357"/>
      <c r="S30" s="3356"/>
      <c r="T30" s="3357"/>
      <c r="V30" s="3353"/>
      <c r="W30" s="3354"/>
      <c r="X30" s="3355"/>
    </row>
    <row r="31" spans="2:24" s="305" customFormat="1" ht="12.6" customHeight="1">
      <c r="B31" s="305" t="s">
        <v>2798</v>
      </c>
      <c r="G31" s="3356">
        <v>160000</v>
      </c>
      <c r="H31" s="3357"/>
      <c r="J31" s="3356">
        <v>160000</v>
      </c>
      <c r="K31" s="3357"/>
      <c r="L31" s="1580"/>
      <c r="M31" s="3356"/>
      <c r="N31" s="3357"/>
      <c r="P31" s="3356"/>
      <c r="Q31" s="3357"/>
      <c r="S31" s="3356"/>
      <c r="T31" s="3357"/>
      <c r="V31" s="3353"/>
      <c r="W31" s="3354"/>
      <c r="X31" s="3355"/>
    </row>
    <row r="32" spans="2:24" ht="12.6" customHeight="1" thickBot="1">
      <c r="B32" s="305" t="s">
        <v>2797</v>
      </c>
      <c r="G32" s="3361"/>
      <c r="H32" s="3362"/>
      <c r="I32" s="305"/>
      <c r="J32" s="3361"/>
      <c r="K32" s="3362"/>
      <c r="L32" s="1580"/>
      <c r="M32" s="3361"/>
      <c r="N32" s="3362"/>
      <c r="O32" s="305"/>
      <c r="P32" s="3361"/>
      <c r="Q32" s="3362"/>
      <c r="R32" s="305"/>
      <c r="S32" s="3361"/>
      <c r="T32" s="3362"/>
      <c r="V32" s="3353"/>
      <c r="W32" s="3363"/>
      <c r="X32" s="3364"/>
    </row>
    <row r="33" spans="1:24" s="305" customFormat="1" ht="12.6" customHeight="1" thickTop="1">
      <c r="C33" s="1824"/>
      <c r="D33" s="1824"/>
      <c r="E33" s="1576"/>
      <c r="F33" s="361" t="s">
        <v>193</v>
      </c>
      <c r="G33" s="1800">
        <f>SUM(G29:H32)</f>
        <v>4836500</v>
      </c>
      <c r="H33" s="1801"/>
      <c r="J33" s="1800">
        <f>SUM(J29:K32)</f>
        <v>4836500</v>
      </c>
      <c r="K33" s="1801"/>
      <c r="L33" s="1580"/>
      <c r="M33" s="1800">
        <f>SUM(M29:N32)</f>
        <v>0</v>
      </c>
      <c r="N33" s="1801"/>
      <c r="P33" s="1800">
        <f>SUM(P29:Q32)</f>
        <v>0</v>
      </c>
      <c r="Q33" s="1801"/>
      <c r="S33" s="1800">
        <f>SUM(S29:T32)</f>
        <v>0</v>
      </c>
      <c r="T33" s="1801"/>
      <c r="V33" s="3365">
        <f>SUM(V29:V32)</f>
        <v>0</v>
      </c>
      <c r="W33" s="3366"/>
      <c r="X33" s="3367"/>
    </row>
    <row r="34" spans="1:24" s="305" customFormat="1" ht="12" customHeight="1">
      <c r="B34" s="307" t="s">
        <v>2359</v>
      </c>
      <c r="D34" s="1823" t="s">
        <v>3759</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350190</v>
      </c>
      <c r="F35" s="1045">
        <f>IF(($G$27+$G$33)=0,0,G35/($G$27+$G$33))</f>
        <v>0.06</v>
      </c>
      <c r="G35" s="3351">
        <v>350190</v>
      </c>
      <c r="H35" s="3352"/>
      <c r="I35" s="324"/>
      <c r="J35" s="3351">
        <v>350190</v>
      </c>
      <c r="K35" s="3352"/>
      <c r="L35" s="1580"/>
      <c r="M35" s="3351"/>
      <c r="N35" s="3352"/>
      <c r="P35" s="3351"/>
      <c r="Q35" s="3352"/>
      <c r="S35" s="3351"/>
      <c r="T35" s="3352"/>
      <c r="V35" s="3353"/>
      <c r="W35" s="3354"/>
      <c r="X35" s="3355"/>
    </row>
    <row r="36" spans="1:24" s="305" customFormat="1" ht="12.6" customHeight="1">
      <c r="B36" s="305" t="s">
        <v>2754</v>
      </c>
      <c r="D36" s="1047">
        <f>'DCA Underwriting Assumptions'!$R$75</f>
        <v>0.02</v>
      </c>
      <c r="E36" s="1048">
        <f>D36*(G27+G33)</f>
        <v>116730</v>
      </c>
      <c r="F36" s="1045">
        <f>IF(($G$27+$G$33)=0,0,G36/($G$27+$G$33))</f>
        <v>0.02</v>
      </c>
      <c r="G36" s="3356">
        <v>116730</v>
      </c>
      <c r="H36" s="3357"/>
      <c r="I36" s="324"/>
      <c r="J36" s="3356">
        <v>116730</v>
      </c>
      <c r="K36" s="3357"/>
      <c r="L36" s="1580"/>
      <c r="M36" s="3356"/>
      <c r="N36" s="3357"/>
      <c r="P36" s="3356"/>
      <c r="Q36" s="3357"/>
      <c r="S36" s="3356"/>
      <c r="T36" s="3357"/>
      <c r="V36" s="3353"/>
      <c r="W36" s="3354"/>
      <c r="X36" s="3355"/>
    </row>
    <row r="37" spans="1:24" s="305" customFormat="1" ht="12.6" customHeight="1" thickBot="1">
      <c r="B37" s="305" t="s">
        <v>2755</v>
      </c>
      <c r="D37" s="1051">
        <f>'DCA Underwriting Assumptions'!$R$76</f>
        <v>0.06</v>
      </c>
      <c r="E37" s="1052">
        <f>D37*(G27+G33)</f>
        <v>350190</v>
      </c>
      <c r="F37" s="1367">
        <f>IF(($G$27+$G$33)=0,0,G37/($G$27+$G$33))</f>
        <v>0.06</v>
      </c>
      <c r="G37" s="3361">
        <v>350190</v>
      </c>
      <c r="H37" s="3362"/>
      <c r="I37" s="324"/>
      <c r="J37" s="3361">
        <v>350190</v>
      </c>
      <c r="K37" s="3362"/>
      <c r="L37" s="1580"/>
      <c r="M37" s="3361"/>
      <c r="N37" s="3362"/>
      <c r="P37" s="3361"/>
      <c r="Q37" s="3362"/>
      <c r="S37" s="3361"/>
      <c r="T37" s="3362"/>
      <c r="V37" s="3353"/>
      <c r="W37" s="3363"/>
      <c r="X37" s="3364"/>
    </row>
    <row r="38" spans="1:24" s="305" customFormat="1" ht="12.6" customHeight="1" thickTop="1">
      <c r="B38" s="179" t="s">
        <v>3760</v>
      </c>
      <c r="D38" s="1049">
        <f>SUM(D35:D37)</f>
        <v>0.14000000000000001</v>
      </c>
      <c r="E38" s="1050">
        <f>SUM(E35:E37)</f>
        <v>817110</v>
      </c>
      <c r="F38" s="1031" t="s">
        <v>193</v>
      </c>
      <c r="G38" s="1800">
        <f>SUM(G35:H37)</f>
        <v>817110</v>
      </c>
      <c r="H38" s="1801"/>
      <c r="J38" s="1800">
        <f>SUM(J35:K37)</f>
        <v>817110</v>
      </c>
      <c r="K38" s="1801"/>
      <c r="L38" s="363"/>
      <c r="M38" s="1800">
        <f>SUM(M35:N37)</f>
        <v>0</v>
      </c>
      <c r="N38" s="1801"/>
      <c r="P38" s="1800">
        <f>SUM(P35:Q37)</f>
        <v>0</v>
      </c>
      <c r="Q38" s="1801"/>
      <c r="S38" s="1800">
        <f>SUM(S35:T37)</f>
        <v>0</v>
      </c>
      <c r="T38" s="1801"/>
      <c r="V38" s="3365">
        <f>SUM(V35:V37)</f>
        <v>0</v>
      </c>
      <c r="W38" s="3366"/>
      <c r="X38" s="336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8" t="s">
        <v>3739</v>
      </c>
      <c r="D41" s="3370"/>
      <c r="E41" s="3370"/>
      <c r="F41" s="3371"/>
      <c r="G41" s="3372"/>
      <c r="H41" s="3373"/>
      <c r="I41" s="305"/>
      <c r="J41" s="3372"/>
      <c r="K41" s="3373"/>
      <c r="L41" s="1580"/>
      <c r="M41" s="3372"/>
      <c r="N41" s="3373"/>
      <c r="O41" s="305"/>
      <c r="P41" s="3372"/>
      <c r="Q41" s="3373"/>
      <c r="R41" s="305"/>
      <c r="S41" s="3372"/>
      <c r="T41" s="3373"/>
      <c r="V41" s="3353"/>
      <c r="W41" s="3374"/>
      <c r="X41" s="337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6"/>
      <c r="X42" s="3377"/>
    </row>
    <row r="43" spans="1:24" s="305" customFormat="1" ht="12.6" customHeight="1">
      <c r="B43" s="529" t="s">
        <v>2763</v>
      </c>
      <c r="C43" s="530"/>
      <c r="E43" s="1817" t="s">
        <v>2762</v>
      </c>
      <c r="F43" s="1578">
        <f>B44/'Part VI-Revenues &amp; Expenses'!$O$60</f>
        <v>123215</v>
      </c>
      <c r="G43" s="1579" t="s">
        <v>2789</v>
      </c>
      <c r="H43" s="1574"/>
      <c r="I43" s="1574"/>
      <c r="J43" s="1819">
        <f>B44/'Part VI-Revenues &amp; Expenses'!$O$62</f>
        <v>123215</v>
      </c>
      <c r="K43" s="1819"/>
      <c r="L43" s="1574"/>
      <c r="M43" s="1820" t="s">
        <v>1414</v>
      </c>
      <c r="N43" s="1820"/>
      <c r="O43" s="1574"/>
      <c r="P43" s="1819">
        <f>B44/'Part I-Project Information'!$P$71</f>
        <v>116.93514938488576</v>
      </c>
      <c r="Q43" s="1819"/>
      <c r="R43" s="1574"/>
      <c r="S43" s="1821" t="s">
        <v>2796</v>
      </c>
      <c r="T43" s="1822"/>
      <c r="V43" s="1176"/>
      <c r="W43" s="3376"/>
      <c r="X43" s="3377"/>
    </row>
    <row r="44" spans="1:24" s="305" customFormat="1" ht="12.6" customHeight="1">
      <c r="B44" s="1813">
        <f>G27+G33+G38+G41</f>
        <v>6653610</v>
      </c>
      <c r="C44" s="1814"/>
      <c r="E44" s="1818"/>
      <c r="F44" s="1577">
        <f>B44/'Part VI-Revenues &amp; Expenses'!$O$117</f>
        <v>121.19508196721311</v>
      </c>
      <c r="G44" s="528" t="s">
        <v>2790</v>
      </c>
      <c r="H44" s="1567"/>
      <c r="I44" s="1567"/>
      <c r="J44" s="1815">
        <f>B44/'Part VI-Revenues &amp; Expenses'!$O$119</f>
        <v>121.19508196721311</v>
      </c>
      <c r="K44" s="1815"/>
      <c r="L44" s="1567"/>
      <c r="M44" s="1816" t="s">
        <v>2795</v>
      </c>
      <c r="N44" s="1816"/>
      <c r="O44" s="1567"/>
      <c r="P44" s="1567"/>
      <c r="Q44" s="1567"/>
      <c r="R44" s="1567"/>
      <c r="S44" s="1567"/>
      <c r="T44" s="353"/>
      <c r="V44" s="1176"/>
      <c r="W44" s="3378"/>
      <c r="X44" s="337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332680.5</v>
      </c>
      <c r="F47" s="365">
        <f>G47/B44</f>
        <v>5.0000075147175742E-2</v>
      </c>
      <c r="G47" s="3372">
        <v>332681</v>
      </c>
      <c r="H47" s="3373"/>
      <c r="I47" s="305"/>
      <c r="J47" s="3372">
        <v>332681</v>
      </c>
      <c r="K47" s="3373"/>
      <c r="L47" s="1580"/>
      <c r="M47" s="3372"/>
      <c r="N47" s="3373"/>
      <c r="O47" s="305"/>
      <c r="P47" s="3372"/>
      <c r="Q47" s="3373"/>
      <c r="R47" s="305"/>
      <c r="S47" s="3372"/>
      <c r="T47" s="3373"/>
      <c r="V47" s="3353"/>
      <c r="W47" s="3354"/>
      <c r="X47" s="335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3351"/>
      <c r="H52" s="3352"/>
      <c r="J52" s="3351"/>
      <c r="K52" s="3352"/>
      <c r="L52" s="1580"/>
      <c r="M52" s="3351"/>
      <c r="N52" s="3352"/>
      <c r="P52" s="3351"/>
      <c r="Q52" s="3352"/>
      <c r="S52" s="3351"/>
      <c r="T52" s="3352"/>
      <c r="V52" s="3380"/>
      <c r="W52" s="3354"/>
      <c r="X52" s="3355"/>
    </row>
    <row r="53" spans="1:24" s="305" customFormat="1" ht="12" customHeight="1">
      <c r="B53" s="305" t="s">
        <v>3762</v>
      </c>
      <c r="G53" s="3356"/>
      <c r="H53" s="3357"/>
      <c r="J53" s="3356"/>
      <c r="K53" s="3357"/>
      <c r="L53" s="1580"/>
      <c r="M53" s="3356"/>
      <c r="N53" s="3357"/>
      <c r="P53" s="3356"/>
      <c r="Q53" s="3357"/>
      <c r="S53" s="3356"/>
      <c r="T53" s="3357"/>
      <c r="V53" s="3380"/>
      <c r="W53" s="3354"/>
      <c r="X53" s="3355"/>
    </row>
    <row r="54" spans="1:24" s="305" customFormat="1" ht="12" customHeight="1">
      <c r="B54" s="305" t="s">
        <v>2362</v>
      </c>
      <c r="G54" s="3356">
        <v>78000</v>
      </c>
      <c r="H54" s="3357"/>
      <c r="J54" s="3356">
        <v>78000</v>
      </c>
      <c r="K54" s="3357"/>
      <c r="L54" s="1580"/>
      <c r="M54" s="3356"/>
      <c r="N54" s="3357"/>
      <c r="P54" s="3356"/>
      <c r="Q54" s="3357"/>
      <c r="S54" s="3356"/>
      <c r="T54" s="3357"/>
      <c r="V54" s="3380"/>
      <c r="W54" s="3354"/>
      <c r="X54" s="3355"/>
    </row>
    <row r="55" spans="1:24" s="305" customFormat="1" ht="12" customHeight="1">
      <c r="B55" s="305" t="s">
        <v>2363</v>
      </c>
      <c r="G55" s="3356">
        <v>299536</v>
      </c>
      <c r="H55" s="3357"/>
      <c r="J55" s="3356">
        <v>248870</v>
      </c>
      <c r="K55" s="3357"/>
      <c r="L55" s="1580"/>
      <c r="M55" s="3356"/>
      <c r="N55" s="3357"/>
      <c r="P55" s="3356"/>
      <c r="Q55" s="3357"/>
      <c r="S55" s="3356">
        <v>50666</v>
      </c>
      <c r="T55" s="3357"/>
      <c r="V55" s="3380"/>
      <c r="W55" s="3354"/>
      <c r="X55" s="3355"/>
    </row>
    <row r="56" spans="1:24" s="305" customFormat="1" ht="12" customHeight="1">
      <c r="B56" s="305" t="s">
        <v>2364</v>
      </c>
      <c r="G56" s="3356">
        <v>62000</v>
      </c>
      <c r="H56" s="3357"/>
      <c r="J56" s="3356">
        <v>62000</v>
      </c>
      <c r="K56" s="3357"/>
      <c r="L56" s="1580"/>
      <c r="M56" s="3356"/>
      <c r="N56" s="3357"/>
      <c r="P56" s="3356"/>
      <c r="Q56" s="3357"/>
      <c r="S56" s="3356"/>
      <c r="T56" s="3357"/>
      <c r="V56" s="3380"/>
      <c r="W56" s="3354"/>
      <c r="X56" s="3355"/>
    </row>
    <row r="57" spans="1:24" s="305" customFormat="1" ht="12" customHeight="1">
      <c r="B57" s="305" t="s">
        <v>2704</v>
      </c>
      <c r="G57" s="3356">
        <v>12000</v>
      </c>
      <c r="H57" s="3357"/>
      <c r="J57" s="3356">
        <v>12000</v>
      </c>
      <c r="K57" s="3357"/>
      <c r="L57" s="1580"/>
      <c r="M57" s="3356"/>
      <c r="N57" s="3357"/>
      <c r="P57" s="3356"/>
      <c r="Q57" s="3357"/>
      <c r="S57" s="3356"/>
      <c r="T57" s="3357"/>
      <c r="V57" s="3380"/>
      <c r="W57" s="3354"/>
      <c r="X57" s="3355"/>
    </row>
    <row r="58" spans="1:24" s="305" customFormat="1" ht="12" customHeight="1">
      <c r="B58" s="305" t="s">
        <v>731</v>
      </c>
      <c r="G58" s="3356">
        <v>6500</v>
      </c>
      <c r="H58" s="3357"/>
      <c r="J58" s="3356">
        <v>6500</v>
      </c>
      <c r="K58" s="3357"/>
      <c r="L58" s="1580"/>
      <c r="M58" s="3356"/>
      <c r="N58" s="3357"/>
      <c r="P58" s="3356"/>
      <c r="Q58" s="3357"/>
      <c r="S58" s="3356"/>
      <c r="T58" s="3357"/>
      <c r="V58" s="3380"/>
      <c r="W58" s="3354"/>
      <c r="X58" s="3355"/>
    </row>
    <row r="59" spans="1:24" s="305" customFormat="1" ht="12" customHeight="1">
      <c r="B59" s="305" t="s">
        <v>2365</v>
      </c>
      <c r="G59" s="3356">
        <v>13000</v>
      </c>
      <c r="H59" s="3357"/>
      <c r="J59" s="3356">
        <v>13000</v>
      </c>
      <c r="K59" s="3357"/>
      <c r="L59" s="1580"/>
      <c r="M59" s="3356"/>
      <c r="N59" s="3357"/>
      <c r="P59" s="3356"/>
      <c r="Q59" s="3357"/>
      <c r="S59" s="3356"/>
      <c r="T59" s="3357"/>
      <c r="V59" s="3380"/>
      <c r="W59" s="3354"/>
      <c r="X59" s="3355"/>
    </row>
    <row r="60" spans="1:24" s="305" customFormat="1" ht="12" customHeight="1">
      <c r="B60" s="305" t="s">
        <v>1288</v>
      </c>
      <c r="G60" s="3356">
        <v>13000</v>
      </c>
      <c r="H60" s="3357"/>
      <c r="J60" s="3356">
        <v>13000</v>
      </c>
      <c r="K60" s="3357"/>
      <c r="L60" s="1580"/>
      <c r="M60" s="3356"/>
      <c r="N60" s="3357"/>
      <c r="P60" s="3356"/>
      <c r="Q60" s="3357"/>
      <c r="S60" s="3356"/>
      <c r="T60" s="3357"/>
      <c r="V60" s="3380"/>
      <c r="W60" s="3354"/>
      <c r="X60" s="3355"/>
    </row>
    <row r="61" spans="1:24" s="305" customFormat="1" ht="12" customHeight="1">
      <c r="B61" s="367" t="s">
        <v>1163</v>
      </c>
      <c r="D61" s="365"/>
      <c r="E61" s="365"/>
      <c r="F61" s="366"/>
      <c r="G61" s="3356"/>
      <c r="H61" s="3357"/>
      <c r="I61" s="324"/>
      <c r="J61" s="3356"/>
      <c r="K61" s="3357"/>
      <c r="L61" s="1580"/>
      <c r="M61" s="3356"/>
      <c r="N61" s="3357"/>
      <c r="P61" s="3356"/>
      <c r="Q61" s="3357"/>
      <c r="S61" s="3356"/>
      <c r="T61" s="3357"/>
      <c r="V61" s="3380"/>
      <c r="W61" s="3354"/>
      <c r="X61" s="3355"/>
    </row>
    <row r="62" spans="1:24" s="305" customFormat="1" ht="12" customHeight="1">
      <c r="A62" s="387" t="str">
        <f>IF(AND(G62&gt;0,OR(C62="",C62="&lt;Enter detailed description here; use Comments section if needed&gt;")),"X","")</f>
        <v/>
      </c>
      <c r="B62" s="305" t="s">
        <v>749</v>
      </c>
      <c r="C62" s="3381" t="s">
        <v>3739</v>
      </c>
      <c r="D62" s="3381"/>
      <c r="E62" s="3381"/>
      <c r="F62" s="3382"/>
      <c r="G62" s="3356"/>
      <c r="H62" s="3357"/>
      <c r="J62" s="3356"/>
      <c r="K62" s="3357"/>
      <c r="L62" s="1580"/>
      <c r="M62" s="3356"/>
      <c r="N62" s="3357"/>
      <c r="P62" s="3356"/>
      <c r="Q62" s="3357"/>
      <c r="S62" s="3356"/>
      <c r="T62" s="3357"/>
      <c r="U62" s="386" t="str">
        <f>IF(AND(G62&gt;0,OR(C62="",C62="&lt;Enter detailed description here; use Comments section if needed&gt;")),"NO DESCRIPTION PROVIDED - please enter detailed description in Other box at left; use Comments section below if needed.","")</f>
        <v/>
      </c>
      <c r="V62" s="3380"/>
      <c r="W62" s="3354"/>
      <c r="X62" s="3355"/>
    </row>
    <row r="63" spans="1:24" s="305" customFormat="1" ht="12" customHeight="1" thickBot="1">
      <c r="A63" s="387" t="str">
        <f>IF(AND(G63&gt;0,OR(C63="",C63="&lt;Enter detailed description here; use Comments section if needed&gt;")),"X","")</f>
        <v/>
      </c>
      <c r="B63" s="305" t="s">
        <v>749</v>
      </c>
      <c r="C63" s="3383" t="s">
        <v>3739</v>
      </c>
      <c r="D63" s="3383"/>
      <c r="E63" s="3383"/>
      <c r="F63" s="3384"/>
      <c r="G63" s="3385"/>
      <c r="H63" s="3386"/>
      <c r="J63" s="3385"/>
      <c r="K63" s="3386"/>
      <c r="L63" s="1580"/>
      <c r="M63" s="3385"/>
      <c r="N63" s="3386"/>
      <c r="P63" s="3385"/>
      <c r="Q63" s="3386"/>
      <c r="S63" s="3385"/>
      <c r="T63" s="3386"/>
      <c r="U63" s="386" t="str">
        <f>IF(AND(G63&gt;0,OR(C63="",C63="&lt;Enter detailed description here; use Comments section if needed&gt;")),"NO DESCRIPTION PROVIDED - please enter detailed description in Other box at left; use Comments section below if needed.","")</f>
        <v/>
      </c>
      <c r="V63" s="3380"/>
      <c r="W63" s="3363"/>
      <c r="X63" s="3364"/>
    </row>
    <row r="64" spans="1:24" s="305" customFormat="1" ht="12" customHeight="1" thickTop="1">
      <c r="F64" s="361" t="s">
        <v>193</v>
      </c>
      <c r="G64" s="1800">
        <f>SUM(G52:H63)</f>
        <v>484036</v>
      </c>
      <c r="H64" s="1801"/>
      <c r="J64" s="1800">
        <f>SUM(J52:K63)</f>
        <v>433370</v>
      </c>
      <c r="K64" s="1801"/>
      <c r="L64" s="363"/>
      <c r="M64" s="1800">
        <f>SUM(M52:N63)</f>
        <v>0</v>
      </c>
      <c r="N64" s="1801"/>
      <c r="P64" s="1800">
        <f>SUM(P52:Q63)</f>
        <v>0</v>
      </c>
      <c r="Q64" s="1801"/>
      <c r="S64" s="1800">
        <f>SUM(S52:T63)</f>
        <v>50666</v>
      </c>
      <c r="T64" s="1801"/>
      <c r="V64" s="3387">
        <f>SUM(V52:V63)</f>
        <v>0</v>
      </c>
      <c r="W64" s="3366"/>
      <c r="X64" s="336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1">
        <v>138240</v>
      </c>
      <c r="H66" s="3352"/>
      <c r="J66" s="3351">
        <v>138240</v>
      </c>
      <c r="K66" s="3352"/>
      <c r="L66" s="1580"/>
      <c r="M66" s="3351"/>
      <c r="N66" s="3352"/>
      <c r="P66" s="3351"/>
      <c r="Q66" s="3352"/>
      <c r="S66" s="3351"/>
      <c r="T66" s="3352"/>
      <c r="V66" s="3353"/>
      <c r="W66" s="3354"/>
      <c r="X66" s="3355"/>
    </row>
    <row r="67" spans="1:24" s="305" customFormat="1" ht="12" customHeight="1">
      <c r="B67" s="305" t="s">
        <v>482</v>
      </c>
      <c r="G67" s="3356">
        <v>23760</v>
      </c>
      <c r="H67" s="3357"/>
      <c r="J67" s="3356">
        <v>23760</v>
      </c>
      <c r="K67" s="3357"/>
      <c r="L67" s="1580"/>
      <c r="M67" s="3356"/>
      <c r="N67" s="3357"/>
      <c r="P67" s="3356"/>
      <c r="Q67" s="3357"/>
      <c r="S67" s="3356"/>
      <c r="T67" s="3357"/>
      <c r="V67" s="3353"/>
      <c r="W67" s="3354"/>
      <c r="X67" s="3355"/>
    </row>
    <row r="68" spans="1:24" s="305" customFormat="1" ht="12" customHeight="1">
      <c r="B68" s="305" t="s">
        <v>1137</v>
      </c>
      <c r="D68" s="318" t="s">
        <v>3877</v>
      </c>
      <c r="E68" s="1167">
        <f>'DCA Underwriting Assumptions'!R77</f>
        <v>20000</v>
      </c>
      <c r="F68" s="1168" t="str">
        <f>IF(G68&gt;E68,"CHECK!!!","")</f>
        <v/>
      </c>
      <c r="G68" s="3356">
        <v>20000</v>
      </c>
      <c r="H68" s="3357"/>
      <c r="J68" s="3356">
        <v>20000</v>
      </c>
      <c r="K68" s="3357"/>
      <c r="L68" s="1580"/>
      <c r="M68" s="3356"/>
      <c r="N68" s="3357"/>
      <c r="P68" s="3356"/>
      <c r="Q68" s="3357"/>
      <c r="S68" s="3356"/>
      <c r="T68" s="3357"/>
      <c r="V68" s="3353"/>
      <c r="W68" s="3354"/>
      <c r="X68" s="3355"/>
    </row>
    <row r="69" spans="1:24" s="305" customFormat="1" ht="12" customHeight="1">
      <c r="B69" s="305" t="s">
        <v>1138</v>
      </c>
      <c r="G69" s="3356">
        <v>40100</v>
      </c>
      <c r="H69" s="3357"/>
      <c r="J69" s="3356">
        <v>40100</v>
      </c>
      <c r="K69" s="3357"/>
      <c r="L69" s="1580"/>
      <c r="M69" s="3356"/>
      <c r="N69" s="3357"/>
      <c r="P69" s="3356"/>
      <c r="Q69" s="3357"/>
      <c r="S69" s="3356"/>
      <c r="T69" s="3357"/>
      <c r="V69" s="3353"/>
      <c r="W69" s="3354"/>
      <c r="X69" s="3355"/>
    </row>
    <row r="70" spans="1:24" s="305" customFormat="1" ht="12" customHeight="1">
      <c r="B70" s="305" t="s">
        <v>1139</v>
      </c>
      <c r="G70" s="3356">
        <v>6500</v>
      </c>
      <c r="H70" s="3357"/>
      <c r="J70" s="3356">
        <v>6500</v>
      </c>
      <c r="K70" s="3357"/>
      <c r="L70" s="1580"/>
      <c r="M70" s="3356"/>
      <c r="N70" s="3357"/>
      <c r="P70" s="3356"/>
      <c r="Q70" s="3357"/>
      <c r="S70" s="3356"/>
      <c r="T70" s="3357"/>
      <c r="V70" s="3353"/>
      <c r="W70" s="3354"/>
      <c r="X70" s="3355"/>
    </row>
    <row r="71" spans="1:24" s="305" customFormat="1" ht="12" customHeight="1">
      <c r="B71" s="305" t="s">
        <v>1140</v>
      </c>
      <c r="G71" s="3356">
        <v>25000</v>
      </c>
      <c r="H71" s="3357"/>
      <c r="J71" s="3356">
        <v>25000</v>
      </c>
      <c r="K71" s="3357"/>
      <c r="L71" s="1580"/>
      <c r="M71" s="3356"/>
      <c r="N71" s="3357"/>
      <c r="P71" s="3356"/>
      <c r="Q71" s="3357"/>
      <c r="S71" s="3356"/>
      <c r="T71" s="3357"/>
      <c r="V71" s="3353"/>
      <c r="W71" s="3354"/>
      <c r="X71" s="3355"/>
    </row>
    <row r="72" spans="1:24" s="305" customFormat="1" ht="12" customHeight="1">
      <c r="B72" s="305" t="s">
        <v>483</v>
      </c>
      <c r="G72" s="3356">
        <v>80000</v>
      </c>
      <c r="H72" s="3357"/>
      <c r="J72" s="3356">
        <v>80000</v>
      </c>
      <c r="K72" s="3357"/>
      <c r="L72" s="1580"/>
      <c r="M72" s="3356"/>
      <c r="N72" s="3357"/>
      <c r="P72" s="3356"/>
      <c r="Q72" s="3357"/>
      <c r="S72" s="3356"/>
      <c r="T72" s="3357"/>
      <c r="V72" s="3353"/>
      <c r="W72" s="3354"/>
      <c r="X72" s="3355"/>
    </row>
    <row r="73" spans="1:24" s="305" customFormat="1" ht="12" customHeight="1">
      <c r="B73" s="305" t="s">
        <v>484</v>
      </c>
      <c r="G73" s="3356">
        <v>30000</v>
      </c>
      <c r="H73" s="3357"/>
      <c r="J73" s="3356">
        <v>18000</v>
      </c>
      <c r="K73" s="3357"/>
      <c r="L73" s="1580"/>
      <c r="M73" s="3356"/>
      <c r="N73" s="3357"/>
      <c r="P73" s="3356"/>
      <c r="Q73" s="3357"/>
      <c r="S73" s="3356">
        <v>12000</v>
      </c>
      <c r="T73" s="3357"/>
      <c r="V73" s="3353"/>
      <c r="W73" s="3354"/>
      <c r="X73" s="3355"/>
    </row>
    <row r="74" spans="1:24" s="305" customFormat="1" ht="12" customHeight="1">
      <c r="B74" s="305" t="s">
        <v>2065</v>
      </c>
      <c r="G74" s="3356">
        <v>23800</v>
      </c>
      <c r="H74" s="3357"/>
      <c r="J74" s="3356">
        <v>23800</v>
      </c>
      <c r="K74" s="3357"/>
      <c r="L74" s="1580"/>
      <c r="M74" s="3356"/>
      <c r="N74" s="3357"/>
      <c r="P74" s="3356"/>
      <c r="Q74" s="3357"/>
      <c r="S74" s="3356"/>
      <c r="T74" s="3357"/>
      <c r="V74" s="3353"/>
      <c r="W74" s="3354"/>
      <c r="X74" s="3355"/>
    </row>
    <row r="75" spans="1:24" s="305" customFormat="1" ht="12" customHeight="1">
      <c r="B75" s="305" t="s">
        <v>1289</v>
      </c>
      <c r="G75" s="3356">
        <v>5000</v>
      </c>
      <c r="H75" s="3357"/>
      <c r="J75" s="3356">
        <v>5000</v>
      </c>
      <c r="K75" s="3357"/>
      <c r="L75" s="1580"/>
      <c r="M75" s="3356"/>
      <c r="N75" s="3357"/>
      <c r="P75" s="3356"/>
      <c r="Q75" s="3357"/>
      <c r="S75" s="3356"/>
      <c r="T75" s="3357"/>
      <c r="V75" s="3353"/>
      <c r="W75" s="3354"/>
      <c r="X75" s="3355"/>
    </row>
    <row r="76" spans="1:24" s="305" customFormat="1" ht="12" customHeight="1" thickBot="1">
      <c r="A76" s="387" t="str">
        <f>IF(AND(G76&gt;0,OR(C76="",C76="&lt;Enter detailed description here; use Comments section if needed&gt;")),"X","")</f>
        <v/>
      </c>
      <c r="B76" s="305" t="s">
        <v>749</v>
      </c>
      <c r="C76" s="3358" t="s">
        <v>3739</v>
      </c>
      <c r="D76" s="3358"/>
      <c r="E76" s="3358"/>
      <c r="F76" s="3359"/>
      <c r="G76" s="3385"/>
      <c r="H76" s="3386"/>
      <c r="J76" s="3385"/>
      <c r="K76" s="3386"/>
      <c r="L76" s="1580"/>
      <c r="M76" s="3385"/>
      <c r="N76" s="3386"/>
      <c r="P76" s="3385"/>
      <c r="Q76" s="3386"/>
      <c r="S76" s="3385"/>
      <c r="T76" s="3386"/>
      <c r="U76" s="386" t="str">
        <f>IF(AND(G76&gt;0,OR(C76="",C76="&lt;Enter detailed description here; use Comments section if needed&gt;")),"NO DESCRIPTION PROVIDED - please enter detailed description in Other box at left; use Comments section below if needed.","")</f>
        <v/>
      </c>
      <c r="V76" s="3353"/>
      <c r="W76" s="3363"/>
      <c r="X76" s="3364"/>
    </row>
    <row r="77" spans="1:24" s="305" customFormat="1" ht="12" customHeight="1" thickTop="1">
      <c r="F77" s="361" t="s">
        <v>193</v>
      </c>
      <c r="G77" s="1800">
        <f>SUM(G66:H76)</f>
        <v>392400</v>
      </c>
      <c r="H77" s="1801"/>
      <c r="J77" s="1800">
        <f>SUM(J66:K76)</f>
        <v>380400</v>
      </c>
      <c r="K77" s="1801"/>
      <c r="L77" s="363"/>
      <c r="M77" s="1800">
        <f>SUM(M66:N76)</f>
        <v>0</v>
      </c>
      <c r="N77" s="1801"/>
      <c r="P77" s="1800">
        <f>SUM(P66:Q76)</f>
        <v>0</v>
      </c>
      <c r="Q77" s="1801"/>
      <c r="S77" s="1800">
        <f>SUM(S66:T76)</f>
        <v>12000</v>
      </c>
      <c r="T77" s="1801"/>
      <c r="V77" s="3365">
        <f>SUM(V66:V76)</f>
        <v>0</v>
      </c>
      <c r="W77" s="3366"/>
      <c r="X77" s="3367"/>
    </row>
    <row r="78" spans="1:24" ht="12" customHeight="1">
      <c r="A78" s="305"/>
      <c r="B78" s="307" t="s">
        <v>1281</v>
      </c>
      <c r="C78" s="305"/>
      <c r="D78" s="969" t="s">
        <v>3763</v>
      </c>
      <c r="E78" s="1054">
        <f>G83/'Part VI-Revenues &amp; Expenses'!$O$62</f>
        <v>720.05555555555554</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1">
        <v>15719</v>
      </c>
      <c r="H79" s="3352"/>
      <c r="J79" s="3351">
        <v>15719</v>
      </c>
      <c r="K79" s="3352"/>
      <c r="L79" s="1580"/>
      <c r="M79" s="3351"/>
      <c r="N79" s="3352"/>
      <c r="P79" s="3351"/>
      <c r="Q79" s="3352"/>
      <c r="S79" s="3351"/>
      <c r="T79" s="3352"/>
      <c r="V79" s="3353"/>
      <c r="W79" s="3354"/>
      <c r="X79" s="3355"/>
    </row>
    <row r="80" spans="1:24" s="305" customFormat="1" ht="12" customHeight="1">
      <c r="B80" s="305" t="s">
        <v>1283</v>
      </c>
      <c r="G80" s="3356"/>
      <c r="H80" s="3357"/>
      <c r="J80" s="3356"/>
      <c r="K80" s="3357"/>
      <c r="L80" s="1580"/>
      <c r="M80" s="3356"/>
      <c r="N80" s="3357"/>
      <c r="P80" s="3356"/>
      <c r="Q80" s="3357"/>
      <c r="S80" s="3356"/>
      <c r="T80" s="3357"/>
      <c r="V80" s="3353"/>
      <c r="W80" s="3354"/>
      <c r="X80" s="3355"/>
    </row>
    <row r="81" spans="1:24" s="305" customFormat="1" ht="12" customHeight="1">
      <c r="B81" s="305" t="s">
        <v>1284</v>
      </c>
      <c r="D81" s="369" t="s">
        <v>1415</v>
      </c>
      <c r="E81" s="3388" t="s">
        <v>3014</v>
      </c>
      <c r="G81" s="3356">
        <v>7164</v>
      </c>
      <c r="H81" s="3357"/>
      <c r="I81" s="324"/>
      <c r="J81" s="3356">
        <v>7164</v>
      </c>
      <c r="K81" s="3357"/>
      <c r="L81" s="1580"/>
      <c r="M81" s="3356"/>
      <c r="N81" s="3357"/>
      <c r="P81" s="3356"/>
      <c r="Q81" s="3357"/>
      <c r="S81" s="3356"/>
      <c r="T81" s="3357"/>
      <c r="V81" s="3353"/>
      <c r="W81" s="3354"/>
      <c r="X81" s="3355"/>
    </row>
    <row r="82" spans="1:24" s="305" customFormat="1" ht="12" customHeight="1" thickBot="1">
      <c r="B82" s="305" t="s">
        <v>1285</v>
      </c>
      <c r="D82" s="369" t="s">
        <v>1415</v>
      </c>
      <c r="E82" s="3389" t="s">
        <v>3014</v>
      </c>
      <c r="G82" s="3385">
        <v>16000</v>
      </c>
      <c r="H82" s="3386"/>
      <c r="I82" s="324"/>
      <c r="J82" s="3385">
        <v>16000</v>
      </c>
      <c r="K82" s="3386"/>
      <c r="L82" s="1580"/>
      <c r="M82" s="3385"/>
      <c r="N82" s="3386"/>
      <c r="P82" s="3385"/>
      <c r="Q82" s="3386"/>
      <c r="S82" s="3385"/>
      <c r="T82" s="3386"/>
      <c r="V82" s="3353"/>
      <c r="W82" s="3363"/>
      <c r="X82" s="3364"/>
    </row>
    <row r="83" spans="1:24" s="305" customFormat="1" ht="12" customHeight="1" thickTop="1">
      <c r="F83" s="361" t="s">
        <v>193</v>
      </c>
      <c r="G83" s="1800">
        <f>SUM(G79:H82)</f>
        <v>38883</v>
      </c>
      <c r="H83" s="1801"/>
      <c r="J83" s="1800">
        <f>SUM(J79:K82)</f>
        <v>38883</v>
      </c>
      <c r="K83" s="1801"/>
      <c r="L83" s="363"/>
      <c r="M83" s="1800">
        <f>SUM(M79:N82)</f>
        <v>0</v>
      </c>
      <c r="N83" s="1801"/>
      <c r="P83" s="1800">
        <f>SUM(P79:Q82)</f>
        <v>0</v>
      </c>
      <c r="Q83" s="1801"/>
      <c r="S83" s="1800">
        <f>SUM(S79:T82)</f>
        <v>0</v>
      </c>
      <c r="T83" s="1801"/>
      <c r="V83" s="3365">
        <f>SUM(V79:V82)</f>
        <v>0</v>
      </c>
      <c r="W83" s="3366"/>
      <c r="X83" s="336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1">
        <v>8050</v>
      </c>
      <c r="H85" s="3352"/>
      <c r="J85" s="1804"/>
      <c r="K85" s="1804"/>
      <c r="L85" s="1580"/>
      <c r="M85" s="1804"/>
      <c r="N85" s="1804"/>
      <c r="P85" s="1804"/>
      <c r="Q85" s="1804"/>
      <c r="S85" s="3351">
        <v>8050</v>
      </c>
      <c r="T85" s="3352"/>
      <c r="V85" s="3353"/>
      <c r="W85" s="3354"/>
      <c r="X85" s="3355"/>
    </row>
    <row r="86" spans="1:24" s="305" customFormat="1" ht="12" customHeight="1">
      <c r="B86" s="305" t="s">
        <v>1287</v>
      </c>
      <c r="G86" s="3356">
        <v>15000</v>
      </c>
      <c r="H86" s="3357"/>
      <c r="J86" s="1804"/>
      <c r="K86" s="1804"/>
      <c r="L86" s="1580"/>
      <c r="M86" s="1804"/>
      <c r="N86" s="1804"/>
      <c r="P86" s="1804"/>
      <c r="Q86" s="1804"/>
      <c r="S86" s="3356">
        <v>15000</v>
      </c>
      <c r="T86" s="3357"/>
      <c r="V86" s="3353"/>
      <c r="W86" s="3354"/>
      <c r="X86" s="3355"/>
    </row>
    <row r="87" spans="1:24" s="305" customFormat="1" ht="12" customHeight="1">
      <c r="B87" s="305" t="s">
        <v>1288</v>
      </c>
      <c r="G87" s="3356">
        <v>9000</v>
      </c>
      <c r="H87" s="3357"/>
      <c r="J87" s="1804"/>
      <c r="K87" s="1804"/>
      <c r="L87" s="1580"/>
      <c r="M87" s="1804"/>
      <c r="N87" s="1804"/>
      <c r="P87" s="1804"/>
      <c r="Q87" s="1804"/>
      <c r="S87" s="3356">
        <v>9000</v>
      </c>
      <c r="T87" s="3357"/>
      <c r="V87" s="3353"/>
      <c r="W87" s="3354"/>
      <c r="X87" s="3355"/>
    </row>
    <row r="88" spans="1:24" s="305" customFormat="1" ht="12" customHeight="1">
      <c r="B88" s="305" t="s">
        <v>1290</v>
      </c>
      <c r="G88" s="3356"/>
      <c r="H88" s="3357"/>
      <c r="J88" s="1804"/>
      <c r="K88" s="1804"/>
      <c r="L88" s="1580"/>
      <c r="M88" s="1804"/>
      <c r="N88" s="1804"/>
      <c r="P88" s="1804"/>
      <c r="Q88" s="1804"/>
      <c r="S88" s="3356"/>
      <c r="T88" s="3357"/>
      <c r="V88" s="3353"/>
      <c r="W88" s="3354"/>
      <c r="X88" s="3355"/>
    </row>
    <row r="89" spans="1:24" s="305" customFormat="1" ht="12" customHeight="1">
      <c r="B89" s="305" t="s">
        <v>2314</v>
      </c>
      <c r="G89" s="3356"/>
      <c r="H89" s="3357"/>
      <c r="J89" s="1804"/>
      <c r="K89" s="1804"/>
      <c r="L89" s="1580"/>
      <c r="M89" s="1804"/>
      <c r="N89" s="1804"/>
      <c r="P89" s="1804"/>
      <c r="Q89" s="1804"/>
      <c r="S89" s="3356"/>
      <c r="T89" s="3357"/>
      <c r="V89" s="3353"/>
      <c r="W89" s="3354"/>
      <c r="X89" s="3355"/>
    </row>
    <row r="90" spans="1:24" s="305" customFormat="1" ht="12" customHeight="1" thickBot="1">
      <c r="A90" s="387" t="str">
        <f>IF(AND(G90&gt;0,OR(C90="",C90="&lt;Enter detailed description here; use Comments section if needed&gt;")),"X","")</f>
        <v/>
      </c>
      <c r="B90" s="305" t="s">
        <v>749</v>
      </c>
      <c r="C90" s="3358" t="s">
        <v>3739</v>
      </c>
      <c r="D90" s="3358"/>
      <c r="E90" s="3358"/>
      <c r="F90" s="3359"/>
      <c r="G90" s="3385"/>
      <c r="H90" s="3386"/>
      <c r="J90" s="1804"/>
      <c r="K90" s="1804"/>
      <c r="L90" s="1580"/>
      <c r="M90" s="1804"/>
      <c r="N90" s="1804"/>
      <c r="P90" s="1804"/>
      <c r="Q90" s="1804"/>
      <c r="S90" s="3385"/>
      <c r="T90" s="3386"/>
      <c r="U90" s="386" t="str">
        <f>IF(AND(G90&gt;0,OR(C90="",C90="&lt;Enter detailed description here; use Comments section if needed&gt;")),"NO DESCRIPTION PROVIDED - please enter detailed description in Other box at left; use Comments section below if needed.","")</f>
        <v/>
      </c>
      <c r="V90" s="3353"/>
      <c r="W90" s="3363"/>
      <c r="X90" s="3364"/>
    </row>
    <row r="91" spans="1:24" s="305" customFormat="1" ht="12" customHeight="1" thickTop="1">
      <c r="F91" s="361" t="s">
        <v>193</v>
      </c>
      <c r="G91" s="1800">
        <f>SUM(G85:H90)</f>
        <v>32050</v>
      </c>
      <c r="H91" s="1801"/>
      <c r="J91" s="1804"/>
      <c r="K91" s="1804"/>
      <c r="L91" s="363"/>
      <c r="M91" s="1804"/>
      <c r="N91" s="1804"/>
      <c r="P91" s="1804"/>
      <c r="Q91" s="1804"/>
      <c r="S91" s="1800">
        <f>SUM(S85:T90)</f>
        <v>32050</v>
      </c>
      <c r="T91" s="1801"/>
      <c r="V91" s="3365">
        <f>SUM(V85:V90)</f>
        <v>0</v>
      </c>
      <c r="W91" s="3366"/>
      <c r="X91" s="336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3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1"/>
      <c r="H96" s="3352"/>
      <c r="J96" s="363"/>
      <c r="K96" s="363"/>
      <c r="L96" s="1580"/>
      <c r="M96" s="363"/>
      <c r="N96" s="363"/>
      <c r="P96" s="363"/>
      <c r="Q96" s="363"/>
      <c r="S96" s="3351"/>
      <c r="T96" s="3352"/>
      <c r="V96" s="3353"/>
      <c r="W96" s="3354"/>
      <c r="X96" s="33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6">
        <v>6500</v>
      </c>
      <c r="H97" s="3357"/>
      <c r="J97" s="363"/>
      <c r="K97" s="363"/>
      <c r="L97" s="370"/>
      <c r="M97" s="363"/>
      <c r="N97" s="363"/>
      <c r="P97" s="363"/>
      <c r="Q97" s="363"/>
      <c r="S97" s="3356">
        <v>6500</v>
      </c>
      <c r="T97" s="3357"/>
      <c r="V97" s="3353"/>
      <c r="W97" s="3354"/>
      <c r="X97" s="3355"/>
    </row>
    <row r="98" spans="1:24" s="305" customFormat="1" ht="12.6" customHeight="1">
      <c r="B98" s="305" t="s">
        <v>3984</v>
      </c>
      <c r="G98" s="3356"/>
      <c r="H98" s="3357"/>
      <c r="J98" s="363"/>
      <c r="K98" s="363"/>
      <c r="L98" s="370"/>
      <c r="M98" s="363"/>
      <c r="N98" s="363"/>
      <c r="O98" s="1570"/>
      <c r="P98" s="363"/>
      <c r="Q98" s="363"/>
      <c r="S98" s="3356"/>
      <c r="T98" s="3357"/>
      <c r="V98" s="3353"/>
      <c r="W98" s="3354"/>
      <c r="X98" s="3355"/>
    </row>
    <row r="99" spans="1:24" s="305" customFormat="1" ht="12.6" customHeight="1">
      <c r="B99" s="305" t="s">
        <v>524</v>
      </c>
      <c r="E99" s="1811">
        <f>'DCA Underwriting Assumptions'!$Q$88*J175</f>
        <v>61839.840000000004</v>
      </c>
      <c r="F99" s="1812"/>
      <c r="G99" s="3356">
        <v>61840</v>
      </c>
      <c r="H99" s="3357"/>
      <c r="J99" s="1055" t="str">
        <f>IF(E99&gt;G99,"WARNING!  LIHTC Allocation Fee proposed is below minimum required.","")</f>
        <v/>
      </c>
      <c r="K99" s="363"/>
      <c r="L99" s="1580"/>
      <c r="M99" s="363"/>
      <c r="N99" s="363"/>
      <c r="O99" s="1570"/>
      <c r="P99" s="363"/>
      <c r="Q99" s="363"/>
      <c r="S99" s="3356">
        <v>61840</v>
      </c>
      <c r="T99" s="3357"/>
      <c r="V99" s="3353"/>
      <c r="W99" s="3354"/>
      <c r="X99" s="3355"/>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100" s="1812"/>
      <c r="G100" s="3356">
        <v>43200</v>
      </c>
      <c r="H100" s="3357"/>
      <c r="J100" s="1055" t="str">
        <f>IF(E100&gt;G100,"WARNING!  LIHTC Compliance Fee proposed is below minimum required.","")</f>
        <v/>
      </c>
      <c r="K100" s="280"/>
      <c r="L100" s="280"/>
      <c r="M100" s="280"/>
      <c r="N100" s="280"/>
      <c r="O100" s="280"/>
      <c r="P100" s="280"/>
      <c r="Q100" s="280"/>
      <c r="S100" s="3356">
        <v>43200</v>
      </c>
      <c r="T100" s="3357"/>
      <c r="V100" s="3353"/>
      <c r="W100" s="3354"/>
      <c r="X100" s="3355"/>
    </row>
    <row r="101" spans="1:24" s="305" customFormat="1" ht="12.6" customHeight="1">
      <c r="B101" s="305" t="s">
        <v>4297</v>
      </c>
      <c r="F101" s="1387">
        <f>'DCA Underwriting Assumptions'!$Q$90</f>
        <v>3000</v>
      </c>
      <c r="G101" s="3356"/>
      <c r="H101" s="3357"/>
      <c r="J101" s="280"/>
      <c r="K101" s="280"/>
      <c r="L101" s="280"/>
      <c r="M101" s="280"/>
      <c r="N101" s="280"/>
      <c r="O101" s="280"/>
      <c r="P101" s="280"/>
      <c r="Q101" s="280"/>
      <c r="S101" s="3356"/>
      <c r="T101" s="3357"/>
      <c r="V101" s="3353"/>
      <c r="W101" s="3354"/>
      <c r="X101" s="3355"/>
    </row>
    <row r="102" spans="1:24" s="305" customFormat="1" ht="12.6" customHeight="1">
      <c r="B102" s="305" t="s">
        <v>4298</v>
      </c>
      <c r="F102" s="1387">
        <f>'DCA Underwriting Assumptions'!$Q$111</f>
        <v>3000</v>
      </c>
      <c r="G102" s="3356">
        <v>3000</v>
      </c>
      <c r="H102" s="3357"/>
      <c r="J102" s="280"/>
      <c r="K102" s="280"/>
      <c r="L102" s="280"/>
      <c r="M102" s="280"/>
      <c r="N102" s="280"/>
      <c r="O102" s="280"/>
      <c r="P102" s="280"/>
      <c r="Q102" s="280"/>
      <c r="S102" s="3356">
        <v>3000</v>
      </c>
      <c r="T102" s="3357"/>
      <c r="V102" s="3353"/>
      <c r="W102" s="3354"/>
      <c r="X102" s="3355"/>
    </row>
    <row r="103" spans="1:24" s="305" customFormat="1" ht="12.6" customHeight="1">
      <c r="A103" s="387" t="str">
        <f>IF(AND(G103&gt;0,OR(C103="",C103="&lt;Enter detailed description here; use Comments section if needed&gt;")),"X","")</f>
        <v/>
      </c>
      <c r="B103" s="305" t="s">
        <v>749</v>
      </c>
      <c r="C103" s="3381" t="s">
        <v>3739</v>
      </c>
      <c r="D103" s="3381"/>
      <c r="E103" s="3381"/>
      <c r="F103" s="3382"/>
      <c r="G103" s="3356"/>
      <c r="H103" s="3357"/>
      <c r="J103" s="280"/>
      <c r="K103" s="280"/>
      <c r="L103" s="280"/>
      <c r="M103" s="280"/>
      <c r="N103" s="280"/>
      <c r="O103" s="280"/>
      <c r="P103" s="280"/>
      <c r="Q103" s="280"/>
      <c r="S103" s="3356"/>
      <c r="T103" s="3357"/>
      <c r="U103" s="386" t="str">
        <f>IF(AND(G103&gt;0,OR(C103="",C103="&lt;Enter detailed description here; use Comments section if needed&gt;")),"NO DESCRIPTION PROVIDED - please enter detailed description in Other box at left; use Comments section below if needed.","")</f>
        <v/>
      </c>
      <c r="V103" s="3353"/>
      <c r="W103" s="3354"/>
      <c r="X103" s="3355"/>
    </row>
    <row r="104" spans="1:24" s="305" customFormat="1" ht="12.6" customHeight="1" thickBot="1">
      <c r="A104" s="387" t="str">
        <f>IF(AND(G104&gt;0,OR(C104="",C104="&lt;Enter detailed description here; use Comments section if needed&gt;")),"X","")</f>
        <v/>
      </c>
      <c r="B104" s="305" t="s">
        <v>749</v>
      </c>
      <c r="C104" s="3383" t="s">
        <v>3739</v>
      </c>
      <c r="D104" s="3383"/>
      <c r="E104" s="3383"/>
      <c r="F104" s="3384"/>
      <c r="G104" s="3385"/>
      <c r="H104" s="3386"/>
      <c r="J104" s="280"/>
      <c r="K104" s="280"/>
      <c r="L104" s="280"/>
      <c r="M104" s="280"/>
      <c r="N104" s="280"/>
      <c r="O104" s="280"/>
      <c r="P104" s="280"/>
      <c r="Q104" s="280"/>
      <c r="S104" s="3385"/>
      <c r="T104" s="3386"/>
      <c r="U104" s="386" t="str">
        <f>IF(AND(G104&gt;0,OR(C104="",C104="&lt;Enter detailed description here; use Comments section if needed&gt;")),"NO DESCRIPTION PROVIDED - please enter detailed description in Other box at left; use Comments section below if needed.","")</f>
        <v/>
      </c>
      <c r="V104" s="3353"/>
      <c r="W104" s="3363"/>
      <c r="X104" s="3364"/>
    </row>
    <row r="105" spans="1:24" s="305" customFormat="1" ht="12.6" customHeight="1" thickTop="1">
      <c r="F105" s="361" t="s">
        <v>193</v>
      </c>
      <c r="G105" s="1800">
        <f>SUM(G96:H104)</f>
        <v>114540</v>
      </c>
      <c r="H105" s="1801"/>
      <c r="J105" s="363"/>
      <c r="K105" s="363"/>
      <c r="L105" s="1580"/>
      <c r="M105" s="363"/>
      <c r="N105" s="363"/>
      <c r="P105" s="363"/>
      <c r="Q105" s="363"/>
      <c r="S105" s="1800">
        <f>SUM(S96:T104)</f>
        <v>114540</v>
      </c>
      <c r="T105" s="1801"/>
      <c r="V105" s="3365">
        <f>SUM(V96:V104)</f>
        <v>0</v>
      </c>
      <c r="W105" s="3390"/>
      <c r="X105" s="3391"/>
    </row>
    <row r="106" spans="1:24" s="305" customFormat="1" ht="13.3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1">
        <v>3000</v>
      </c>
      <c r="H107" s="3352"/>
      <c r="J107" s="1804"/>
      <c r="K107" s="1804"/>
      <c r="L107" s="1580"/>
      <c r="M107" s="1804"/>
      <c r="N107" s="1804"/>
      <c r="O107" s="1570"/>
      <c r="P107" s="1804"/>
      <c r="Q107" s="1804"/>
      <c r="S107" s="3351">
        <v>3000</v>
      </c>
      <c r="T107" s="3352"/>
      <c r="V107" s="3353"/>
      <c r="W107" s="3354"/>
      <c r="X107" s="3355"/>
    </row>
    <row r="108" spans="1:24" s="305" customFormat="1" ht="12.6" customHeight="1">
      <c r="B108" s="305" t="s">
        <v>282</v>
      </c>
      <c r="G108" s="3356"/>
      <c r="H108" s="3357"/>
      <c r="J108" s="1804"/>
      <c r="K108" s="1804"/>
      <c r="L108" s="1580"/>
      <c r="M108" s="1804"/>
      <c r="N108" s="1804"/>
      <c r="O108" s="1570"/>
      <c r="P108" s="1804"/>
      <c r="Q108" s="1804"/>
      <c r="S108" s="3356"/>
      <c r="T108" s="3357"/>
      <c r="V108" s="3353"/>
      <c r="W108" s="3354"/>
      <c r="X108" s="3355"/>
    </row>
    <row r="109" spans="1:24" s="305" customFormat="1" ht="12.6" customHeight="1">
      <c r="B109" s="305" t="s">
        <v>2402</v>
      </c>
      <c r="G109" s="3356"/>
      <c r="H109" s="3357"/>
      <c r="J109" s="1804"/>
      <c r="K109" s="1804"/>
      <c r="L109" s="1580"/>
      <c r="M109" s="1804"/>
      <c r="N109" s="1804"/>
      <c r="O109" s="1570"/>
      <c r="P109" s="1804"/>
      <c r="Q109" s="1804"/>
      <c r="S109" s="3356"/>
      <c r="T109" s="3357"/>
      <c r="V109" s="3353"/>
      <c r="W109" s="3354"/>
      <c r="X109" s="3355"/>
    </row>
    <row r="110" spans="1:24" s="305" customFormat="1" ht="12.6" customHeight="1" thickBot="1">
      <c r="A110" s="387" t="str">
        <f>IF(AND(G110&gt;0,OR(C110="",C110="&lt;Enter detailed description here; use Comments section if needed&gt;")),"X","")</f>
        <v/>
      </c>
      <c r="B110" s="305" t="s">
        <v>749</v>
      </c>
      <c r="C110" s="3358" t="s">
        <v>3739</v>
      </c>
      <c r="D110" s="3358"/>
      <c r="E110" s="3358"/>
      <c r="F110" s="3359"/>
      <c r="G110" s="3385"/>
      <c r="H110" s="3386"/>
      <c r="J110" s="1804"/>
      <c r="K110" s="1804"/>
      <c r="L110" s="1580"/>
      <c r="M110" s="1804"/>
      <c r="N110" s="1804"/>
      <c r="O110" s="1570"/>
      <c r="P110" s="1804"/>
      <c r="Q110" s="1804"/>
      <c r="S110" s="3385"/>
      <c r="T110" s="3386"/>
      <c r="U110" s="386" t="str">
        <f>IF(AND(G110&gt;0,OR(C110="",C110="&lt;Enter detailed description here; use Comments section if needed&gt;")),"NO DESCRIPTION PROVIDED - please enter detailed description in Other box at left; use Comments section below if needed.","")</f>
        <v/>
      </c>
      <c r="V110" s="3353"/>
      <c r="W110" s="3363"/>
      <c r="X110" s="3364"/>
    </row>
    <row r="111" spans="1:24" s="305" customFormat="1" ht="12.6" customHeight="1" thickTop="1">
      <c r="F111" s="361" t="s">
        <v>193</v>
      </c>
      <c r="G111" s="1800">
        <f>SUM(G107:H110)</f>
        <v>3000</v>
      </c>
      <c r="H111" s="1801"/>
      <c r="J111" s="1804"/>
      <c r="K111" s="1804"/>
      <c r="L111" s="1580"/>
      <c r="M111" s="1804"/>
      <c r="N111" s="1804"/>
      <c r="O111" s="1570"/>
      <c r="P111" s="1804"/>
      <c r="Q111" s="1804"/>
      <c r="S111" s="1800">
        <f>SUM(S107:T110)</f>
        <v>3000</v>
      </c>
      <c r="T111" s="1801"/>
      <c r="V111" s="3365">
        <f>SUM(V107:V110)</f>
        <v>0</v>
      </c>
      <c r="W111" s="3366"/>
      <c r="X111" s="3367"/>
    </row>
    <row r="112" spans="1:24" s="305" customFormat="1" ht="13.3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3392">
        <v>0</v>
      </c>
      <c r="H113" s="3392"/>
      <c r="J113" s="3393"/>
      <c r="K113" s="3394"/>
      <c r="L113" s="362"/>
      <c r="M113" s="3393"/>
      <c r="N113" s="3394"/>
      <c r="P113" s="3393"/>
      <c r="Q113" s="3394"/>
      <c r="S113" s="3393"/>
      <c r="T113" s="3394"/>
      <c r="V113" s="3353"/>
      <c r="W113" s="3354"/>
      <c r="X113" s="3355"/>
    </row>
    <row r="114" spans="1:24" s="305" customFormat="1" ht="12.6" customHeight="1">
      <c r="B114" s="305" t="s">
        <v>4250</v>
      </c>
      <c r="F114" s="3395">
        <v>733788</v>
      </c>
      <c r="V114" s="3353"/>
      <c r="W114" s="3354"/>
      <c r="X114" s="3355"/>
    </row>
    <row r="115" spans="1:24" s="305" customFormat="1" ht="12.6" customHeight="1">
      <c r="B115" s="305" t="s">
        <v>1875</v>
      </c>
      <c r="F115" s="412">
        <f>IF($G$118=0,0,G115/$G$118)</f>
        <v>0</v>
      </c>
      <c r="G115" s="3351"/>
      <c r="H115" s="3352"/>
      <c r="J115" s="3351"/>
      <c r="K115" s="3352"/>
      <c r="L115" s="1580"/>
      <c r="M115" s="3351"/>
      <c r="N115" s="3352"/>
      <c r="P115" s="3351"/>
      <c r="Q115" s="3352"/>
      <c r="S115" s="3351"/>
      <c r="T115" s="3352"/>
      <c r="V115" s="3353"/>
      <c r="W115" s="3354"/>
      <c r="X115" s="3355"/>
    </row>
    <row r="116" spans="1:24" s="305" customFormat="1" ht="12.6" customHeight="1">
      <c r="B116" s="305" t="s">
        <v>3659</v>
      </c>
      <c r="F116" s="412">
        <f>IF($G$118=0,0,G116/$G$118)</f>
        <v>0</v>
      </c>
      <c r="G116" s="3356"/>
      <c r="H116" s="3357"/>
      <c r="J116" s="3356"/>
      <c r="K116" s="3357"/>
      <c r="L116" s="1580"/>
      <c r="M116" s="3356"/>
      <c r="N116" s="3357"/>
      <c r="P116" s="3356"/>
      <c r="Q116" s="3357"/>
      <c r="S116" s="3356"/>
      <c r="T116" s="3357"/>
      <c r="V116" s="3353"/>
      <c r="W116" s="3354"/>
      <c r="X116" s="3355"/>
    </row>
    <row r="117" spans="1:24" s="305" customFormat="1" ht="12.6" customHeight="1" thickBot="1">
      <c r="B117" s="305" t="s">
        <v>1867</v>
      </c>
      <c r="F117" s="412">
        <f>IF($G$118=0,0,G117/$G$118)</f>
        <v>1</v>
      </c>
      <c r="G117" s="3385">
        <v>1222979.9821419853</v>
      </c>
      <c r="H117" s="3386"/>
      <c r="J117" s="3385">
        <v>1222979.9821419853</v>
      </c>
      <c r="K117" s="3386"/>
      <c r="L117" s="1580"/>
      <c r="M117" s="3385"/>
      <c r="N117" s="3386"/>
      <c r="P117" s="3385"/>
      <c r="Q117" s="3386"/>
      <c r="S117" s="3385"/>
      <c r="T117" s="3386"/>
      <c r="V117" s="3353"/>
      <c r="W117" s="3363"/>
      <c r="X117" s="3364"/>
    </row>
    <row r="118" spans="1:24" s="305" customFormat="1" ht="12.6" customHeight="1" thickTop="1">
      <c r="C118" s="386"/>
      <c r="F118" s="361" t="s">
        <v>193</v>
      </c>
      <c r="G118" s="1800">
        <f>SUM(G113:H117)</f>
        <v>1222979.9821419853</v>
      </c>
      <c r="H118" s="1801"/>
      <c r="J118" s="1800">
        <f>SUM(J113:K117)</f>
        <v>1222979.9821419853</v>
      </c>
      <c r="K118" s="1801"/>
      <c r="L118" s="1580"/>
      <c r="M118" s="1800">
        <f>SUM(M113:N117)</f>
        <v>0</v>
      </c>
      <c r="N118" s="1801"/>
      <c r="P118" s="1800">
        <f>SUM(P113:Q117)</f>
        <v>0</v>
      </c>
      <c r="Q118" s="1801"/>
      <c r="S118" s="1800">
        <f>SUM(S113:T117)</f>
        <v>0</v>
      </c>
      <c r="T118" s="1801"/>
      <c r="V118" s="3365">
        <f>SUM(V113:V117)</f>
        <v>0</v>
      </c>
      <c r="W118" s="3366"/>
      <c r="X118" s="3367"/>
    </row>
    <row r="119" spans="1:24" s="305" customFormat="1" ht="13.3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1">
        <v>27000</v>
      </c>
      <c r="H120" s="3352"/>
      <c r="J120" s="371"/>
      <c r="K120" s="371"/>
      <c r="L120" s="371"/>
      <c r="M120" s="371"/>
      <c r="N120" s="371"/>
      <c r="P120" s="371"/>
      <c r="Q120" s="371"/>
      <c r="S120" s="3351">
        <v>27000</v>
      </c>
      <c r="T120" s="3352"/>
      <c r="V120" s="3353"/>
      <c r="W120" s="3354"/>
      <c r="X120" s="3355"/>
    </row>
    <row r="121" spans="1:24" s="305" customFormat="1" ht="12.6" customHeight="1">
      <c r="B121" s="305" t="s">
        <v>1548</v>
      </c>
      <c r="F121" s="513">
        <f>+'Part VI-Revenues &amp; Expenses'!$P$175*('DCA Underwriting Assumptions'!$Q$110/12)</f>
        <v>61290</v>
      </c>
      <c r="G121" s="3356">
        <v>61290</v>
      </c>
      <c r="H121" s="3357"/>
      <c r="J121" s="1057" t="str">
        <f>IF(E121&gt;G121,"WARNING! Rent-Up Reserves proposed is below minimum - add comment.","")</f>
        <v/>
      </c>
      <c r="K121" s="1057"/>
      <c r="L121" s="1580"/>
      <c r="M121" s="1030"/>
      <c r="N121" s="1030"/>
      <c r="O121" s="1570"/>
      <c r="P121" s="1030"/>
      <c r="Q121" s="1030"/>
      <c r="R121" s="1570"/>
      <c r="S121" s="3356">
        <v>61290</v>
      </c>
      <c r="T121" s="3357"/>
      <c r="V121" s="3353"/>
      <c r="W121" s="3354"/>
      <c r="X121" s="335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153108.88553471013</v>
      </c>
      <c r="G122" s="3356">
        <v>153109</v>
      </c>
      <c r="H122" s="3357"/>
      <c r="J122" s="1057" t="str">
        <f>IF(E122&gt;G122,"WARNING! ODR proposed is below minimum - add comment.","")</f>
        <v/>
      </c>
      <c r="K122" s="370"/>
      <c r="L122" s="370"/>
      <c r="M122" s="370"/>
      <c r="N122" s="370"/>
      <c r="O122" s="1570"/>
      <c r="P122" s="370"/>
      <c r="Q122" s="370"/>
      <c r="R122" s="1570"/>
      <c r="S122" s="3356">
        <v>153109</v>
      </c>
      <c r="T122" s="3357"/>
      <c r="V122" s="3353"/>
      <c r="W122" s="3354"/>
      <c r="X122" s="3355"/>
    </row>
    <row r="123" spans="1:24" s="305" customFormat="1" ht="12.6" customHeight="1">
      <c r="B123" s="305" t="s">
        <v>1256</v>
      </c>
      <c r="G123" s="3356"/>
      <c r="H123" s="3357"/>
      <c r="J123" s="371"/>
      <c r="K123" s="371"/>
      <c r="L123" s="371"/>
      <c r="M123" s="371"/>
      <c r="N123" s="371"/>
      <c r="P123" s="371"/>
      <c r="Q123" s="371"/>
      <c r="S123" s="3356"/>
      <c r="T123" s="3357"/>
      <c r="V123" s="3353"/>
      <c r="W123" s="3354"/>
      <c r="X123" s="3355"/>
    </row>
    <row r="124" spans="1:24" s="305" customFormat="1" ht="12.6" customHeight="1">
      <c r="B124" s="305" t="s">
        <v>1257</v>
      </c>
      <c r="E124" s="901" t="s">
        <v>3590</v>
      </c>
      <c r="F124" s="481">
        <f>IF('Part VI-Revenues &amp; Expenses'!$O$62=0,0,G124/'Part VI-Revenues &amp; Expenses'!$O$62)</f>
        <v>740.74074074074076</v>
      </c>
      <c r="G124" s="3356">
        <v>40000</v>
      </c>
      <c r="H124" s="3357"/>
      <c r="J124" s="3351">
        <v>40000</v>
      </c>
      <c r="K124" s="3352"/>
      <c r="L124" s="1580"/>
      <c r="M124" s="3351"/>
      <c r="N124" s="3352"/>
      <c r="P124" s="3351"/>
      <c r="Q124" s="3352"/>
      <c r="S124" s="3356"/>
      <c r="T124" s="3357"/>
      <c r="V124" s="3353"/>
      <c r="W124" s="3354"/>
      <c r="X124" s="3355"/>
    </row>
    <row r="125" spans="1:24" s="305" customFormat="1" ht="12.6" customHeight="1" thickBot="1">
      <c r="A125" s="387" t="str">
        <f>IF(AND(G125&gt;0,OR(C125="",C125="&lt;Enter detailed description here; use Comments section if needed&gt;")),"X","")</f>
        <v/>
      </c>
      <c r="B125" s="305" t="s">
        <v>749</v>
      </c>
      <c r="C125" s="3358" t="s">
        <v>3739</v>
      </c>
      <c r="D125" s="3358"/>
      <c r="E125" s="3358"/>
      <c r="F125" s="3359"/>
      <c r="G125" s="3385"/>
      <c r="H125" s="3386"/>
      <c r="J125" s="3361"/>
      <c r="K125" s="3362"/>
      <c r="L125" s="1580"/>
      <c r="M125" s="3385"/>
      <c r="N125" s="3386"/>
      <c r="P125" s="3385"/>
      <c r="Q125" s="3386"/>
      <c r="S125" s="3385"/>
      <c r="T125" s="3386"/>
      <c r="U125" s="386" t="str">
        <f>IF(AND(G125&gt;0,OR(C125="",C125="&lt;Enter detailed description here; use Comments section if needed&gt;")),"NO DESCRIPTION PROVIDED - please enter detailed description in Other box at left; use Comments section below if needed.","")</f>
        <v/>
      </c>
      <c r="V125" s="3353"/>
      <c r="W125" s="3363"/>
      <c r="X125" s="3364"/>
    </row>
    <row r="126" spans="1:24" s="305" customFormat="1" ht="12.6" customHeight="1" thickTop="1">
      <c r="B126" s="372"/>
      <c r="F126" s="361" t="s">
        <v>193</v>
      </c>
      <c r="G126" s="1800">
        <f>SUM(G120:H125)</f>
        <v>281399</v>
      </c>
      <c r="H126" s="1801"/>
      <c r="J126" s="1800">
        <f>SUM(J124:K125)</f>
        <v>40000</v>
      </c>
      <c r="K126" s="1801"/>
      <c r="L126" s="1580"/>
      <c r="M126" s="1800">
        <f>SUM(M124:N125)</f>
        <v>0</v>
      </c>
      <c r="N126" s="1801"/>
      <c r="P126" s="1800">
        <f>SUM(P124:Q125)</f>
        <v>0</v>
      </c>
      <c r="Q126" s="1801"/>
      <c r="S126" s="1800">
        <f>SUM(S120:T125)</f>
        <v>241399</v>
      </c>
      <c r="T126" s="1801"/>
      <c r="V126" s="3365">
        <f>SUM(V120:V125)</f>
        <v>0</v>
      </c>
      <c r="W126" s="3366"/>
      <c r="X126" s="3367"/>
    </row>
    <row r="127" spans="1:24" s="305" customFormat="1" ht="13.3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1"/>
      <c r="H128" s="3352"/>
      <c r="J128" s="3351"/>
      <c r="K128" s="3352"/>
      <c r="L128" s="362"/>
      <c r="M128" s="3351"/>
      <c r="N128" s="3352"/>
      <c r="P128" s="3351"/>
      <c r="Q128" s="3352"/>
      <c r="S128" s="3351"/>
      <c r="T128" s="3352"/>
      <c r="V128" s="3353"/>
      <c r="W128" s="3354"/>
      <c r="X128" s="3355"/>
    </row>
    <row r="129" spans="1:24" s="305" customFormat="1" ht="12.6" customHeight="1" thickBot="1">
      <c r="A129" s="387" t="str">
        <f>IF(AND(G129&gt;0,OR(C129="",C129="&lt;Enter detailed description here; use Comments section if needed&gt;")),"X","")</f>
        <v/>
      </c>
      <c r="B129" s="305" t="s">
        <v>749</v>
      </c>
      <c r="C129" s="3358" t="s">
        <v>3739</v>
      </c>
      <c r="D129" s="3358"/>
      <c r="E129" s="3358"/>
      <c r="F129" s="3359"/>
      <c r="G129" s="3385"/>
      <c r="H129" s="3386"/>
      <c r="J129" s="3385"/>
      <c r="K129" s="3386"/>
      <c r="L129" s="1580"/>
      <c r="M129" s="3385"/>
      <c r="N129" s="3386"/>
      <c r="P129" s="3385"/>
      <c r="Q129" s="3386"/>
      <c r="S129" s="3385"/>
      <c r="T129" s="3386"/>
      <c r="U129" s="386" t="str">
        <f>IF(AND(G129&gt;0,OR(C129="",C129="&lt;Enter detailed description here; use Comments section if needed&gt;")),"NO DESCRIPTION PROVIDED - please enter detailed description in Other box at left; use Comments section below if needed.","")</f>
        <v/>
      </c>
      <c r="V129" s="3353"/>
      <c r="W129" s="3363"/>
      <c r="X129" s="3364"/>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65">
        <f>SUM(V128:V129)</f>
        <v>0</v>
      </c>
      <c r="W130" s="3366"/>
      <c r="X130" s="3367"/>
    </row>
    <row r="131" spans="1:24" s="305" customFormat="1" ht="3" customHeight="1" thickBot="1">
      <c r="C131" s="1559"/>
      <c r="H131" s="368"/>
      <c r="I131" s="368"/>
      <c r="L131" s="1570"/>
      <c r="V131" s="1176"/>
      <c r="W131" s="3396"/>
      <c r="X131" s="3397"/>
    </row>
    <row r="132" spans="1:24" s="305" customFormat="1" ht="14.1" customHeight="1" thickBot="1">
      <c r="B132" s="311" t="s">
        <v>2786</v>
      </c>
      <c r="G132" s="1802">
        <f>G17+G23+G27+G33+G38+G41+G47+G64+G77+G83+G91+G105+G111+G118+G126+G130</f>
        <v>10235578.982141985</v>
      </c>
      <c r="H132" s="1803"/>
      <c r="J132" s="1802">
        <f>J17+J23+J27+J33+J38+J41+J47+J64+J77+J83+J91+J105+J111+J118+J126+J130</f>
        <v>9056923.9821419846</v>
      </c>
      <c r="K132" s="1803"/>
      <c r="M132" s="1802">
        <f>M17+M23+M27+M33+M38+M41+M47+M64+M77+M83+M91+M105+M111+M118+M126+M130</f>
        <v>0</v>
      </c>
      <c r="N132" s="1803"/>
      <c r="P132" s="1802">
        <f>P17+P23+P27+P33+P38+P41+P47+P64+P77+P83+P91+P105+P111+P118+P126+P130</f>
        <v>0</v>
      </c>
      <c r="Q132" s="1803"/>
      <c r="S132" s="1802">
        <f>S17+S23+S27+S33+S38+S41+S47+S64+S77+S83+S91+S105+S111+S118+S126+S130</f>
        <v>1178655</v>
      </c>
      <c r="T132" s="1803"/>
      <c r="V132" s="3398">
        <f>V17+V23+V27+V33+V38+V41+V47+V64+V77+V83+V91+V105+V111+V118+V126+V130</f>
        <v>0</v>
      </c>
      <c r="W132" s="3399"/>
      <c r="X132" s="3367"/>
    </row>
    <row r="133" spans="1:24" s="305" customFormat="1" ht="3" customHeight="1">
      <c r="C133" s="1559"/>
      <c r="H133" s="368"/>
      <c r="I133" s="368"/>
      <c r="L133" s="1570"/>
      <c r="V133" s="1176"/>
    </row>
    <row r="134" spans="1:24" s="305" customFormat="1" ht="14.1" customHeight="1">
      <c r="B134" s="524" t="s">
        <v>2782</v>
      </c>
      <c r="C134" s="522"/>
      <c r="D134" s="1793">
        <f>IF('Part VI-Revenues &amp; Expenses'!$O$62=0,0,G132/'Part VI-Revenues &amp; Expenses'!$O$62)</f>
        <v>189547.75892855527</v>
      </c>
      <c r="E134" s="1793"/>
      <c r="F134" s="523" t="s">
        <v>2781</v>
      </c>
      <c r="G134" s="1794">
        <f>IF('Part I-Project Information'!$P$71=0,0,G132/'Part I-Project Information'!$P$71)</f>
        <v>179.88715258597512</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6.1"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4.1" customHeight="1">
      <c r="B140" s="1559" t="s">
        <v>145</v>
      </c>
      <c r="D140" s="1570"/>
      <c r="E140" s="1570"/>
      <c r="F140" s="1570"/>
      <c r="G140" s="1570"/>
      <c r="H140" s="1570"/>
      <c r="I140" s="375"/>
      <c r="J140" s="3400"/>
      <c r="K140" s="3401"/>
      <c r="P140" s="3400"/>
      <c r="Q140" s="3401"/>
      <c r="V140" s="3353"/>
      <c r="W140" s="3354"/>
      <c r="X140" s="3355"/>
    </row>
    <row r="141" spans="1:24" s="305" customFormat="1" ht="14.1" customHeight="1">
      <c r="B141" s="1570" t="s">
        <v>2168</v>
      </c>
      <c r="D141" s="1570"/>
      <c r="E141" s="1570"/>
      <c r="F141" s="1570"/>
      <c r="G141" s="1570"/>
      <c r="H141" s="1570"/>
      <c r="I141" s="375"/>
      <c r="J141" s="3402"/>
      <c r="K141" s="3403"/>
      <c r="P141" s="3402"/>
      <c r="Q141" s="3403"/>
      <c r="V141" s="3353"/>
      <c r="W141" s="3354"/>
      <c r="X141" s="3355"/>
    </row>
    <row r="142" spans="1:24" s="305" customFormat="1" ht="14.1" customHeight="1">
      <c r="B142" s="1570" t="s">
        <v>1877</v>
      </c>
      <c r="D142" s="1570"/>
      <c r="E142" s="1570"/>
      <c r="I142" s="375"/>
      <c r="J142" s="3402"/>
      <c r="K142" s="3403"/>
      <c r="P142" s="3402"/>
      <c r="Q142" s="3403"/>
      <c r="V142" s="3353"/>
      <c r="W142" s="3354"/>
      <c r="X142" s="3355"/>
    </row>
    <row r="143" spans="1:24" s="305" customFormat="1" ht="14.1" customHeight="1">
      <c r="B143" s="1570" t="s">
        <v>1878</v>
      </c>
      <c r="D143" s="1570"/>
      <c r="E143" s="1570"/>
      <c r="I143" s="375"/>
      <c r="J143" s="3402"/>
      <c r="K143" s="3403"/>
      <c r="P143" s="3402"/>
      <c r="Q143" s="3403"/>
      <c r="V143" s="3353"/>
      <c r="W143" s="3354"/>
      <c r="X143" s="3355"/>
    </row>
    <row r="144" spans="1:24" s="305" customFormat="1" ht="14.1" customHeight="1">
      <c r="B144" s="1570" t="s">
        <v>256</v>
      </c>
      <c r="D144" s="1570"/>
      <c r="E144" s="1570"/>
      <c r="I144" s="375"/>
      <c r="J144" s="3402"/>
      <c r="K144" s="3403"/>
      <c r="P144" s="3402"/>
      <c r="Q144" s="3403"/>
      <c r="V144" s="3353"/>
      <c r="W144" s="3354"/>
      <c r="X144" s="3355"/>
    </row>
    <row r="145" spans="1:24" s="305" customFormat="1" ht="14.1" customHeight="1" thickBot="1">
      <c r="B145" s="1570" t="s">
        <v>1613</v>
      </c>
      <c r="C145" s="3404" t="s">
        <v>2431</v>
      </c>
      <c r="D145" s="3404"/>
      <c r="E145" s="3404"/>
      <c r="F145" s="3404"/>
      <c r="G145" s="3404"/>
      <c r="H145" s="3404"/>
      <c r="I145" s="3405"/>
      <c r="J145" s="3406"/>
      <c r="K145" s="3407"/>
      <c r="P145" s="3406"/>
      <c r="Q145" s="3407"/>
      <c r="V145" s="3353"/>
      <c r="W145" s="3363"/>
      <c r="X145" s="3364"/>
    </row>
    <row r="146" spans="1:24" s="305" customFormat="1" ht="14.1" customHeight="1" thickBot="1">
      <c r="B146" s="316" t="s">
        <v>1879</v>
      </c>
      <c r="C146" s="319"/>
      <c r="J146" s="1702">
        <f>SUM(J140:K145)</f>
        <v>0</v>
      </c>
      <c r="K146" s="1703"/>
      <c r="P146" s="1702">
        <f>SUM(P140:Q145)</f>
        <v>0</v>
      </c>
      <c r="Q146" s="1703"/>
      <c r="V146" s="3365">
        <f>SUM(V140:V145)</f>
        <v>0</v>
      </c>
      <c r="W146" s="3366"/>
      <c r="X146" s="336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4.1" customHeight="1">
      <c r="B149" s="305" t="s">
        <v>1803</v>
      </c>
      <c r="J149" s="1789">
        <f>J132</f>
        <v>9056923.9821419846</v>
      </c>
      <c r="K149" s="1790"/>
      <c r="M149" s="1791">
        <f>M132</f>
        <v>0</v>
      </c>
      <c r="N149" s="1792"/>
      <c r="P149" s="1789">
        <f>P132</f>
        <v>0</v>
      </c>
      <c r="Q149" s="1790"/>
      <c r="V149" s="3353"/>
      <c r="W149" s="3354"/>
      <c r="X149" s="3355"/>
    </row>
    <row r="150" spans="1:24" s="305" customFormat="1" ht="14.1" customHeight="1">
      <c r="B150" s="305" t="s">
        <v>2236</v>
      </c>
      <c r="J150" s="1762">
        <f>J146</f>
        <v>0</v>
      </c>
      <c r="K150" s="1763"/>
      <c r="M150" s="1771"/>
      <c r="N150" s="1771"/>
      <c r="P150" s="1762">
        <f>P146</f>
        <v>0</v>
      </c>
      <c r="Q150" s="1763"/>
      <c r="V150" s="3353"/>
      <c r="W150" s="3354"/>
      <c r="X150" s="3355"/>
    </row>
    <row r="151" spans="1:24" s="305" customFormat="1" ht="14.1" customHeight="1">
      <c r="B151" s="305" t="s">
        <v>2237</v>
      </c>
      <c r="J151" s="1762">
        <f>J149-J150</f>
        <v>9056923.9821419846</v>
      </c>
      <c r="K151" s="1763"/>
      <c r="M151" s="1762">
        <f>M149</f>
        <v>0</v>
      </c>
      <c r="N151" s="1763"/>
      <c r="P151" s="1762">
        <f>P149-P150</f>
        <v>0</v>
      </c>
      <c r="Q151" s="1763"/>
      <c r="V151" s="3353"/>
      <c r="W151" s="3354"/>
      <c r="X151" s="3355"/>
    </row>
    <row r="152" spans="1:24" s="305" customFormat="1" ht="14.1" customHeight="1">
      <c r="B152" s="305" t="s">
        <v>1497</v>
      </c>
      <c r="G152" s="1561" t="s">
        <v>1727</v>
      </c>
      <c r="H152" s="3408" t="s">
        <v>4670</v>
      </c>
      <c r="I152" s="3409"/>
      <c r="J152" s="3410">
        <v>1.3</v>
      </c>
      <c r="K152" s="3411"/>
      <c r="M152" s="1784"/>
      <c r="N152" s="1784"/>
      <c r="P152" s="3410"/>
      <c r="Q152" s="3411"/>
      <c r="V152" s="3353"/>
      <c r="W152" s="3354"/>
      <c r="X152" s="3355"/>
    </row>
    <row r="153" spans="1:24" s="305" customFormat="1" ht="14.1" customHeight="1">
      <c r="B153" s="305" t="s">
        <v>2070</v>
      </c>
      <c r="J153" s="1762">
        <f>J151*J152</f>
        <v>11774001.176784581</v>
      </c>
      <c r="K153" s="1763"/>
      <c r="M153" s="1762">
        <f>+M151</f>
        <v>0</v>
      </c>
      <c r="N153" s="1763"/>
      <c r="P153" s="1762">
        <f>P151*P152</f>
        <v>0</v>
      </c>
      <c r="Q153" s="1763"/>
      <c r="V153" s="3353"/>
      <c r="W153" s="3354"/>
      <c r="X153" s="3355"/>
    </row>
    <row r="154" spans="1:24" s="305" customFormat="1" ht="14.1"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3"/>
      <c r="W154" s="3354"/>
      <c r="X154" s="3355"/>
    </row>
    <row r="155" spans="1:24" s="305" customFormat="1" ht="14.1" customHeight="1">
      <c r="B155" s="305" t="s">
        <v>2061</v>
      </c>
      <c r="J155" s="1762">
        <f>J153*J154</f>
        <v>11774001.176784581</v>
      </c>
      <c r="K155" s="1763"/>
      <c r="M155" s="1762">
        <f>M153*M154</f>
        <v>0</v>
      </c>
      <c r="N155" s="1763"/>
      <c r="P155" s="1762">
        <f>P153*P154</f>
        <v>0</v>
      </c>
      <c r="Q155" s="1763"/>
      <c r="V155" s="3353"/>
      <c r="W155" s="3354"/>
      <c r="X155" s="3355"/>
    </row>
    <row r="156" spans="1:24" s="305" customFormat="1" ht="14.1" customHeight="1">
      <c r="B156" s="305" t="s">
        <v>2062</v>
      </c>
      <c r="J156" s="3410">
        <v>0.09</v>
      </c>
      <c r="K156" s="3411"/>
      <c r="M156" s="3410"/>
      <c r="N156" s="3411"/>
      <c r="P156" s="3410"/>
      <c r="Q156" s="3411"/>
      <c r="V156" s="3353"/>
      <c r="W156" s="3354"/>
      <c r="X156" s="3355"/>
    </row>
    <row r="157" spans="1:24" s="305" customFormat="1" ht="14.1" customHeight="1" thickBot="1">
      <c r="B157" s="305" t="s">
        <v>2559</v>
      </c>
      <c r="J157" s="1787">
        <f>J155*J156</f>
        <v>1059660.1059106123</v>
      </c>
      <c r="K157" s="1788"/>
      <c r="M157" s="1787">
        <f>M155*M156</f>
        <v>0</v>
      </c>
      <c r="N157" s="1788"/>
      <c r="P157" s="1787">
        <f>P155*P156</f>
        <v>0</v>
      </c>
      <c r="Q157" s="1788"/>
      <c r="V157" s="3412"/>
      <c r="W157" s="3363"/>
      <c r="X157" s="3364"/>
    </row>
    <row r="158" spans="1:24" s="305" customFormat="1" ht="14.1" customHeight="1" thickBot="1">
      <c r="B158" s="307" t="s">
        <v>1436</v>
      </c>
      <c r="J158" s="1702">
        <f>J157+M157+P157</f>
        <v>1059660.1059106123</v>
      </c>
      <c r="K158" s="1767"/>
      <c r="L158" s="1767"/>
      <c r="M158" s="1767"/>
      <c r="N158" s="1767"/>
      <c r="O158" s="1767"/>
      <c r="P158" s="1767"/>
      <c r="Q158" s="1703"/>
      <c r="V158" s="3365"/>
      <c r="W158" s="3390"/>
      <c r="X158" s="3391"/>
    </row>
    <row r="159" spans="1:24" s="305" customFormat="1" ht="6" customHeight="1">
      <c r="B159" s="376"/>
      <c r="L159" s="377"/>
      <c r="M159" s="377"/>
      <c r="N159" s="377"/>
      <c r="O159" s="377"/>
      <c r="V159" s="1176"/>
    </row>
    <row r="160" spans="1:24" s="305" customFormat="1" ht="14.1"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11531334</v>
      </c>
      <c r="K162" s="1782"/>
      <c r="L162" s="1783"/>
      <c r="M162" s="1756" t="s">
        <v>2764</v>
      </c>
      <c r="N162" s="1757"/>
      <c r="O162" s="1757"/>
      <c r="P162" s="1757"/>
      <c r="Q162" s="1757"/>
      <c r="R162" s="1758"/>
      <c r="S162" s="1756" t="s">
        <v>3700</v>
      </c>
      <c r="T162" s="1758"/>
      <c r="V162" s="3353"/>
      <c r="W162" s="3354"/>
      <c r="X162" s="3355"/>
    </row>
    <row r="163" spans="1:24" s="305" customFormat="1" ht="14.1" customHeight="1">
      <c r="B163" s="305" t="s">
        <v>2766</v>
      </c>
      <c r="J163" s="3413">
        <f>MIN(G132,J162,(G132-O165))</f>
        <v>10235578.982141985</v>
      </c>
      <c r="K163" s="3414"/>
      <c r="L163" s="3415"/>
      <c r="M163" s="1759"/>
      <c r="N163" s="1760"/>
      <c r="O163" s="1760"/>
      <c r="P163" s="1760"/>
      <c r="Q163" s="1760"/>
      <c r="R163" s="1761"/>
      <c r="S163" s="1759"/>
      <c r="T163" s="1761"/>
      <c r="V163" s="3353"/>
      <c r="W163" s="3354"/>
      <c r="X163" s="3355"/>
    </row>
    <row r="164" spans="1:24" s="305" customFormat="1" ht="14.1" customHeight="1">
      <c r="B164" s="305" t="s">
        <v>265</v>
      </c>
      <c r="J164" s="1762">
        <f>'Part III-Sources of Funds'!$I$58-'Part III-Sources of Funds'!$I$41-'Part III-Sources of Funds'!$I$42-'Part III-Sources of Funds'!$I$49-'Part III-Sources of Funds'!$I$50</f>
        <v>805000</v>
      </c>
      <c r="K164" s="1771"/>
      <c r="L164" s="1772"/>
      <c r="M164" s="1759"/>
      <c r="N164" s="1760"/>
      <c r="O164" s="1760"/>
      <c r="P164" s="1760"/>
      <c r="Q164" s="1760"/>
      <c r="R164" s="1761"/>
      <c r="S164" s="1759"/>
      <c r="T164" s="1761"/>
      <c r="V164" s="3353"/>
      <c r="W164" s="3354"/>
      <c r="X164" s="3355"/>
    </row>
    <row r="165" spans="1:24" s="305" customFormat="1" ht="14.1" customHeight="1" thickBot="1">
      <c r="B165" s="305" t="s">
        <v>2248</v>
      </c>
      <c r="J165" s="1762">
        <f>+J163-J164</f>
        <v>9430578.9821419846</v>
      </c>
      <c r="K165" s="1771"/>
      <c r="L165" s="1772"/>
      <c r="M165" s="1773" t="s">
        <v>2765</v>
      </c>
      <c r="N165" s="1774"/>
      <c r="O165" s="1775">
        <f>'Part III-Sources of Funds'!$I$41</f>
        <v>0</v>
      </c>
      <c r="P165" s="1775"/>
      <c r="Q165" s="1775"/>
      <c r="R165" s="1776"/>
      <c r="S165" s="424" t="s">
        <v>1675</v>
      </c>
      <c r="T165" s="3416"/>
      <c r="V165" s="3353"/>
      <c r="W165" s="3354"/>
      <c r="X165" s="3355"/>
    </row>
    <row r="166" spans="1:24" s="305" customFormat="1" ht="14.1" customHeight="1">
      <c r="B166" s="305" t="s">
        <v>1298</v>
      </c>
      <c r="J166" s="1777" t="str">
        <f>"/ 10"</f>
        <v>/ 10</v>
      </c>
      <c r="K166" s="1777"/>
      <c r="L166" s="1777"/>
      <c r="M166" s="1570"/>
      <c r="N166" s="494"/>
      <c r="O166" s="494"/>
      <c r="P166" s="494"/>
      <c r="Q166" s="494"/>
      <c r="R166" s="494"/>
      <c r="V166" s="1176"/>
      <c r="W166" s="3354"/>
      <c r="X166" s="3355"/>
    </row>
    <row r="167" spans="1:24" s="305" customFormat="1" ht="14.1" customHeight="1">
      <c r="B167" s="305" t="s">
        <v>1299</v>
      </c>
      <c r="J167" s="1762">
        <f>J165/10</f>
        <v>943057.89821419842</v>
      </c>
      <c r="K167" s="1771"/>
      <c r="L167" s="1763"/>
      <c r="M167" s="324"/>
      <c r="N167" s="1637" t="s">
        <v>1300</v>
      </c>
      <c r="O167" s="1637"/>
      <c r="Q167" s="1637" t="s">
        <v>1812</v>
      </c>
      <c r="R167" s="1637"/>
      <c r="V167" s="3353"/>
      <c r="W167" s="3354"/>
      <c r="X167" s="3355"/>
    </row>
    <row r="168" spans="1:24" s="305" customFormat="1" ht="14.1" customHeight="1" thickBot="1">
      <c r="B168" s="305" t="s">
        <v>1496</v>
      </c>
      <c r="J168" s="1764">
        <f>N168+Q168</f>
        <v>1.22</v>
      </c>
      <c r="K168" s="1765"/>
      <c r="L168" s="1766"/>
      <c r="M168" s="1561" t="s">
        <v>1301</v>
      </c>
      <c r="N168" s="3417">
        <v>0.85</v>
      </c>
      <c r="O168" s="3418"/>
      <c r="P168" s="1561" t="s">
        <v>618</v>
      </c>
      <c r="Q168" s="3417">
        <v>0.37</v>
      </c>
      <c r="R168" s="3418"/>
      <c r="V168" s="3353"/>
      <c r="W168" s="3354"/>
      <c r="X168" s="3355"/>
    </row>
    <row r="169" spans="1:24" s="305" customFormat="1" ht="14.1" customHeight="1" thickBot="1">
      <c r="B169" s="307" t="s">
        <v>1437</v>
      </c>
      <c r="J169" s="1702">
        <f>IF(J168=0,"",J167/J168)</f>
        <v>772998.27722475282</v>
      </c>
      <c r="K169" s="1767"/>
      <c r="L169" s="1703"/>
      <c r="M169" s="324"/>
      <c r="N169" s="1570"/>
      <c r="O169" s="1570"/>
      <c r="V169" s="3353"/>
      <c r="W169" s="3354"/>
      <c r="X169" s="3355"/>
    </row>
    <row r="170" spans="1:24" s="305" customFormat="1" ht="6" customHeight="1">
      <c r="J170" s="378"/>
      <c r="K170" s="378"/>
      <c r="L170" s="378"/>
      <c r="M170" s="324"/>
      <c r="N170" s="1571"/>
      <c r="O170" s="1571"/>
      <c r="V170" s="1176"/>
      <c r="W170" s="3354"/>
      <c r="X170" s="3355"/>
    </row>
    <row r="171" spans="1:24" s="305" customFormat="1" ht="16.350000000000001"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772998.27722475282</v>
      </c>
      <c r="K171" s="1769"/>
      <c r="L171" s="1770"/>
      <c r="M171" s="324"/>
      <c r="N171" s="1571"/>
      <c r="O171" s="1571"/>
      <c r="V171" s="3353"/>
      <c r="W171" s="3354"/>
      <c r="X171" s="3355"/>
    </row>
    <row r="172" spans="1:24" s="305" customFormat="1" ht="3" customHeight="1">
      <c r="J172" s="378"/>
      <c r="K172" s="378"/>
      <c r="L172" s="378"/>
      <c r="M172" s="324"/>
      <c r="N172" s="1571"/>
      <c r="O172" s="1571"/>
      <c r="V172" s="1176"/>
      <c r="W172" s="3396"/>
      <c r="X172" s="3397"/>
    </row>
    <row r="173" spans="1:24" s="305" customFormat="1" ht="16.350000000000001" customHeight="1">
      <c r="B173" s="307" t="s">
        <v>351</v>
      </c>
      <c r="J173" s="3419">
        <v>772998</v>
      </c>
      <c r="K173" s="3420"/>
      <c r="L173" s="3421"/>
      <c r="M173" s="379" t="str">
        <f>IF(J171=0,"",IF(J173&gt;J171,"ALLOCATION CANNOT EXCEED MAXIMUM - REVISE REQUEST!",""))</f>
        <v/>
      </c>
      <c r="N173" s="1571"/>
      <c r="O173" s="1571"/>
      <c r="V173" s="3353"/>
      <c r="W173" s="3354"/>
      <c r="X173" s="3355"/>
    </row>
    <row r="174" spans="1:24" s="305" customFormat="1" ht="3" customHeight="1">
      <c r="J174" s="378"/>
      <c r="K174" s="378"/>
      <c r="L174" s="378"/>
      <c r="M174" s="324"/>
      <c r="N174" s="1571"/>
      <c r="O174" s="1571"/>
      <c r="V174" s="1176"/>
      <c r="W174" s="3396"/>
      <c r="X174" s="3397"/>
    </row>
    <row r="175" spans="1:24" s="305" customFormat="1" ht="16.350000000000001" customHeight="1">
      <c r="A175" s="438" t="s">
        <v>1805</v>
      </c>
      <c r="B175" s="438" t="s">
        <v>2637</v>
      </c>
      <c r="D175" s="324"/>
      <c r="E175" s="324"/>
      <c r="F175" s="310"/>
      <c r="J175" s="1778">
        <f>IF(J173="",0,+MIN(J171,J173))</f>
        <v>772998</v>
      </c>
      <c r="K175" s="1779"/>
      <c r="L175" s="1780"/>
      <c r="N175" s="3422"/>
      <c r="O175" s="3422"/>
      <c r="P175" s="3422"/>
      <c r="Q175" s="3422"/>
      <c r="R175" s="3422"/>
      <c r="S175" s="3422"/>
      <c r="T175" s="3422"/>
      <c r="V175" s="3353"/>
      <c r="W175" s="3354"/>
      <c r="X175" s="3355"/>
    </row>
    <row r="176" spans="1:24" ht="3" customHeight="1"/>
    <row r="177" spans="1:24" ht="6" customHeight="1"/>
    <row r="178" spans="1:24" ht="12" customHeight="1">
      <c r="A178" s="307" t="s">
        <v>1807</v>
      </c>
      <c r="B178" s="333" t="s">
        <v>577</v>
      </c>
      <c r="N178" s="307" t="s">
        <v>535</v>
      </c>
      <c r="O178" s="307" t="s">
        <v>80</v>
      </c>
    </row>
    <row r="179" spans="1:24" ht="352.5" customHeight="1">
      <c r="A179" s="3311" t="s">
        <v>4712</v>
      </c>
      <c r="B179" s="3311"/>
      <c r="C179" s="3311"/>
      <c r="D179" s="3311"/>
      <c r="E179" s="3311"/>
      <c r="F179" s="3311"/>
      <c r="G179" s="3311"/>
      <c r="H179" s="3311"/>
      <c r="I179" s="3311"/>
      <c r="J179" s="3311"/>
      <c r="K179" s="3311"/>
      <c r="L179" s="3311"/>
      <c r="M179" s="3311"/>
      <c r="N179" s="3423"/>
      <c r="O179" s="3423"/>
      <c r="P179" s="3423"/>
      <c r="Q179" s="3423"/>
      <c r="R179" s="3423"/>
      <c r="S179" s="3423"/>
      <c r="T179" s="3423"/>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uJCQZ3m+rKdXxs1MBqK2VuHzDwMYp3yBk0Ag/OIAsmZeiRTbhgl/cAha820pD9wps0RLBLPlHcZ03eg7ZZt1+g==" saltValue="KmauJC0M/rTJBrWGY7Sos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5703125" style="1490" customWidth="1"/>
    <col min="3" max="3" width="7.5703125" style="1490" customWidth="1"/>
    <col min="4" max="4" width="12.5703125" style="1490" customWidth="1"/>
    <col min="5" max="5" width="0.5703125" style="1490" customWidth="1"/>
    <col min="6" max="6" width="46.5703125" style="1490" customWidth="1"/>
    <col min="7" max="7" width="0.85546875" style="1490" customWidth="1"/>
    <col min="8" max="8" width="46.570312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2018-041 - Pointe North Village III  -  Albany  -  Dougherty,  County</v>
      </c>
      <c r="B1" s="1840"/>
      <c r="C1" s="1840"/>
      <c r="D1" s="1840"/>
      <c r="E1" s="1840"/>
      <c r="F1" s="1840"/>
      <c r="G1" s="1840"/>
      <c r="H1" s="1840"/>
      <c r="I1" s="1008"/>
      <c r="J1" s="1008"/>
      <c r="K1" s="1008"/>
      <c r="L1" s="1008"/>
      <c r="M1" s="1008"/>
      <c r="N1" s="1008"/>
    </row>
    <row r="2" spans="1:14" ht="9" customHeight="1"/>
    <row r="3" spans="1:14" ht="57" customHeight="1">
      <c r="A3" s="3340" t="s">
        <v>3741</v>
      </c>
      <c r="B3" s="3341"/>
      <c r="C3" s="3341"/>
      <c r="D3" s="3341"/>
      <c r="E3" s="3341"/>
      <c r="F3" s="3341"/>
      <c r="G3" s="3341"/>
      <c r="H3" s="3342"/>
    </row>
    <row r="4" spans="1:14" ht="6" customHeight="1"/>
    <row r="5" spans="1:14" ht="38.25" customHeight="1">
      <c r="A5" s="1841" t="s">
        <v>3859</v>
      </c>
      <c r="B5" s="1841"/>
      <c r="C5" s="1841"/>
      <c r="D5" s="1841"/>
      <c r="F5" s="1009" t="s">
        <v>3732</v>
      </c>
      <c r="G5" s="592"/>
      <c r="H5" s="1009" t="s">
        <v>3733</v>
      </c>
    </row>
    <row r="6" spans="1:14" ht="6.75" customHeight="1">
      <c r="A6" s="592"/>
      <c r="B6" s="592"/>
      <c r="C6" s="592"/>
      <c r="D6" s="592"/>
    </row>
    <row r="7" spans="1:14" s="3343" customFormat="1" ht="4.5" customHeight="1">
      <c r="A7" s="1010"/>
      <c r="B7" s="1010"/>
      <c r="C7" s="1010"/>
      <c r="D7" s="1010"/>
      <c r="E7" s="1010"/>
      <c r="F7" s="1010"/>
      <c r="G7" s="1010"/>
    </row>
    <row r="8" spans="1:14" s="3343" customFormat="1">
      <c r="A8" s="1019" t="s">
        <v>103</v>
      </c>
      <c r="B8" s="1011"/>
      <c r="C8" s="1011"/>
      <c r="D8" s="1011"/>
      <c r="E8" s="1011"/>
      <c r="F8" s="1011"/>
      <c r="G8" s="1011"/>
      <c r="H8" s="1011"/>
    </row>
    <row r="9" spans="1:14" s="3343" customFormat="1" ht="41.25" customHeight="1">
      <c r="A9" s="1836" t="str">
        <f>'Part IV-A-Uses of Funds'!$C$14</f>
        <v>&lt;&lt; Enter description here; provide detail &amp; justification in tab Part IV-b &gt;&gt;</v>
      </c>
      <c r="B9" s="1837"/>
      <c r="C9" s="1837"/>
      <c r="D9" s="1838"/>
      <c r="F9" s="3344"/>
      <c r="G9" s="1011"/>
      <c r="H9" s="3344"/>
    </row>
    <row r="10" spans="1:14" s="3343" customFormat="1" ht="41.25" customHeight="1">
      <c r="A10" s="1833"/>
      <c r="B10" s="1834"/>
      <c r="C10" s="1834"/>
      <c r="D10" s="1835"/>
      <c r="F10" s="3345"/>
      <c r="G10" s="1011"/>
      <c r="H10" s="3345"/>
    </row>
    <row r="11" spans="1:14" s="3343" customFormat="1" ht="4.5" customHeight="1">
      <c r="F11" s="3345"/>
      <c r="G11" s="1011"/>
      <c r="H11" s="3345"/>
    </row>
    <row r="12" spans="1:14" s="3343" customFormat="1" ht="15" customHeight="1">
      <c r="A12" s="1018" t="s">
        <v>3735</v>
      </c>
      <c r="B12" s="1017">
        <f>'Part IV-A-Uses of Funds'!$G$14</f>
        <v>0</v>
      </c>
      <c r="C12" s="1018" t="s">
        <v>1803</v>
      </c>
      <c r="D12" s="1017">
        <f>'Part IV-A-Uses of Funds'!$J$14+'Part IV-A-Uses of Funds'!$M$14+'Part IV-A-Uses of Funds'!$P$14</f>
        <v>0</v>
      </c>
      <c r="F12" s="3345"/>
      <c r="G12" s="1011"/>
      <c r="H12" s="3345"/>
    </row>
    <row r="13" spans="1:14" s="3343" customFormat="1" ht="6" customHeight="1">
      <c r="A13" s="1011"/>
      <c r="B13" s="1012"/>
      <c r="C13" s="1011"/>
      <c r="D13" s="1011"/>
      <c r="F13" s="3345"/>
      <c r="G13" s="1013"/>
      <c r="H13" s="3345"/>
    </row>
    <row r="14" spans="1:14" s="3343" customFormat="1" ht="41.25" customHeight="1">
      <c r="A14" s="1836" t="str">
        <f>'Part IV-A-Uses of Funds'!$C$15</f>
        <v>&lt;&lt; Enter description here; provide detail &amp; justification in tab Part IV-b &gt;&gt;</v>
      </c>
      <c r="B14" s="1837"/>
      <c r="C14" s="1837"/>
      <c r="D14" s="1838"/>
      <c r="F14" s="3345"/>
      <c r="G14" s="1011"/>
      <c r="H14" s="3345"/>
    </row>
    <row r="15" spans="1:14" s="3343" customFormat="1" ht="41.25" customHeight="1">
      <c r="A15" s="1833"/>
      <c r="B15" s="1834"/>
      <c r="C15" s="1834"/>
      <c r="D15" s="1835"/>
      <c r="F15" s="3345"/>
      <c r="G15" s="1011"/>
      <c r="H15" s="3345"/>
    </row>
    <row r="16" spans="1:14" s="3343" customFormat="1" ht="4.5" customHeight="1">
      <c r="F16" s="3345"/>
      <c r="G16" s="1011"/>
      <c r="H16" s="3345"/>
    </row>
    <row r="17" spans="1:8" s="3343" customFormat="1" ht="15" customHeight="1">
      <c r="A17" s="1018" t="s">
        <v>3735</v>
      </c>
      <c r="B17" s="1017">
        <f>'Part IV-A-Uses of Funds'!$G$15</f>
        <v>0</v>
      </c>
      <c r="C17" s="1018" t="s">
        <v>1803</v>
      </c>
      <c r="D17" s="1017">
        <f>'Part IV-A-Uses of Funds'!$J$15+'Part IV-A-Uses of Funds'!$M$15+'Part IV-A-Uses of Funds'!$P$15</f>
        <v>0</v>
      </c>
      <c r="F17" s="3345"/>
      <c r="G17" s="1011"/>
      <c r="H17" s="3345"/>
    </row>
    <row r="18" spans="1:8" s="3343" customFormat="1" ht="6" customHeight="1">
      <c r="A18" s="1011"/>
      <c r="B18" s="1012"/>
      <c r="C18" s="1011"/>
      <c r="D18" s="1011"/>
      <c r="F18" s="3345"/>
      <c r="G18" s="1013"/>
      <c r="H18" s="3345"/>
    </row>
    <row r="19" spans="1:8" s="3343" customFormat="1" ht="41.25" customHeight="1">
      <c r="A19" s="1836" t="str">
        <f>'Part IV-A-Uses of Funds'!$C$16</f>
        <v>&lt;&lt; Enter description here; provide detail &amp; justification in tab Part IV-b &gt;&gt;</v>
      </c>
      <c r="B19" s="1837"/>
      <c r="C19" s="1837"/>
      <c r="D19" s="1838"/>
      <c r="F19" s="3345"/>
      <c r="G19" s="1011"/>
      <c r="H19" s="3345"/>
    </row>
    <row r="20" spans="1:8" s="3343" customFormat="1" ht="41.25" customHeight="1">
      <c r="A20" s="1833"/>
      <c r="B20" s="1834"/>
      <c r="C20" s="1834"/>
      <c r="D20" s="1835"/>
      <c r="F20" s="3345"/>
      <c r="G20" s="1011"/>
      <c r="H20" s="3345"/>
    </row>
    <row r="21" spans="1:8" s="3343" customFormat="1" ht="4.5" customHeight="1">
      <c r="F21" s="3345"/>
      <c r="G21" s="1011"/>
      <c r="H21" s="3345"/>
    </row>
    <row r="22" spans="1:8" s="3343" customFormat="1" ht="15" customHeight="1">
      <c r="A22" s="1018" t="s">
        <v>3735</v>
      </c>
      <c r="B22" s="1017">
        <f>'Part IV-A-Uses of Funds'!$G$16</f>
        <v>0</v>
      </c>
      <c r="C22" s="1018" t="s">
        <v>1803</v>
      </c>
      <c r="D22" s="1017">
        <f>'Part IV-A-Uses of Funds'!$J$16+'Part IV-A-Uses of Funds'!$M$16+'Part IV-A-Uses of Funds'!$P$16</f>
        <v>0</v>
      </c>
      <c r="F22" s="3345"/>
      <c r="G22" s="1011"/>
      <c r="H22" s="3345"/>
    </row>
    <row r="23" spans="1:8" s="3343" customFormat="1" ht="6" customHeight="1">
      <c r="A23" s="1011"/>
      <c r="B23" s="1012"/>
      <c r="C23" s="1011"/>
      <c r="D23" s="1011"/>
      <c r="F23" s="3346"/>
      <c r="G23" s="1013"/>
      <c r="H23" s="3346"/>
    </row>
    <row r="24" spans="1:8" s="3343" customFormat="1">
      <c r="A24" s="1019" t="s">
        <v>3734</v>
      </c>
      <c r="B24" s="1011"/>
      <c r="C24" s="1011"/>
      <c r="D24" s="1011"/>
      <c r="E24" s="1011"/>
      <c r="F24" s="1011"/>
      <c r="G24" s="1011"/>
    </row>
    <row r="25" spans="1:8" s="3343" customFormat="1" ht="41.25" customHeight="1">
      <c r="A25" s="1836" t="str">
        <f>'Part IV-A-Uses of Funds'!$C$41</f>
        <v>&lt;&lt; Enter description here; provide detail &amp; justification in tab Part IV-b &gt;&gt;</v>
      </c>
      <c r="B25" s="1837"/>
      <c r="C25" s="1837"/>
      <c r="D25" s="1838"/>
      <c r="E25" s="1011"/>
      <c r="F25" s="3347"/>
      <c r="G25" s="1011"/>
      <c r="H25" s="3347"/>
    </row>
    <row r="26" spans="1:8" s="3343" customFormat="1" ht="41.25" customHeight="1">
      <c r="A26" s="1833"/>
      <c r="B26" s="1834"/>
      <c r="C26" s="1834"/>
      <c r="D26" s="1835"/>
      <c r="E26" s="1011"/>
      <c r="F26" s="3348"/>
      <c r="G26" s="1011"/>
      <c r="H26" s="3348"/>
    </row>
    <row r="27" spans="1:8" s="3343" customFormat="1" ht="4.5" customHeight="1">
      <c r="A27" s="1011"/>
      <c r="B27" s="1011"/>
      <c r="C27" s="1011"/>
      <c r="D27" s="1011"/>
      <c r="E27" s="1011"/>
      <c r="F27" s="3348"/>
      <c r="G27" s="1011"/>
      <c r="H27" s="3348"/>
    </row>
    <row r="28" spans="1:8" s="3343" customFormat="1" ht="25.5">
      <c r="A28" s="1018" t="s">
        <v>3735</v>
      </c>
      <c r="B28" s="1017">
        <f>'Part IV-A-Uses of Funds'!$G$41</f>
        <v>0</v>
      </c>
      <c r="C28" s="1018" t="s">
        <v>1803</v>
      </c>
      <c r="D28" s="1017">
        <f>'Part IV-A-Uses of Funds'!$J$41+'Part IV-A-Uses of Funds'!$M$41+'Part IV-A-Uses of Funds'!$P$41</f>
        <v>0</v>
      </c>
      <c r="E28" s="1011"/>
      <c r="F28" s="3348"/>
      <c r="G28" s="1011"/>
      <c r="H28" s="3348"/>
    </row>
    <row r="29" spans="1:8" s="3343" customFormat="1" ht="6" customHeight="1">
      <c r="A29" s="1011"/>
      <c r="B29" s="1012"/>
      <c r="C29" s="1011"/>
      <c r="D29" s="1011"/>
      <c r="E29" s="1011"/>
      <c r="F29" s="3349"/>
      <c r="G29" s="1013"/>
      <c r="H29" s="3349"/>
    </row>
    <row r="30" spans="1:8" s="3343" customFormat="1">
      <c r="A30" s="1019" t="s">
        <v>730</v>
      </c>
      <c r="B30" s="1011"/>
      <c r="C30" s="1011"/>
      <c r="D30" s="1011"/>
      <c r="E30" s="1011"/>
      <c r="F30" s="1011"/>
      <c r="G30" s="1011"/>
    </row>
    <row r="31" spans="1:8" s="3343" customFormat="1" ht="41.25" customHeight="1">
      <c r="A31" s="1830" t="str">
        <f>'Part IV-A-Uses of Funds'!$C$62</f>
        <v>&lt;&lt; Enter description here; provide detail &amp; justification in tab Part IV-b &gt;&gt;</v>
      </c>
      <c r="B31" s="1831"/>
      <c r="C31" s="1831"/>
      <c r="D31" s="1832"/>
      <c r="E31" s="1011"/>
      <c r="F31" s="3344"/>
      <c r="G31" s="1011"/>
      <c r="H31" s="3344"/>
    </row>
    <row r="32" spans="1:8" s="3343" customFormat="1" ht="41.25" customHeight="1">
      <c r="A32" s="1833"/>
      <c r="B32" s="1834"/>
      <c r="C32" s="1834"/>
      <c r="D32" s="1835"/>
      <c r="E32" s="1011"/>
      <c r="F32" s="3345"/>
      <c r="G32" s="1011"/>
      <c r="H32" s="3345"/>
    </row>
    <row r="33" spans="1:8" s="3343" customFormat="1" ht="4.5" customHeight="1">
      <c r="A33" s="1011"/>
      <c r="B33" s="1011"/>
      <c r="C33" s="1011"/>
      <c r="D33" s="1011"/>
      <c r="E33" s="1011"/>
      <c r="F33" s="3345"/>
      <c r="G33" s="1011"/>
      <c r="H33" s="3345"/>
    </row>
    <row r="34" spans="1:8" s="3343" customFormat="1" ht="14.25" customHeight="1">
      <c r="A34" s="1018" t="s">
        <v>3735</v>
      </c>
      <c r="B34" s="1017">
        <f>'Part IV-A-Uses of Funds'!$G$62</f>
        <v>0</v>
      </c>
      <c r="C34" s="1018" t="s">
        <v>1803</v>
      </c>
      <c r="D34" s="1017">
        <f>'Part IV-A-Uses of Funds'!$J$62+'Part IV-A-Uses of Funds'!$M$62+'Part IV-A-Uses of Funds'!$P$62</f>
        <v>0</v>
      </c>
      <c r="E34" s="1011"/>
      <c r="F34" s="3345"/>
      <c r="G34" s="1011"/>
      <c r="H34" s="3345"/>
    </row>
    <row r="35" spans="1:8" s="3343" customFormat="1" ht="6" customHeight="1">
      <c r="D35" s="1011"/>
      <c r="E35" s="1011"/>
      <c r="F35" s="3345"/>
      <c r="G35" s="1013"/>
      <c r="H35" s="3345"/>
    </row>
    <row r="36" spans="1:8" s="3343" customFormat="1" ht="41.25" customHeight="1">
      <c r="A36" s="1830" t="str">
        <f>'Part IV-A-Uses of Funds'!$C$63</f>
        <v>&lt;&lt; Enter description here; provide detail &amp; justification in tab Part IV-b &gt;&gt;</v>
      </c>
      <c r="B36" s="1831"/>
      <c r="C36" s="1831"/>
      <c r="D36" s="1832"/>
      <c r="E36" s="1011"/>
      <c r="F36" s="3345"/>
      <c r="G36" s="1011"/>
      <c r="H36" s="3345"/>
    </row>
    <row r="37" spans="1:8" s="3343" customFormat="1" ht="41.25" customHeight="1">
      <c r="A37" s="1833"/>
      <c r="B37" s="1834"/>
      <c r="C37" s="1834"/>
      <c r="D37" s="1835"/>
      <c r="E37" s="1011"/>
      <c r="F37" s="3345"/>
      <c r="G37" s="1011"/>
      <c r="H37" s="3345"/>
    </row>
    <row r="38" spans="1:8" s="3343" customFormat="1" ht="4.5" customHeight="1">
      <c r="A38" s="1011"/>
      <c r="B38" s="1011"/>
      <c r="C38" s="1011"/>
      <c r="D38" s="1011"/>
      <c r="E38" s="1011"/>
      <c r="F38" s="3345"/>
      <c r="G38" s="1011"/>
      <c r="H38" s="3345"/>
    </row>
    <row r="39" spans="1:8" s="3343" customFormat="1" ht="14.25" customHeight="1">
      <c r="A39" s="1018" t="s">
        <v>3735</v>
      </c>
      <c r="B39" s="1017">
        <f>'Part IV-A-Uses of Funds'!$G$63</f>
        <v>0</v>
      </c>
      <c r="C39" s="1018" t="s">
        <v>1803</v>
      </c>
      <c r="D39" s="1017">
        <f>'Part IV-A-Uses of Funds'!$J$63+'Part IV-A-Uses of Funds'!$M$63+'Part IV-A-Uses of Funds'!$P$63</f>
        <v>0</v>
      </c>
      <c r="E39" s="1011"/>
      <c r="F39" s="3345"/>
      <c r="G39" s="1011"/>
      <c r="H39" s="3345"/>
    </row>
    <row r="40" spans="1:8" s="3343" customFormat="1" ht="6" customHeight="1">
      <c r="D40" s="1011"/>
      <c r="E40" s="1011"/>
      <c r="F40" s="3346"/>
      <c r="G40" s="1013"/>
      <c r="H40" s="3346"/>
    </row>
    <row r="41" spans="1:8" s="3343" customFormat="1">
      <c r="A41" s="1019" t="s">
        <v>480</v>
      </c>
      <c r="B41" s="1011"/>
      <c r="C41" s="1011"/>
      <c r="D41" s="1011"/>
      <c r="E41" s="1015"/>
      <c r="F41" s="1015"/>
      <c r="G41" s="1011"/>
    </row>
    <row r="42" spans="1:8" s="3343" customFormat="1" ht="41.25" customHeight="1">
      <c r="A42" s="1830" t="str">
        <f>'Part IV-A-Uses of Funds'!$C$76</f>
        <v>&lt;&lt; Enter description here; provide detail &amp; justification in tab Part IV-b &gt;&gt;</v>
      </c>
      <c r="B42" s="1831"/>
      <c r="C42" s="1831"/>
      <c r="D42" s="1832"/>
      <c r="F42" s="3347"/>
      <c r="G42" s="1011"/>
      <c r="H42" s="3347"/>
    </row>
    <row r="43" spans="1:8" s="3343" customFormat="1" ht="41.25" customHeight="1">
      <c r="A43" s="1833"/>
      <c r="B43" s="1834"/>
      <c r="C43" s="1834"/>
      <c r="D43" s="1835"/>
      <c r="E43" s="1011"/>
      <c r="F43" s="3348"/>
      <c r="G43" s="1011"/>
      <c r="H43" s="3348"/>
    </row>
    <row r="44" spans="1:8" s="3343" customFormat="1" ht="4.5" customHeight="1">
      <c r="A44" s="1011"/>
      <c r="B44" s="1011"/>
      <c r="C44" s="1011"/>
      <c r="D44" s="1011"/>
      <c r="E44" s="1011"/>
      <c r="F44" s="3348"/>
      <c r="G44" s="1011"/>
      <c r="H44" s="3348"/>
    </row>
    <row r="45" spans="1:8" s="3343" customFormat="1" ht="13.5" customHeight="1">
      <c r="A45" s="1018" t="s">
        <v>3735</v>
      </c>
      <c r="B45" s="1017">
        <f>'Part IV-A-Uses of Funds'!$G$76</f>
        <v>0</v>
      </c>
      <c r="C45" s="1018" t="s">
        <v>1803</v>
      </c>
      <c r="D45" s="1017">
        <f>'Part IV-A-Uses of Funds'!$J$76+'Part IV-A-Uses of Funds'!$M$76+'Part IV-A-Uses of Funds'!$P$76</f>
        <v>0</v>
      </c>
      <c r="E45" s="1011"/>
      <c r="F45" s="3348"/>
      <c r="G45" s="1011"/>
      <c r="H45" s="3348"/>
    </row>
    <row r="46" spans="1:8" s="3343" customFormat="1" ht="6" customHeight="1">
      <c r="A46" s="1011"/>
      <c r="B46" s="1012"/>
      <c r="C46" s="1011"/>
      <c r="D46" s="1011"/>
      <c r="E46" s="1011"/>
      <c r="F46" s="3349"/>
      <c r="G46" s="1013"/>
      <c r="H46" s="3349"/>
    </row>
    <row r="47" spans="1:8" s="3343" customFormat="1">
      <c r="A47" s="1019" t="s">
        <v>732</v>
      </c>
      <c r="B47" s="1011"/>
      <c r="C47" s="1011"/>
      <c r="D47" s="1011"/>
      <c r="E47" s="1011"/>
      <c r="F47" s="1011"/>
      <c r="G47" s="1011"/>
    </row>
    <row r="48" spans="1:8" s="3343" customFormat="1" ht="41.25" customHeight="1">
      <c r="A48" s="1830" t="str">
        <f>'Part IV-A-Uses of Funds'!$C$90</f>
        <v>&lt;&lt; Enter description here; provide detail &amp; justification in tab Part IV-b &gt;&gt;</v>
      </c>
      <c r="B48" s="1831"/>
      <c r="C48" s="1831"/>
      <c r="D48" s="1832"/>
      <c r="F48" s="3347"/>
      <c r="G48" s="1011"/>
    </row>
    <row r="49" spans="1:7" s="3343" customFormat="1" ht="41.25" customHeight="1">
      <c r="A49" s="1833"/>
      <c r="B49" s="1834"/>
      <c r="C49" s="1834"/>
      <c r="D49" s="1835"/>
      <c r="E49" s="1011"/>
      <c r="F49" s="3348"/>
      <c r="G49" s="1011"/>
    </row>
    <row r="50" spans="1:7" s="3343" customFormat="1" ht="3" customHeight="1">
      <c r="A50" s="1011"/>
      <c r="B50" s="1011"/>
      <c r="C50" s="1011"/>
      <c r="D50" s="1011"/>
      <c r="E50" s="1011"/>
      <c r="F50" s="3348"/>
      <c r="G50" s="1011"/>
    </row>
    <row r="51" spans="1:7" s="3343" customFormat="1" ht="13.5" customHeight="1">
      <c r="A51" s="1018" t="s">
        <v>3735</v>
      </c>
      <c r="B51" s="1017">
        <f>'Part IV-A-Uses of Funds'!$G$90</f>
        <v>0</v>
      </c>
      <c r="C51" s="1014"/>
      <c r="D51" s="1014"/>
      <c r="E51" s="1011"/>
      <c r="F51" s="3348"/>
      <c r="G51" s="1011"/>
    </row>
    <row r="52" spans="1:7" s="3343" customFormat="1" ht="3.75" customHeight="1">
      <c r="A52" s="1011"/>
      <c r="B52" s="1011"/>
      <c r="C52" s="1011"/>
      <c r="D52" s="1011"/>
      <c r="E52" s="1011"/>
      <c r="F52" s="3349"/>
      <c r="G52" s="1013"/>
    </row>
    <row r="53" spans="1:7" s="3343" customFormat="1">
      <c r="A53" s="1019" t="s">
        <v>3736</v>
      </c>
      <c r="B53" s="1011"/>
      <c r="C53" s="1011"/>
      <c r="D53" s="1011"/>
      <c r="E53" s="1011"/>
      <c r="F53" s="1011"/>
      <c r="G53" s="1011"/>
    </row>
    <row r="54" spans="1:7" s="3343" customFormat="1" ht="41.25" customHeight="1">
      <c r="A54" s="1830" t="str">
        <f>'Part IV-A-Uses of Funds'!$C$103</f>
        <v>&lt;&lt; Enter description here; provide detail &amp; justification in tab Part IV-b &gt;&gt;</v>
      </c>
      <c r="B54" s="1831"/>
      <c r="C54" s="1831"/>
      <c r="D54" s="1832"/>
      <c r="F54" s="3344"/>
      <c r="G54" s="1011"/>
    </row>
    <row r="55" spans="1:7" s="3343" customFormat="1" ht="41.25" customHeight="1">
      <c r="A55" s="1833"/>
      <c r="B55" s="1834"/>
      <c r="C55" s="1834"/>
      <c r="D55" s="1835"/>
      <c r="E55" s="1011"/>
      <c r="F55" s="3345"/>
      <c r="G55" s="1011"/>
    </row>
    <row r="56" spans="1:7" s="3343" customFormat="1" ht="3" customHeight="1">
      <c r="A56" s="1011"/>
      <c r="B56" s="1011"/>
      <c r="C56" s="1011"/>
      <c r="D56" s="1011"/>
      <c r="E56" s="1011"/>
      <c r="F56" s="3345"/>
      <c r="G56" s="1011"/>
    </row>
    <row r="57" spans="1:7" s="3343" customFormat="1" ht="25.5">
      <c r="A57" s="1018" t="s">
        <v>3735</v>
      </c>
      <c r="B57" s="1017">
        <f>'Part IV-A-Uses of Funds'!$G$103</f>
        <v>0</v>
      </c>
      <c r="C57" s="1014"/>
      <c r="D57" s="1014"/>
      <c r="E57" s="1011"/>
      <c r="F57" s="3345"/>
      <c r="G57" s="1011"/>
    </row>
    <row r="58" spans="1:7" s="3343" customFormat="1" ht="3.75" customHeight="1">
      <c r="A58" s="1010"/>
      <c r="B58" s="1010"/>
      <c r="C58" s="1010"/>
      <c r="D58" s="1010"/>
      <c r="E58" s="1010"/>
      <c r="F58" s="3345"/>
      <c r="G58" s="1013"/>
    </row>
    <row r="59" spans="1:7" s="3343" customFormat="1" ht="41.25" customHeight="1">
      <c r="A59" s="1830" t="str">
        <f>'Part IV-A-Uses of Funds'!$C$104</f>
        <v>&lt;&lt; Enter description here; provide detail &amp; justification in tab Part IV-b &gt;&gt;</v>
      </c>
      <c r="B59" s="1831"/>
      <c r="C59" s="1831"/>
      <c r="D59" s="1832"/>
      <c r="F59" s="3345"/>
      <c r="G59" s="1011"/>
    </row>
    <row r="60" spans="1:7" s="3343" customFormat="1" ht="41.25" customHeight="1">
      <c r="A60" s="1833"/>
      <c r="B60" s="1834"/>
      <c r="C60" s="1834"/>
      <c r="D60" s="1835"/>
      <c r="E60" s="1011"/>
      <c r="F60" s="3345"/>
      <c r="G60" s="1011"/>
    </row>
    <row r="61" spans="1:7" s="3343" customFormat="1" ht="3" customHeight="1">
      <c r="A61" s="1011"/>
      <c r="B61" s="1011"/>
      <c r="C61" s="1011"/>
      <c r="D61" s="1011"/>
      <c r="E61" s="1011"/>
      <c r="F61" s="3345"/>
      <c r="G61" s="1011"/>
    </row>
    <row r="62" spans="1:7" s="3343" customFormat="1" ht="25.5">
      <c r="A62" s="1018" t="s">
        <v>3735</v>
      </c>
      <c r="B62" s="1017">
        <f>'Part IV-A-Uses of Funds'!$G$104</f>
        <v>0</v>
      </c>
      <c r="C62" s="1014"/>
      <c r="D62" s="1014"/>
      <c r="E62" s="1011"/>
      <c r="F62" s="3345"/>
      <c r="G62" s="1011"/>
    </row>
    <row r="63" spans="1:7" s="3343" customFormat="1" ht="3.75" customHeight="1">
      <c r="A63" s="1010"/>
      <c r="B63" s="1010"/>
      <c r="C63" s="1010"/>
      <c r="D63" s="1010"/>
      <c r="E63" s="1010"/>
      <c r="F63" s="3346"/>
      <c r="G63" s="1013"/>
    </row>
    <row r="64" spans="1:7" s="3343" customFormat="1">
      <c r="A64" s="1019" t="s">
        <v>3737</v>
      </c>
      <c r="B64" s="1011"/>
      <c r="C64" s="1011"/>
      <c r="D64" s="1011"/>
      <c r="E64" s="1011"/>
      <c r="F64" s="1011"/>
      <c r="G64" s="1011"/>
    </row>
    <row r="65" spans="1:8" s="3343" customFormat="1" ht="41.25" customHeight="1">
      <c r="A65" s="1830" t="str">
        <f>'Part IV-A-Uses of Funds'!$C$110</f>
        <v>&lt;&lt; Enter description here; provide detail &amp; justification in tab Part IV-b &gt;&gt;</v>
      </c>
      <c r="B65" s="1831"/>
      <c r="C65" s="1831"/>
      <c r="D65" s="1832"/>
      <c r="F65" s="3347"/>
      <c r="G65" s="1011"/>
    </row>
    <row r="66" spans="1:8" s="3343" customFormat="1" ht="41.25" customHeight="1">
      <c r="A66" s="1833"/>
      <c r="B66" s="1834"/>
      <c r="C66" s="1834"/>
      <c r="D66" s="1835"/>
      <c r="E66" s="1011"/>
      <c r="F66" s="3348"/>
      <c r="G66" s="1011"/>
    </row>
    <row r="67" spans="1:8" s="3343" customFormat="1" ht="3" customHeight="1">
      <c r="A67" s="1011"/>
      <c r="B67" s="1011"/>
      <c r="C67" s="1011"/>
      <c r="D67" s="1011"/>
      <c r="E67" s="1011"/>
      <c r="F67" s="3348"/>
      <c r="G67" s="1011"/>
    </row>
    <row r="68" spans="1:8" s="3343" customFormat="1" ht="25.5">
      <c r="A68" s="1018" t="s">
        <v>3735</v>
      </c>
      <c r="B68" s="1017">
        <f>'Part IV-A-Uses of Funds'!$G$110</f>
        <v>0</v>
      </c>
      <c r="C68" s="1014"/>
      <c r="D68" s="1014"/>
      <c r="E68" s="1011"/>
      <c r="F68" s="3348"/>
      <c r="G68" s="1011"/>
    </row>
    <row r="69" spans="1:8" s="3343" customFormat="1" ht="3.75" customHeight="1">
      <c r="A69" s="1011"/>
      <c r="B69" s="1012"/>
      <c r="C69" s="1011"/>
      <c r="D69" s="1011"/>
      <c r="E69" s="1011"/>
      <c r="F69" s="3349"/>
      <c r="G69" s="1013"/>
    </row>
    <row r="70" spans="1:8" s="3343" customFormat="1">
      <c r="A70" s="1019" t="s">
        <v>1321</v>
      </c>
      <c r="B70" s="1011"/>
      <c r="C70" s="1011"/>
      <c r="D70" s="1011"/>
      <c r="E70" s="1011"/>
      <c r="F70" s="1011"/>
      <c r="G70" s="1011"/>
    </row>
    <row r="71" spans="1:8" s="3343" customFormat="1" ht="41.25" customHeight="1">
      <c r="A71" s="1830" t="str">
        <f>'Part IV-A-Uses of Funds'!$C$125</f>
        <v>&lt;&lt; Enter description here; provide detail &amp; justification in tab Part IV-b &gt;&gt;</v>
      </c>
      <c r="B71" s="1831"/>
      <c r="C71" s="1831"/>
      <c r="D71" s="1832"/>
      <c r="F71" s="3347"/>
      <c r="G71" s="1011"/>
      <c r="H71" s="3347"/>
    </row>
    <row r="72" spans="1:8" s="3343" customFormat="1" ht="41.25" customHeight="1">
      <c r="A72" s="1833"/>
      <c r="B72" s="1834"/>
      <c r="C72" s="1834"/>
      <c r="D72" s="1835"/>
      <c r="E72" s="1011"/>
      <c r="F72" s="3348"/>
      <c r="G72" s="1011"/>
      <c r="H72" s="3348"/>
    </row>
    <row r="73" spans="1:8" s="3343" customFormat="1" ht="4.5" customHeight="1">
      <c r="A73" s="1011"/>
      <c r="B73" s="1011"/>
      <c r="C73" s="1011"/>
      <c r="D73" s="1011"/>
      <c r="E73" s="1011"/>
      <c r="F73" s="3348"/>
      <c r="G73" s="1011"/>
      <c r="H73" s="3348"/>
    </row>
    <row r="74" spans="1:8" s="3343" customFormat="1" ht="12.75" customHeight="1">
      <c r="A74" s="1018" t="s">
        <v>3735</v>
      </c>
      <c r="B74" s="1017">
        <f>'Part IV-A-Uses of Funds'!$G$125</f>
        <v>0</v>
      </c>
      <c r="C74" s="1018" t="s">
        <v>1803</v>
      </c>
      <c r="D74" s="1017">
        <f>'Part IV-A-Uses of Funds'!$J$125+'Part IV-A-Uses of Funds'!$M$125+'Part IV-A-Uses of Funds'!$P$125</f>
        <v>0</v>
      </c>
      <c r="E74" s="1011"/>
      <c r="F74" s="3348"/>
      <c r="G74" s="1011"/>
      <c r="H74" s="3348"/>
    </row>
    <row r="75" spans="1:8" s="3343" customFormat="1" ht="6" customHeight="1">
      <c r="A75" s="1011"/>
      <c r="B75" s="1012"/>
      <c r="C75" s="1011"/>
      <c r="D75" s="1011"/>
      <c r="E75" s="1011"/>
      <c r="F75" s="3349"/>
      <c r="G75" s="1013"/>
      <c r="H75" s="3349"/>
    </row>
    <row r="76" spans="1:8" s="3343" customFormat="1">
      <c r="A76" s="1019" t="s">
        <v>3738</v>
      </c>
      <c r="B76" s="1012"/>
      <c r="C76" s="1011"/>
      <c r="D76" s="1011"/>
      <c r="E76" s="1011"/>
      <c r="F76" s="1011"/>
      <c r="G76" s="1013"/>
    </row>
    <row r="77" spans="1:8" s="3343" customFormat="1" ht="41.25" customHeight="1">
      <c r="A77" s="1830" t="str">
        <f>'Part IV-A-Uses of Funds'!$C$129</f>
        <v>&lt;&lt; Enter description here; provide detail &amp; justification in tab Part IV-b &gt;&gt;</v>
      </c>
      <c r="B77" s="1831"/>
      <c r="C77" s="1831"/>
      <c r="D77" s="1832"/>
      <c r="F77" s="3347"/>
      <c r="G77" s="1011"/>
      <c r="H77" s="3347"/>
    </row>
    <row r="78" spans="1:8" s="3343" customFormat="1" ht="41.25" customHeight="1">
      <c r="A78" s="1833"/>
      <c r="B78" s="1834"/>
      <c r="C78" s="1834"/>
      <c r="D78" s="1835"/>
      <c r="E78" s="1011"/>
      <c r="F78" s="3348"/>
      <c r="G78" s="1011"/>
      <c r="H78" s="3348"/>
    </row>
    <row r="79" spans="1:8" s="3343" customFormat="1" ht="4.5" customHeight="1">
      <c r="A79" s="1011"/>
      <c r="B79" s="1011"/>
      <c r="C79" s="1011"/>
      <c r="D79" s="1011"/>
      <c r="E79" s="1011"/>
      <c r="F79" s="3348"/>
      <c r="G79" s="1011"/>
      <c r="H79" s="3348"/>
    </row>
    <row r="80" spans="1:8" s="3343" customFormat="1" ht="12.75" customHeight="1">
      <c r="A80" s="1018" t="s">
        <v>3735</v>
      </c>
      <c r="B80" s="1017">
        <f>'Part IV-A-Uses of Funds'!$G$129</f>
        <v>0</v>
      </c>
      <c r="C80" s="1018" t="s">
        <v>1803</v>
      </c>
      <c r="D80" s="1017">
        <f>'Part IV-A-Uses of Funds'!$J$129+'Part IV-A-Uses of Funds'!$M$129+'Part IV-A-Uses of Funds'!$P$129</f>
        <v>0</v>
      </c>
      <c r="E80" s="1016"/>
      <c r="F80" s="3348"/>
      <c r="G80" s="1011"/>
      <c r="H80" s="3348"/>
    </row>
    <row r="81" spans="4:8" s="3343" customFormat="1" ht="6" customHeight="1">
      <c r="D81" s="1618"/>
      <c r="E81" s="3350"/>
      <c r="F81" s="3349"/>
      <c r="G81" s="1013"/>
      <c r="H81" s="3349"/>
    </row>
    <row r="82" spans="4:8" s="3343" customFormat="1"/>
    <row r="83" spans="4:8" s="3343" customFormat="1"/>
    <row r="84" spans="4:8" s="3343" customFormat="1"/>
    <row r="85" spans="4:8" s="3343" customFormat="1"/>
    <row r="86" spans="4:8" s="3343" customFormat="1"/>
    <row r="87" spans="4:8" s="3343" customFormat="1"/>
    <row r="88" spans="4:8" s="3343" customFormat="1"/>
    <row r="89" spans="4:8" s="3343" customFormat="1"/>
    <row r="90" spans="4:8" s="3343" customFormat="1"/>
    <row r="91" spans="4:8" s="3343" customFormat="1"/>
    <row r="92" spans="4:8" s="3343" customFormat="1"/>
  </sheetData>
  <sheetProtection algorithmName="SHA-512" hashValue="z+VIFhR8bktIGIToTwShN0w9DkbGxxvefk8M5xM/kVfAni/ydxTMOm/ocQhVQVlhJBr4BRKqygec8amlixNAwg==" saltValue="KZNGZm+f7sDU42hPS1+X5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42578125" style="28" customWidth="1"/>
    <col min="2" max="3" width="8.85546875" style="28"/>
    <col min="4" max="4" width="12.85546875" style="28" customWidth="1"/>
    <col min="5" max="5" width="9.42578125" style="28" customWidth="1"/>
    <col min="6" max="7" width="9.5703125" style="28" customWidth="1"/>
    <col min="8" max="8" width="8.42578125" style="28" customWidth="1"/>
    <col min="9" max="13" width="10.5703125" style="28" customWidth="1"/>
    <col min="14" max="14" width="3" style="28" customWidth="1"/>
    <col min="15" max="17" width="8.85546875" style="28"/>
    <col min="18" max="18" width="8.85546875" style="28" customWidth="1"/>
    <col min="19" max="16384" width="8.85546875" style="28"/>
  </cols>
  <sheetData>
    <row r="1" spans="1:20" s="8" customFormat="1" ht="14.1" customHeight="1">
      <c r="A1" s="1845" t="str">
        <f>CONCATENATE("PART FIVE - UTILITY ALLOWANCES","  -  ",'Part I-Project Information'!$O$6," ",'Part I-Project Information'!$F$34,", ",'Part I-Project Information'!F38,", ",'Part I-Project Information'!J39," County")</f>
        <v>PART FIVE - UTILITY ALLOWANCES  -  2018-041 Pointe North Village III, Albany, Dougherty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3833</v>
      </c>
    </row>
    <row r="6" spans="1:20" ht="6" customHeight="1">
      <c r="A6" s="8"/>
    </row>
    <row r="7" spans="1:20" s="8" customFormat="1">
      <c r="A7" s="14" t="s">
        <v>622</v>
      </c>
      <c r="B7" s="14" t="s">
        <v>2243</v>
      </c>
      <c r="F7" s="8" t="s">
        <v>2536</v>
      </c>
      <c r="I7" s="3313" t="s">
        <v>4664</v>
      </c>
      <c r="J7" s="3314"/>
      <c r="K7" s="3314"/>
      <c r="L7" s="3314"/>
      <c r="M7" s="3315"/>
    </row>
    <row r="8" spans="1:20" s="8" customFormat="1" ht="13.35" customHeight="1">
      <c r="A8" s="14"/>
      <c r="F8" s="8" t="s">
        <v>642</v>
      </c>
      <c r="H8" s="28"/>
      <c r="I8" s="3316">
        <v>43101</v>
      </c>
      <c r="J8" s="3317"/>
      <c r="K8" s="63" t="s">
        <v>545</v>
      </c>
      <c r="L8" s="3318" t="s">
        <v>4636</v>
      </c>
      <c r="M8" s="3319"/>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0" t="s">
        <v>4665</v>
      </c>
      <c r="E12" s="3321"/>
      <c r="F12" s="3322" t="s">
        <v>443</v>
      </c>
      <c r="G12" s="3322"/>
      <c r="H12" s="1120"/>
      <c r="I12" s="3323"/>
      <c r="J12" s="3323">
        <v>4</v>
      </c>
      <c r="K12" s="3323">
        <v>5</v>
      </c>
      <c r="L12" s="3323">
        <v>6</v>
      </c>
      <c r="M12" s="3323"/>
      <c r="O12" s="1842" t="s">
        <v>3858</v>
      </c>
      <c r="P12" s="1842"/>
    </row>
    <row r="13" spans="1:20" s="8" customFormat="1" ht="12" customHeight="1">
      <c r="B13" s="1112" t="s">
        <v>1609</v>
      </c>
      <c r="C13" s="1109"/>
      <c r="D13" s="3324" t="s">
        <v>1608</v>
      </c>
      <c r="E13" s="3325"/>
      <c r="F13" s="3326" t="s">
        <v>443</v>
      </c>
      <c r="G13" s="3326"/>
      <c r="H13" s="1117"/>
      <c r="I13" s="3327"/>
      <c r="J13" s="3327">
        <v>7</v>
      </c>
      <c r="K13" s="3327">
        <v>9</v>
      </c>
      <c r="L13" s="3328">
        <v>11</v>
      </c>
      <c r="M13" s="3328"/>
      <c r="O13" s="1842"/>
      <c r="P13" s="1842"/>
    </row>
    <row r="14" spans="1:20" s="8" customFormat="1" ht="12" customHeight="1">
      <c r="B14" s="1115" t="s">
        <v>1610</v>
      </c>
      <c r="C14" s="1114"/>
      <c r="D14" s="3324" t="s">
        <v>1608</v>
      </c>
      <c r="E14" s="3325"/>
      <c r="F14" s="3326" t="s">
        <v>443</v>
      </c>
      <c r="G14" s="3326"/>
      <c r="H14" s="257"/>
      <c r="I14" s="3327"/>
      <c r="J14" s="3327">
        <v>14</v>
      </c>
      <c r="K14" s="3327">
        <v>18</v>
      </c>
      <c r="L14" s="3328">
        <v>23</v>
      </c>
      <c r="M14" s="3328"/>
      <c r="O14" s="1842"/>
      <c r="P14" s="1842"/>
    </row>
    <row r="15" spans="1:20" s="8" customFormat="1" ht="12" customHeight="1">
      <c r="B15" s="1110" t="s">
        <v>471</v>
      </c>
      <c r="C15" s="258"/>
      <c r="D15" s="1110" t="s">
        <v>1608</v>
      </c>
      <c r="E15" s="258"/>
      <c r="F15" s="3326" t="s">
        <v>443</v>
      </c>
      <c r="G15" s="3326"/>
      <c r="H15" s="1116"/>
      <c r="I15" s="3327"/>
      <c r="J15" s="3327">
        <v>10</v>
      </c>
      <c r="K15" s="3327">
        <v>13</v>
      </c>
      <c r="L15" s="3328">
        <v>16</v>
      </c>
      <c r="M15" s="3328"/>
      <c r="O15" s="1842"/>
      <c r="P15" s="1842"/>
    </row>
    <row r="16" spans="1:20" s="8" customFormat="1" ht="12" customHeight="1">
      <c r="B16" s="1111" t="s">
        <v>3830</v>
      </c>
      <c r="C16" s="1109"/>
      <c r="D16" s="1112" t="s">
        <v>1608</v>
      </c>
      <c r="E16" s="1109"/>
      <c r="F16" s="3326"/>
      <c r="G16" s="3326" t="s">
        <v>443</v>
      </c>
      <c r="H16" s="1117"/>
      <c r="I16" s="3327"/>
      <c r="J16" s="3327"/>
      <c r="K16" s="3327"/>
      <c r="L16" s="3328"/>
      <c r="M16" s="3328"/>
      <c r="O16" s="1842"/>
      <c r="P16" s="1842"/>
    </row>
    <row r="17" spans="1:19" s="8" customFormat="1" ht="12" customHeight="1">
      <c r="B17" s="1111" t="s">
        <v>3831</v>
      </c>
      <c r="C17" s="1109"/>
      <c r="D17" s="1112" t="s">
        <v>1608</v>
      </c>
      <c r="E17" s="1109"/>
      <c r="F17" s="3326"/>
      <c r="G17" s="3326" t="s">
        <v>443</v>
      </c>
      <c r="H17" s="1117"/>
      <c r="I17" s="3327"/>
      <c r="J17" s="3327"/>
      <c r="K17" s="3327"/>
      <c r="L17" s="3328"/>
      <c r="M17" s="3328"/>
      <c r="O17" s="1842"/>
      <c r="P17" s="1842"/>
    </row>
    <row r="18" spans="1:19" s="8" customFormat="1" ht="12" customHeight="1">
      <c r="B18" s="1113" t="s">
        <v>3832</v>
      </c>
      <c r="C18" s="1114"/>
      <c r="D18" s="1115" t="s">
        <v>1608</v>
      </c>
      <c r="E18" s="1109"/>
      <c r="F18" s="3326" t="s">
        <v>443</v>
      </c>
      <c r="G18" s="3326"/>
      <c r="H18" s="257"/>
      <c r="I18" s="3327"/>
      <c r="J18" s="3327">
        <v>21</v>
      </c>
      <c r="K18" s="3327">
        <v>27</v>
      </c>
      <c r="L18" s="3328">
        <v>33</v>
      </c>
      <c r="M18" s="3328"/>
      <c r="O18" s="1842"/>
      <c r="P18" s="1842"/>
    </row>
    <row r="19" spans="1:19" s="8" customFormat="1" ht="12" customHeight="1">
      <c r="B19" s="1110" t="s">
        <v>1382</v>
      </c>
      <c r="C19" s="258"/>
      <c r="D19" s="668" t="s">
        <v>3492</v>
      </c>
      <c r="E19" s="3329" t="s">
        <v>3011</v>
      </c>
      <c r="F19" s="3326"/>
      <c r="G19" s="3326" t="s">
        <v>443</v>
      </c>
      <c r="H19" s="1116"/>
      <c r="I19" s="3327"/>
      <c r="J19" s="3327"/>
      <c r="K19" s="3327"/>
      <c r="L19" s="3328"/>
      <c r="M19" s="3328"/>
      <c r="O19" s="1842"/>
      <c r="P19" s="1842"/>
    </row>
    <row r="20" spans="1:19" s="8" customFormat="1" ht="12" customHeight="1">
      <c r="B20" s="1121" t="s">
        <v>1865</v>
      </c>
      <c r="C20" s="231"/>
      <c r="D20" s="259"/>
      <c r="E20" s="231"/>
      <c r="F20" s="3330"/>
      <c r="G20" s="3330" t="s">
        <v>443</v>
      </c>
      <c r="H20" s="1122"/>
      <c r="I20" s="3331"/>
      <c r="J20" s="3331"/>
      <c r="K20" s="3331"/>
      <c r="L20" s="3332"/>
      <c r="M20" s="3332"/>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56</v>
      </c>
      <c r="K21" s="1582">
        <f>IF(SUM(K12:K20)=0,0,IF(OR($D12="&lt;&lt;Select Fuel &gt;&gt;",$D13="&lt;&lt;Select Fuel &gt;&gt;",$D14="&lt;&lt;Select Fuel &gt;&gt;"),"Select Fuel",IF($E19="&lt;Select&gt;","Submeter?",SUM(K12:K20))))</f>
        <v>72</v>
      </c>
      <c r="L21" s="1582">
        <f>IF(SUM(L12:L20)=0,0,IF(OR($D12="&lt;&lt;Select Fuel &gt;&gt;",$D13="&lt;&lt;Select Fuel &gt;&gt;",$D14="&lt;&lt;Select Fuel &gt;&gt;"),"Select Fuel",IF($E19="&lt;Select&gt;","Submeter?",SUM(L12:L20))))</f>
        <v>89</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3"/>
      <c r="J23" s="3314"/>
      <c r="K23" s="3314"/>
      <c r="L23" s="3314"/>
      <c r="M23" s="3315"/>
    </row>
    <row r="24" spans="1:19" s="8" customFormat="1" ht="13.35" customHeight="1">
      <c r="A24" s="14"/>
      <c r="B24" s="14"/>
      <c r="F24" s="8" t="s">
        <v>642</v>
      </c>
      <c r="H24" s="28"/>
      <c r="I24" s="3316"/>
      <c r="J24" s="3317"/>
      <c r="K24" s="63" t="s">
        <v>545</v>
      </c>
      <c r="L24" s="3318"/>
      <c r="M24" s="3319"/>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0" t="s">
        <v>1833</v>
      </c>
      <c r="E28" s="3321"/>
      <c r="F28" s="3322"/>
      <c r="G28" s="3322"/>
      <c r="H28" s="1120"/>
      <c r="I28" s="3323"/>
      <c r="J28" s="3323"/>
      <c r="K28" s="3323"/>
      <c r="L28" s="3323"/>
      <c r="M28" s="3323"/>
      <c r="O28" s="1842" t="s">
        <v>3858</v>
      </c>
      <c r="P28" s="1842"/>
    </row>
    <row r="29" spans="1:19" s="8" customFormat="1" ht="12" customHeight="1">
      <c r="B29" s="1112" t="s">
        <v>1609</v>
      </c>
      <c r="C29" s="1109"/>
      <c r="D29" s="3324" t="s">
        <v>1833</v>
      </c>
      <c r="E29" s="3325"/>
      <c r="F29" s="3326"/>
      <c r="G29" s="3326"/>
      <c r="H29" s="1117"/>
      <c r="I29" s="3327"/>
      <c r="J29" s="3327"/>
      <c r="K29" s="3327"/>
      <c r="L29" s="3328"/>
      <c r="M29" s="3328"/>
      <c r="O29" s="1842"/>
      <c r="P29" s="1842"/>
    </row>
    <row r="30" spans="1:19" s="8" customFormat="1" ht="12" customHeight="1">
      <c r="B30" s="1115" t="s">
        <v>1610</v>
      </c>
      <c r="C30" s="1114"/>
      <c r="D30" s="3324" t="s">
        <v>1833</v>
      </c>
      <c r="E30" s="3325"/>
      <c r="F30" s="3326"/>
      <c r="G30" s="3326"/>
      <c r="H30" s="257"/>
      <c r="I30" s="3327"/>
      <c r="J30" s="3327"/>
      <c r="K30" s="3327"/>
      <c r="L30" s="3328"/>
      <c r="M30" s="3328"/>
      <c r="O30" s="1842"/>
      <c r="P30" s="1842"/>
    </row>
    <row r="31" spans="1:19" s="8" customFormat="1" ht="12" customHeight="1">
      <c r="B31" s="1110" t="s">
        <v>471</v>
      </c>
      <c r="C31" s="258"/>
      <c r="D31" s="1110" t="s">
        <v>1608</v>
      </c>
      <c r="E31" s="258"/>
      <c r="F31" s="3326"/>
      <c r="G31" s="3326"/>
      <c r="H31" s="1116"/>
      <c r="I31" s="3327"/>
      <c r="J31" s="3327"/>
      <c r="K31" s="3327"/>
      <c r="L31" s="3328"/>
      <c r="M31" s="3328"/>
      <c r="O31" s="1842"/>
      <c r="P31" s="1842"/>
    </row>
    <row r="32" spans="1:19" s="8" customFormat="1" ht="12" customHeight="1">
      <c r="B32" s="1111" t="s">
        <v>3830</v>
      </c>
      <c r="C32" s="1109"/>
      <c r="D32" s="1112" t="s">
        <v>1608</v>
      </c>
      <c r="E32" s="1109"/>
      <c r="F32" s="3326"/>
      <c r="G32" s="3326"/>
      <c r="H32" s="1117"/>
      <c r="I32" s="3327"/>
      <c r="J32" s="3327"/>
      <c r="K32" s="3327"/>
      <c r="L32" s="3328"/>
      <c r="M32" s="3328"/>
      <c r="O32" s="1842"/>
      <c r="P32" s="1842"/>
    </row>
    <row r="33" spans="1:19" s="8" customFormat="1" ht="12" customHeight="1">
      <c r="B33" s="1111" t="s">
        <v>3831</v>
      </c>
      <c r="C33" s="1109"/>
      <c r="D33" s="1112" t="s">
        <v>1608</v>
      </c>
      <c r="E33" s="1109"/>
      <c r="F33" s="3326"/>
      <c r="G33" s="3326"/>
      <c r="H33" s="1117"/>
      <c r="I33" s="3327"/>
      <c r="J33" s="3327"/>
      <c r="K33" s="3327"/>
      <c r="L33" s="3328"/>
      <c r="M33" s="3328"/>
      <c r="O33" s="1842"/>
      <c r="P33" s="1842"/>
    </row>
    <row r="34" spans="1:19" s="8" customFormat="1" ht="12" customHeight="1">
      <c r="B34" s="1113" t="s">
        <v>3832</v>
      </c>
      <c r="C34" s="1114"/>
      <c r="D34" s="1115" t="s">
        <v>1608</v>
      </c>
      <c r="E34" s="1109"/>
      <c r="F34" s="3326"/>
      <c r="G34" s="3326"/>
      <c r="H34" s="257"/>
      <c r="I34" s="3327"/>
      <c r="J34" s="3327"/>
      <c r="K34" s="3327"/>
      <c r="L34" s="3328"/>
      <c r="M34" s="3328"/>
      <c r="O34" s="1842"/>
      <c r="P34" s="1842"/>
    </row>
    <row r="35" spans="1:19" s="8" customFormat="1" ht="12" customHeight="1">
      <c r="B35" s="1110" t="s">
        <v>1382</v>
      </c>
      <c r="C35" s="258"/>
      <c r="D35" s="668" t="s">
        <v>3492</v>
      </c>
      <c r="E35" s="3329" t="s">
        <v>203</v>
      </c>
      <c r="F35" s="3326"/>
      <c r="G35" s="3326"/>
      <c r="H35" s="1116"/>
      <c r="I35" s="3327"/>
      <c r="J35" s="3327"/>
      <c r="K35" s="3327"/>
      <c r="L35" s="3328"/>
      <c r="M35" s="3328"/>
      <c r="O35" s="1842"/>
      <c r="P35" s="1842"/>
    </row>
    <row r="36" spans="1:19" s="8" customFormat="1" ht="12" customHeight="1">
      <c r="B36" s="1121" t="s">
        <v>1865</v>
      </c>
      <c r="C36" s="231"/>
      <c r="D36" s="259"/>
      <c r="E36" s="231"/>
      <c r="F36" s="3330"/>
      <c r="G36" s="3330"/>
      <c r="H36" s="1122"/>
      <c r="I36" s="3331"/>
      <c r="J36" s="3331"/>
      <c r="K36" s="3331"/>
      <c r="L36" s="3332"/>
      <c r="M36" s="3332"/>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4"/>
      <c r="C41" s="3335"/>
      <c r="D41" s="3335"/>
      <c r="E41" s="3335"/>
      <c r="F41" s="3335"/>
      <c r="G41" s="3335"/>
      <c r="H41" s="3335"/>
      <c r="I41" s="3335"/>
      <c r="J41" s="3335"/>
      <c r="K41" s="3335"/>
      <c r="L41" s="3335"/>
      <c r="M41" s="333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7"/>
      <c r="C44" s="3338"/>
      <c r="D44" s="3338"/>
      <c r="E44" s="3338"/>
      <c r="F44" s="3338"/>
      <c r="G44" s="3338"/>
      <c r="H44" s="3338"/>
      <c r="I44" s="3338"/>
      <c r="J44" s="3338"/>
      <c r="K44" s="3338"/>
      <c r="L44" s="3338"/>
      <c r="M44" s="3339"/>
      <c r="N44" s="28"/>
      <c r="O44" s="1619"/>
      <c r="P44" s="1619"/>
      <c r="Q44" s="1619"/>
      <c r="R44" s="1619"/>
      <c r="S44" s="1619"/>
    </row>
  </sheetData>
  <sheetProtection algorithmName="SHA-512" hashValue="dJ3WCAkz+fJIdbB7qe12xn2NochJqoLZCvd7JHEldbMgWbYIvvR7kUB9w77HwrPES+8VP9AKTq9JqcpyWdwFsg==" saltValue="gizqqWzdrIfO2WLZcioLx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3" zoomScaleNormal="100" workbookViewId="0">
      <selection sqref="A1:XFD1048576"/>
    </sheetView>
  </sheetViews>
  <sheetFormatPr defaultColWidth="9.140625" defaultRowHeight="12.75"/>
  <cols>
    <col min="1" max="1" width="2.5703125" style="8" customWidth="1"/>
    <col min="2" max="2" width="10" style="8" customWidth="1"/>
    <col min="3" max="3" width="7.5703125" style="8" customWidth="1"/>
    <col min="4" max="4" width="6.42578125" style="8" customWidth="1"/>
    <col min="5" max="5" width="6.5703125" style="8" customWidth="1"/>
    <col min="6" max="6" width="8.140625" style="8" customWidth="1"/>
    <col min="7" max="8" width="9.5703125" style="8" customWidth="1"/>
    <col min="9" max="9" width="11.5703125" style="8" customWidth="1"/>
    <col min="10" max="10" width="10.140625" style="8" customWidth="1"/>
    <col min="11" max="11" width="9.570312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5703125" style="85" customWidth="1"/>
    <col min="21" max="21" width="59.42578125" style="85" customWidth="1"/>
    <col min="22" max="22" width="47.5703125" style="85" customWidth="1"/>
    <col min="23" max="76" width="9.140625" style="152" customWidth="1"/>
    <col min="77" max="82" width="12.5703125" style="152" customWidth="1"/>
    <col min="83" max="153" width="9.140625" style="152" customWidth="1"/>
    <col min="154" max="172" width="9.140625" style="464" customWidth="1"/>
    <col min="173" max="177" width="11.425781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425781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4.1" customHeight="1">
      <c r="A1" s="1737" t="str">
        <f>CONCATENATE("PART SIX - PROJECTED REVENUES &amp; EXPENSES","  -  ",'Part I-Project Information'!$O$6," ",'Part I-Project Information'!$F$34,", ",'Part I-Project Information'!F38,", ",'Part I-Project Information'!J39," County")</f>
        <v>PART SIX - PROJECTED REVENUES &amp; EXPENSES  -  2018-041 Pointe North Village III, Albany, Dougherty County</v>
      </c>
      <c r="B1" s="1738"/>
      <c r="C1" s="1738"/>
      <c r="D1" s="1738"/>
      <c r="E1" s="1738"/>
      <c r="F1" s="1738"/>
      <c r="G1" s="1738"/>
      <c r="H1" s="1738"/>
      <c r="I1" s="1738"/>
      <c r="J1" s="1738"/>
      <c r="K1" s="1738"/>
      <c r="L1" s="1738"/>
      <c r="M1" s="1738"/>
      <c r="N1" s="1738"/>
      <c r="O1" s="1738"/>
      <c r="P1" s="1739"/>
      <c r="U1" s="1883" t="str">
        <f>A1</f>
        <v>PART SIX - PROJECTED REVENUES &amp; EXPENSES  -  2018-041 Pointe North Village III, Albany, Dougherty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4"/>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3727</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35" customHeight="1">
      <c r="A5" s="1879" t="str">
        <f>IF(A48&gt;0,"Finish Row!","")</f>
        <v/>
      </c>
      <c r="B5" s="4" t="s">
        <v>1860</v>
      </c>
      <c r="D5" s="1"/>
      <c r="E5" s="4"/>
      <c r="F5" s="1"/>
      <c r="G5" s="3238"/>
      <c r="H5" s="1126"/>
      <c r="I5" s="1585" t="s">
        <v>806</v>
      </c>
      <c r="J5" s="1585" t="s">
        <v>3588</v>
      </c>
      <c r="K5" s="1881" t="s">
        <v>4550</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35" customHeight="1">
      <c r="A6" s="1879"/>
      <c r="B6" s="30" t="s">
        <v>1818</v>
      </c>
      <c r="D6" s="1"/>
      <c r="E6" s="4"/>
      <c r="F6" s="3239" t="s">
        <v>3014</v>
      </c>
      <c r="G6" s="1585" t="s">
        <v>3690</v>
      </c>
      <c r="H6" s="1873" t="s">
        <v>3920</v>
      </c>
      <c r="I6" s="1585" t="s">
        <v>807</v>
      </c>
      <c r="J6" s="1585" t="s">
        <v>3693</v>
      </c>
      <c r="K6" s="1882"/>
      <c r="L6" s="1882"/>
      <c r="M6" s="1874" t="str">
        <f>'Part I-Project Information'!$O$40</f>
        <v>Albany</v>
      </c>
      <c r="N6" s="1874"/>
      <c r="O6" s="928">
        <f>VLOOKUP('Part I-Project Information'!$O$40,'DCA Underwriting Assumptions'!$C$155:$D$265,2)</f>
        <v>47300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3691</v>
      </c>
      <c r="H7" s="1873"/>
      <c r="I7" s="1866" t="s">
        <v>3879</v>
      </c>
      <c r="J7" s="1585" t="s">
        <v>3694</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3691</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3692</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2</v>
      </c>
      <c r="F10" s="3243">
        <v>750</v>
      </c>
      <c r="G10" s="3243">
        <v>444</v>
      </c>
      <c r="H10" s="3243">
        <v>444</v>
      </c>
      <c r="I10" s="3244">
        <f>IF(C10="",0,HLOOKUP(C10,'Part V-Utility Allowances'!$I$11:$M$21,11))</f>
        <v>56</v>
      </c>
      <c r="J10" s="3245"/>
      <c r="K10" s="629">
        <f t="shared" ref="K10:K47" si="1">MAX(0,H10-I10)</f>
        <v>388</v>
      </c>
      <c r="L10" s="629">
        <f t="shared" ref="L10:L47" si="2">MAX(0,E10*K10)</f>
        <v>776</v>
      </c>
      <c r="M10" s="3246" t="s">
        <v>3014</v>
      </c>
      <c r="N10" s="3246" t="s">
        <v>4636</v>
      </c>
      <c r="O10" s="3246" t="s">
        <v>2311</v>
      </c>
      <c r="P10" s="3247" t="s">
        <v>3014</v>
      </c>
      <c r="Q10" s="3248">
        <f t="shared" ref="Q10:Q47" si="3">IF(H10="","",H10*12/0.3)</f>
        <v>17760</v>
      </c>
      <c r="R10" s="3249">
        <f>IF(H10="","",IF(C10="Efficiency",Q10/($O$6*VLOOKUP(0,'DCA Underwriting Assumptions'!$J$143:$K$148,2,FALSE)),Q10/($O$6*VLOOKUP(C10,'DCA Underwriting Assumptions'!$J$143:$K$148,2,FALSE))))</f>
        <v>0.50063424947145874</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1500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119</v>
      </c>
      <c r="C11" s="3253">
        <v>2</v>
      </c>
      <c r="D11" s="3254">
        <v>2</v>
      </c>
      <c r="E11" s="3255">
        <v>5</v>
      </c>
      <c r="F11" s="3255">
        <v>950</v>
      </c>
      <c r="G11" s="3255">
        <v>532</v>
      </c>
      <c r="H11" s="3255">
        <v>532</v>
      </c>
      <c r="I11" s="3256">
        <f>IF(C11="",0,HLOOKUP(C11,'Part V-Utility Allowances'!$I$11:$M$21,11))</f>
        <v>72</v>
      </c>
      <c r="J11" s="3257"/>
      <c r="K11" s="630">
        <f t="shared" si="1"/>
        <v>460</v>
      </c>
      <c r="L11" s="630">
        <f t="shared" si="2"/>
        <v>2300</v>
      </c>
      <c r="M11" s="3258" t="s">
        <v>3014</v>
      </c>
      <c r="N11" s="3258" t="s">
        <v>4636</v>
      </c>
      <c r="O11" s="3258" t="s">
        <v>2311</v>
      </c>
      <c r="P11" s="3259" t="s">
        <v>3014</v>
      </c>
      <c r="Q11" s="3260">
        <f t="shared" si="3"/>
        <v>21280</v>
      </c>
      <c r="R11" s="3261">
        <f>IF(H11="","",IF(C11="Efficiency",Q11/($O$6*VLOOKUP(0,'DCA Underwriting Assumptions'!$J$143:$K$148,2,FALSE)),Q11/($O$6*VLOOKUP(C11,'DCA Underwriting Assumptions'!$J$143:$K$148,2,FALSE))))</f>
        <v>0.49988254639417429</v>
      </c>
      <c r="S11" s="3262"/>
      <c r="T11" s="3263"/>
      <c r="U11" s="3218"/>
      <c r="V11" s="3219"/>
      <c r="W11" s="152" t="str">
        <f t="shared" si="4"/>
        <v/>
      </c>
      <c r="X11" s="152" t="str">
        <f t="shared" si="5"/>
        <v/>
      </c>
      <c r="Y11" s="152" t="str">
        <f t="shared" si="6"/>
        <v/>
      </c>
      <c r="Z11" s="152" t="str">
        <f t="shared" si="7"/>
        <v/>
      </c>
      <c r="AA11" s="152" t="str">
        <f t="shared" si="8"/>
        <v/>
      </c>
      <c r="AB11" s="152" t="str">
        <f t="shared" si="9"/>
        <v/>
      </c>
      <c r="AC11" s="152" t="str">
        <f t="shared" si="10"/>
        <v/>
      </c>
      <c r="AD11" s="152">
        <f t="shared" si="11"/>
        <v>5</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4750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5</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5</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5</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5</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119</v>
      </c>
      <c r="C12" s="3253">
        <v>3</v>
      </c>
      <c r="D12" s="3254">
        <v>2</v>
      </c>
      <c r="E12" s="3255">
        <v>5</v>
      </c>
      <c r="F12" s="3255">
        <v>1150</v>
      </c>
      <c r="G12" s="3255">
        <v>615</v>
      </c>
      <c r="H12" s="3255">
        <v>615</v>
      </c>
      <c r="I12" s="3256">
        <f>IF(C12="",0,HLOOKUP(C12,'Part V-Utility Allowances'!$I$11:$M$21,11))</f>
        <v>89</v>
      </c>
      <c r="J12" s="3257"/>
      <c r="K12" s="630">
        <f t="shared" si="1"/>
        <v>526</v>
      </c>
      <c r="L12" s="630">
        <f t="shared" si="2"/>
        <v>2630</v>
      </c>
      <c r="M12" s="3258" t="s">
        <v>3014</v>
      </c>
      <c r="N12" s="3258" t="s">
        <v>4636</v>
      </c>
      <c r="O12" s="3258" t="s">
        <v>2311</v>
      </c>
      <c r="P12" s="3259" t="s">
        <v>3014</v>
      </c>
      <c r="Q12" s="3260">
        <f t="shared" si="3"/>
        <v>24600</v>
      </c>
      <c r="R12" s="3261">
        <f>IF(H12="","",IF(C12="Efficiency",Q12/($O$6*VLOOKUP(0,'DCA Underwriting Assumptions'!$J$143:$K$148,2,FALSE)),Q12/($O$6*VLOOKUP(C12,'DCA Underwriting Assumptions'!$J$143:$K$148,2,FALSE))))</f>
        <v>0.50008131403480238</v>
      </c>
      <c r="S12" s="3262"/>
      <c r="T12" s="3263"/>
      <c r="U12" s="3218"/>
      <c r="V12" s="3219"/>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5</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5750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5</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5</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f t="shared" si="212"/>
        <v>5</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5</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1159</v>
      </c>
      <c r="C13" s="3253">
        <v>1</v>
      </c>
      <c r="D13" s="3254">
        <v>1</v>
      </c>
      <c r="E13" s="3255">
        <v>4</v>
      </c>
      <c r="F13" s="3255">
        <v>750</v>
      </c>
      <c r="G13" s="3255">
        <v>533</v>
      </c>
      <c r="H13" s="3255">
        <v>533</v>
      </c>
      <c r="I13" s="3256">
        <f>IF(C13="",0,HLOOKUP(C13,'Part V-Utility Allowances'!$I$11:$M$21,11))</f>
        <v>56</v>
      </c>
      <c r="J13" s="3257"/>
      <c r="K13" s="630">
        <f t="shared" si="1"/>
        <v>477</v>
      </c>
      <c r="L13" s="630">
        <f t="shared" si="2"/>
        <v>1908</v>
      </c>
      <c r="M13" s="3258" t="s">
        <v>3014</v>
      </c>
      <c r="N13" s="3258" t="s">
        <v>4636</v>
      </c>
      <c r="O13" s="3258" t="s">
        <v>2311</v>
      </c>
      <c r="P13" s="3259" t="s">
        <v>3014</v>
      </c>
      <c r="Q13" s="3260">
        <f t="shared" si="3"/>
        <v>21320</v>
      </c>
      <c r="R13" s="3261">
        <f>IF(H13="","",IF(C13="Efficiency",Q13/($O$6*VLOOKUP(0,'DCA Underwriting Assumptions'!$J$143:$K$148,2,FALSE)),Q13/($O$6*VLOOKUP(C13,'DCA Underwriting Assumptions'!$J$143:$K$148,2,FALSE))))</f>
        <v>0.60098661028893585</v>
      </c>
      <c r="S13" s="3262"/>
      <c r="T13" s="3263"/>
      <c r="U13" s="3218"/>
      <c r="V13" s="3219"/>
      <c r="W13" s="152" t="str">
        <f t="shared" si="4"/>
        <v/>
      </c>
      <c r="X13" s="152">
        <f t="shared" si="5"/>
        <v>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3000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4</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f t="shared" si="210"/>
        <v>4</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4</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1159</v>
      </c>
      <c r="C14" s="3253">
        <v>2</v>
      </c>
      <c r="D14" s="3254">
        <v>2</v>
      </c>
      <c r="E14" s="3255">
        <v>19</v>
      </c>
      <c r="F14" s="3255">
        <v>950</v>
      </c>
      <c r="G14" s="3255">
        <v>639</v>
      </c>
      <c r="H14" s="3255">
        <v>639</v>
      </c>
      <c r="I14" s="3256">
        <f>IF(C14="",0,HLOOKUP(C14,'Part V-Utility Allowances'!$I$11:$M$21,11))</f>
        <v>72</v>
      </c>
      <c r="J14" s="3257"/>
      <c r="K14" s="630">
        <f t="shared" si="1"/>
        <v>567</v>
      </c>
      <c r="L14" s="630">
        <f t="shared" si="2"/>
        <v>10773</v>
      </c>
      <c r="M14" s="3258" t="s">
        <v>3014</v>
      </c>
      <c r="N14" s="3258" t="s">
        <v>4636</v>
      </c>
      <c r="O14" s="3258" t="s">
        <v>2311</v>
      </c>
      <c r="P14" s="3259" t="s">
        <v>3014</v>
      </c>
      <c r="Q14" s="3260">
        <f t="shared" si="3"/>
        <v>25560</v>
      </c>
      <c r="R14" s="3261">
        <f>IF(H14="","",IF(C14="Efficiency",Q14/($O$6*VLOOKUP(0,'DCA Underwriting Assumptions'!$J$143:$K$148,2,FALSE)),Q14/($O$6*VLOOKUP(C14,'DCA Underwriting Assumptions'!$J$143:$K$148,2,FALSE))))</f>
        <v>0.60042283298097254</v>
      </c>
      <c r="S14" s="3262"/>
      <c r="T14" s="3263"/>
      <c r="U14" s="3218"/>
      <c r="V14" s="3219"/>
      <c r="W14" s="152" t="str">
        <f t="shared" si="4"/>
        <v/>
      </c>
      <c r="X14" s="152" t="str">
        <f t="shared" si="5"/>
        <v/>
      </c>
      <c r="Y14" s="152">
        <f t="shared" si="6"/>
        <v>19</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18050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19</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19</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19</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19</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1159</v>
      </c>
      <c r="C15" s="3253">
        <v>3</v>
      </c>
      <c r="D15" s="3254">
        <v>2</v>
      </c>
      <c r="E15" s="3255">
        <v>19</v>
      </c>
      <c r="F15" s="3255">
        <v>1150</v>
      </c>
      <c r="G15" s="3255">
        <v>738</v>
      </c>
      <c r="H15" s="3255">
        <v>738</v>
      </c>
      <c r="I15" s="3256">
        <f>IF(C15="",0,HLOOKUP(C15,'Part V-Utility Allowances'!$I$11:$M$21,11))</f>
        <v>89</v>
      </c>
      <c r="J15" s="3257"/>
      <c r="K15" s="630">
        <f t="shared" si="1"/>
        <v>649</v>
      </c>
      <c r="L15" s="630">
        <f t="shared" si="2"/>
        <v>12331</v>
      </c>
      <c r="M15" s="3258" t="s">
        <v>3014</v>
      </c>
      <c r="N15" s="3258" t="s">
        <v>4636</v>
      </c>
      <c r="O15" s="3258" t="s">
        <v>2311</v>
      </c>
      <c r="P15" s="3259" t="s">
        <v>3014</v>
      </c>
      <c r="Q15" s="3260">
        <f t="shared" si="3"/>
        <v>29520</v>
      </c>
      <c r="R15" s="3261">
        <f>IF(H15="","",IF(C15="Efficiency",Q15/($O$6*VLOOKUP(0,'DCA Underwriting Assumptions'!$J$143:$K$148,2,FALSE)),Q15/($O$6*VLOOKUP(C15,'DCA Underwriting Assumptions'!$J$143:$K$148,2,FALSE))))</f>
        <v>0.6000975768417629</v>
      </c>
      <c r="S15" s="3262"/>
      <c r="T15" s="3263"/>
      <c r="U15" s="3218"/>
      <c r="V15" s="3219"/>
      <c r="W15" s="152" t="str">
        <f t="shared" si="4"/>
        <v/>
      </c>
      <c r="X15" s="152" t="str">
        <f t="shared" si="5"/>
        <v/>
      </c>
      <c r="Y15" s="152" t="str">
        <f t="shared" si="6"/>
        <v/>
      </c>
      <c r="Z15" s="152">
        <f t="shared" si="7"/>
        <v>19</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21850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19</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19</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19</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19</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1784</v>
      </c>
      <c r="C16" s="3253"/>
      <c r="D16" s="3254"/>
      <c r="E16" s="3255"/>
      <c r="F16" s="3255"/>
      <c r="G16" s="3255"/>
      <c r="H16" s="3255"/>
      <c r="I16" s="3256">
        <f>IF(C16="",0,HLOOKUP(C16,'Part V-Utility Allowances'!$I$11:$M$21,11))</f>
        <v>0</v>
      </c>
      <c r="J16" s="3257"/>
      <c r="K16" s="630">
        <f t="shared" si="1"/>
        <v>0</v>
      </c>
      <c r="L16" s="630">
        <f t="shared" si="2"/>
        <v>0</v>
      </c>
      <c r="M16" s="3258"/>
      <c r="N16" s="3258"/>
      <c r="O16" s="3258"/>
      <c r="P16" s="3259"/>
      <c r="Q16" s="3260" t="str">
        <f t="shared" si="3"/>
        <v/>
      </c>
      <c r="R16" s="3261" t="str">
        <f>IF(H16="","",IF(C16="Efficiency",Q16/($O$6*VLOOKUP(0,'DCA Underwriting Assumptions'!$J$143:$K$148,2,FALSE)),Q16/($O$6*VLOOKUP(C16,'DCA Underwriting Assumptions'!$J$143:$K$148,2,FALSE))))</f>
        <v/>
      </c>
      <c r="S16" s="3262"/>
      <c r="T16" s="3263"/>
      <c r="U16" s="3218"/>
      <c r="V16" s="321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54</v>
      </c>
      <c r="F48" s="974">
        <f>(E10*F10+E11*F11+E12*F12+E13*F13+E14*F14+E15*F15+E16*F16+E17*F17+E18*F18+E19*F19+E20*F20+E21*F21+E22*F22+E23*F23+E24*F24+E25*F25+E26*F26+E27*F27+E28*F28+E29*F29+E30*F30+E31*F31+E32*F32+E33*F33+E34*F34+E35*F35+E36*F36+E37*F37+E38*F38+E39*F39+E40*F40+E41*F41+E42*F42+E43*F43+E44*F44+E45*F45+E46*F46+E47*F47)</f>
        <v>54900</v>
      </c>
      <c r="G48" s="603"/>
      <c r="H48" s="604"/>
      <c r="I48" s="604"/>
      <c r="J48" s="604"/>
      <c r="K48" s="977" t="s">
        <v>1314</v>
      </c>
      <c r="L48" s="127">
        <f>SUM(L10:L47)</f>
        <v>30718</v>
      </c>
      <c r="M48" s="97"/>
      <c r="N48" s="605"/>
      <c r="O48" s="97"/>
      <c r="P48" s="490"/>
      <c r="Q48" s="490"/>
      <c r="R48" s="490"/>
      <c r="S48" s="490"/>
      <c r="T48" s="490"/>
      <c r="U48" s="955"/>
      <c r="V48" s="606"/>
      <c r="W48" s="607">
        <f t="shared" ref="W48:CH48" si="259">SUM(W10:W47)</f>
        <v>0</v>
      </c>
      <c r="X48" s="607">
        <f t="shared" si="259"/>
        <v>4</v>
      </c>
      <c r="Y48" s="607">
        <f t="shared" si="259"/>
        <v>19</v>
      </c>
      <c r="Z48" s="607">
        <f t="shared" si="259"/>
        <v>19</v>
      </c>
      <c r="AA48" s="607">
        <f t="shared" si="259"/>
        <v>0</v>
      </c>
      <c r="AB48" s="607">
        <f t="shared" si="259"/>
        <v>0</v>
      </c>
      <c r="AC48" s="607">
        <f t="shared" si="259"/>
        <v>2</v>
      </c>
      <c r="AD48" s="607">
        <f t="shared" si="259"/>
        <v>5</v>
      </c>
      <c r="AE48" s="607">
        <f t="shared" si="259"/>
        <v>5</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3000</v>
      </c>
      <c r="CB48" s="607">
        <f t="shared" si="259"/>
        <v>18050</v>
      </c>
      <c r="CC48" s="607">
        <f t="shared" si="259"/>
        <v>21850</v>
      </c>
      <c r="CD48" s="607">
        <f t="shared" si="259"/>
        <v>0</v>
      </c>
      <c r="CE48" s="607">
        <f t="shared" si="259"/>
        <v>0</v>
      </c>
      <c r="CF48" s="607">
        <f t="shared" si="259"/>
        <v>1500</v>
      </c>
      <c r="CG48" s="607">
        <f t="shared" si="259"/>
        <v>4750</v>
      </c>
      <c r="CH48" s="607">
        <f t="shared" si="259"/>
        <v>5750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6</v>
      </c>
      <c r="DF48" s="607">
        <f t="shared" si="260"/>
        <v>24</v>
      </c>
      <c r="DG48" s="607">
        <f t="shared" si="260"/>
        <v>24</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6</v>
      </c>
      <c r="EY48" s="476">
        <f t="shared" si="261"/>
        <v>24</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6</v>
      </c>
      <c r="HV48" s="476">
        <f t="shared" si="262"/>
        <v>24</v>
      </c>
      <c r="HW48" s="476">
        <f t="shared" si="262"/>
        <v>24</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6</v>
      </c>
      <c r="JJ48" s="476">
        <f t="shared" si="262"/>
        <v>24</v>
      </c>
      <c r="JK48" s="476">
        <f t="shared" si="262"/>
        <v>24</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368616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19</v>
      </c>
      <c r="M56" s="1029">
        <f>Z48</f>
        <v>19</v>
      </c>
      <c r="N56" s="1029">
        <f>AA48</f>
        <v>0</v>
      </c>
      <c r="O56" s="1029">
        <f t="shared" ref="O56:O62" si="263">SUM(J56:N56)</f>
        <v>42</v>
      </c>
      <c r="P56" s="1868" t="s">
        <v>3695</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v>
      </c>
      <c r="L57" s="636">
        <f>AD48</f>
        <v>5</v>
      </c>
      <c r="M57" s="636">
        <f>AE48</f>
        <v>5</v>
      </c>
      <c r="N57" s="636">
        <f>AF48</f>
        <v>0</v>
      </c>
      <c r="O57" s="636">
        <f t="shared" si="263"/>
        <v>12</v>
      </c>
      <c r="P57" s="1868"/>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6</v>
      </c>
      <c r="L58" s="632">
        <f>SUM(L56:L57)</f>
        <v>24</v>
      </c>
      <c r="M58" s="632">
        <f>SUM(M56:M57)</f>
        <v>24</v>
      </c>
      <c r="N58" s="632">
        <f>SUM(N56:N57)</f>
        <v>0</v>
      </c>
      <c r="O58" s="632">
        <f t="shared" si="263"/>
        <v>54</v>
      </c>
      <c r="P58" s="1868"/>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6</v>
      </c>
      <c r="L60" s="632">
        <f>SUM(L58:L59)</f>
        <v>24</v>
      </c>
      <c r="M60" s="632">
        <f>SUM(M58:M59)</f>
        <v>24</v>
      </c>
      <c r="N60" s="632">
        <f>SUM(N58:N59)</f>
        <v>0</v>
      </c>
      <c r="O60" s="632">
        <f t="shared" si="263"/>
        <v>54</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3696</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6</v>
      </c>
      <c r="L62" s="634">
        <f>SUM(L60:L61)</f>
        <v>24</v>
      </c>
      <c r="M62" s="634">
        <f>SUM(M60:M61)</f>
        <v>24</v>
      </c>
      <c r="N62" s="634">
        <f>SUM(N60:N61)</f>
        <v>0</v>
      </c>
      <c r="O62" s="634">
        <f t="shared" si="263"/>
        <v>54</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6</v>
      </c>
      <c r="L72" s="632">
        <f>DF48</f>
        <v>24</v>
      </c>
      <c r="M72" s="632">
        <f>DG48</f>
        <v>24</v>
      </c>
      <c r="N72" s="632">
        <f>DH48</f>
        <v>0</v>
      </c>
      <c r="O72" s="632">
        <f t="shared" ref="O72:O82" si="264">SUM(J72:N72)</f>
        <v>54</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6</v>
      </c>
      <c r="L74" s="634">
        <f>SUM(L72:L73)+DP48</f>
        <v>24</v>
      </c>
      <c r="M74" s="634">
        <f>SUM(M72:M73)+DQ48</f>
        <v>24</v>
      </c>
      <c r="N74" s="634">
        <f>SUM(N72:N73)+DR48</f>
        <v>0</v>
      </c>
      <c r="O74" s="634">
        <f t="shared" si="264"/>
        <v>54</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4133</v>
      </c>
      <c r="D86" s="1861"/>
      <c r="E86" s="1263" t="s">
        <v>40</v>
      </c>
      <c r="F86" s="1059"/>
      <c r="G86" s="1264"/>
      <c r="H86" s="1265"/>
      <c r="I86" s="1266"/>
      <c r="J86" s="645">
        <f t="shared" ref="J86:O86" si="265">SUM(J87:J94)</f>
        <v>0</v>
      </c>
      <c r="K86" s="645">
        <f t="shared" si="265"/>
        <v>6</v>
      </c>
      <c r="L86" s="645">
        <f t="shared" si="265"/>
        <v>24</v>
      </c>
      <c r="M86" s="645">
        <f t="shared" si="265"/>
        <v>24</v>
      </c>
      <c r="N86" s="645">
        <f t="shared" si="265"/>
        <v>0</v>
      </c>
      <c r="O86" s="645">
        <f t="shared" si="265"/>
        <v>54</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6</v>
      </c>
      <c r="L93" s="1022">
        <f>HV48</f>
        <v>24</v>
      </c>
      <c r="M93" s="1022">
        <f>HW48</f>
        <v>24</v>
      </c>
      <c r="N93" s="1022">
        <f>HX48</f>
        <v>0</v>
      </c>
      <c r="O93" s="637">
        <f t="shared" si="266"/>
        <v>54</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4132</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6</v>
      </c>
      <c r="L110" s="1025">
        <f t="shared" si="271"/>
        <v>24</v>
      </c>
      <c r="M110" s="1025">
        <f t="shared" si="271"/>
        <v>24</v>
      </c>
      <c r="N110" s="1025">
        <f t="shared" si="271"/>
        <v>0</v>
      </c>
      <c r="O110" s="1025">
        <f t="shared" si="268"/>
        <v>54</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3000</v>
      </c>
      <c r="L113" s="1027">
        <f>CB48</f>
        <v>18050</v>
      </c>
      <c r="M113" s="1027">
        <f>CC48</f>
        <v>21850</v>
      </c>
      <c r="N113" s="1027">
        <f>CD48</f>
        <v>0</v>
      </c>
      <c r="O113" s="1027">
        <f t="shared" ref="O113:O119" si="272">SUM(J113:N113)</f>
        <v>42900</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1500</v>
      </c>
      <c r="L114" s="1028">
        <f>CG48</f>
        <v>4750</v>
      </c>
      <c r="M114" s="1028">
        <f>CH48</f>
        <v>5750</v>
      </c>
      <c r="N114" s="1028">
        <f>CI48</f>
        <v>0</v>
      </c>
      <c r="O114" s="1028">
        <f t="shared" si="272"/>
        <v>12000</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4500</v>
      </c>
      <c r="L115" s="641">
        <f>SUM(L113:L114)</f>
        <v>22800</v>
      </c>
      <c r="M115" s="641">
        <f>SUM(M113:M114)</f>
        <v>27600</v>
      </c>
      <c r="N115" s="641">
        <f>SUM(N113:N114)</f>
        <v>0</v>
      </c>
      <c r="O115" s="641">
        <f t="shared" si="272"/>
        <v>54900</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4500</v>
      </c>
      <c r="L117" s="641">
        <f>SUM(L115:L116)</f>
        <v>22800</v>
      </c>
      <c r="M117" s="641">
        <f>SUM(M115:M116)</f>
        <v>27600</v>
      </c>
      <c r="N117" s="641">
        <f>SUM(N115:N116)</f>
        <v>0</v>
      </c>
      <c r="O117" s="641">
        <f t="shared" si="272"/>
        <v>54900</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4500</v>
      </c>
      <c r="L119" s="643">
        <f>SUM(L117:L118)</f>
        <v>22800</v>
      </c>
      <c r="M119" s="643">
        <f>SUM(M117:M118)</f>
        <v>27600</v>
      </c>
      <c r="N119" s="643">
        <f>SUM(N117:N118)</f>
        <v>0</v>
      </c>
      <c r="O119" s="643">
        <f t="shared" si="272"/>
        <v>54900</v>
      </c>
      <c r="R119" s="3224"/>
      <c r="S119" s="3280"/>
      <c r="T119" s="3280"/>
      <c r="U119" s="3280"/>
      <c r="V119" s="3225"/>
      <c r="W119" s="490"/>
      <c r="Z119" s="490"/>
      <c r="AA119" s="490"/>
      <c r="AB119" s="604"/>
      <c r="AC119" s="604"/>
      <c r="AD119" s="604"/>
      <c r="AE119" s="604"/>
      <c r="AF119" s="604"/>
      <c r="AG119" s="604"/>
      <c r="AH119" s="488"/>
      <c r="AI119" s="97"/>
      <c r="IL119" s="477"/>
      <c r="JA119" s="464"/>
    </row>
    <row r="120" spans="1:263" ht="14.1"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7372.32</v>
      </c>
      <c r="I122" s="328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3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2">
        <v>27000</v>
      </c>
      <c r="G164" s="3293"/>
      <c r="H164" s="1"/>
      <c r="I164" s="1" t="s">
        <v>1390</v>
      </c>
      <c r="J164" s="1"/>
      <c r="K164" s="3292"/>
      <c r="L164" s="3293"/>
      <c r="M164" s="1"/>
      <c r="N164" s="1" t="s">
        <v>938</v>
      </c>
      <c r="O164" s="1"/>
      <c r="P164" s="3294">
        <v>29226</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19000</v>
      </c>
      <c r="G165" s="3293"/>
      <c r="H165" s="1"/>
      <c r="I165" s="1" t="s">
        <v>1391</v>
      </c>
      <c r="J165" s="1"/>
      <c r="K165" s="3292">
        <v>600</v>
      </c>
      <c r="L165" s="3293"/>
      <c r="M165" s="1"/>
      <c r="N165" s="1" t="s">
        <v>148</v>
      </c>
      <c r="O165" s="1"/>
      <c r="P165" s="3294">
        <v>18349.05</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v>6001.9499999999971</v>
      </c>
      <c r="G166" s="3293"/>
      <c r="H166" s="1"/>
      <c r="I166" s="1"/>
      <c r="J166" s="126" t="s">
        <v>193</v>
      </c>
      <c r="K166" s="1858">
        <f>SUM(K164:L165)</f>
        <v>600</v>
      </c>
      <c r="L166" s="1859"/>
      <c r="M166" s="1"/>
      <c r="N166" s="3295" t="s">
        <v>52</v>
      </c>
      <c r="O166" s="3296"/>
      <c r="P166" s="3297"/>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52</v>
      </c>
      <c r="C167" s="3299"/>
      <c r="D167" s="3299"/>
      <c r="E167" s="3300"/>
      <c r="F167" s="3301"/>
      <c r="G167" s="3302"/>
      <c r="H167" s="1"/>
      <c r="I167" s="1"/>
      <c r="J167" s="1"/>
      <c r="K167" s="1"/>
      <c r="L167" s="1"/>
      <c r="M167" s="1"/>
      <c r="N167" s="12" t="s">
        <v>193</v>
      </c>
      <c r="O167" s="1"/>
      <c r="P167" s="419">
        <f>SUM(P164:P166)</f>
        <v>47575.05</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52001.95</v>
      </c>
      <c r="G168" s="1859"/>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3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17483</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5500</v>
      </c>
      <c r="G171" s="3293"/>
      <c r="H171" s="1"/>
      <c r="I171" s="1" t="s">
        <v>1614</v>
      </c>
      <c r="J171" s="1"/>
      <c r="K171" s="3303">
        <v>4000</v>
      </c>
      <c r="L171" s="3304"/>
      <c r="M171" s="1"/>
      <c r="N171" s="408">
        <f>+P170/(O62*0.93)</f>
        <v>348.12823576264435</v>
      </c>
      <c r="O171" s="69" t="s">
        <v>2774</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3750</v>
      </c>
      <c r="G172" s="3293"/>
      <c r="H172" s="1"/>
      <c r="I172" s="1" t="s">
        <v>2065</v>
      </c>
      <c r="J172" s="1"/>
      <c r="K172" s="3305">
        <v>7500</v>
      </c>
      <c r="L172" s="3306"/>
      <c r="M172" s="1"/>
      <c r="N172" s="408">
        <f>+P170/(O62*0.93)/12</f>
        <v>29.010686313553695</v>
      </c>
      <c r="O172" s="69" t="s">
        <v>2775</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2750</v>
      </c>
      <c r="G173" s="3293"/>
      <c r="H173" s="1"/>
      <c r="I173" s="1" t="s">
        <v>1615</v>
      </c>
      <c r="J173" s="1"/>
      <c r="K173" s="3305">
        <v>4000</v>
      </c>
      <c r="L173" s="3306"/>
      <c r="M173" s="1"/>
      <c r="N173" s="37" t="s">
        <v>3757</v>
      </c>
      <c r="O173" s="1041"/>
      <c r="P173" s="1041"/>
      <c r="Q173" s="1602"/>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2"/>
      <c r="G174" s="3293"/>
      <c r="H174" s="1"/>
      <c r="I174" s="3295" t="s">
        <v>4671</v>
      </c>
      <c r="J174" s="3296"/>
      <c r="K174" s="3303">
        <v>8100</v>
      </c>
      <c r="L174" s="3304"/>
      <c r="M174" s="1"/>
      <c r="N174" s="1041"/>
      <c r="O174" s="1041"/>
      <c r="P174" s="1041"/>
      <c r="Q174" s="1602"/>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8500</v>
      </c>
      <c r="G175" s="3293"/>
      <c r="H175" s="1"/>
      <c r="I175" s="10"/>
      <c r="J175" s="12" t="s">
        <v>193</v>
      </c>
      <c r="K175" s="1850">
        <f>SUM(K171:K174)</f>
        <v>23600</v>
      </c>
      <c r="L175" s="1851"/>
      <c r="M175" s="1860" t="str">
        <f>IF(P177="","",IF(P175&lt;P177, "WARNING! OE below required minimum.",""))</f>
        <v/>
      </c>
      <c r="N175" s="10" t="s">
        <v>2202</v>
      </c>
      <c r="O175" s="5"/>
      <c r="P175" s="417">
        <f>F168+F177+F188+K166+K175+K185+P167+P170</f>
        <v>245160</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4666</v>
      </c>
      <c r="C176" s="3299"/>
      <c r="D176" s="3299"/>
      <c r="E176" s="3300"/>
      <c r="F176" s="3301">
        <v>1500</v>
      </c>
      <c r="G176" s="3302"/>
      <c r="H176" s="1"/>
      <c r="I176" s="1"/>
      <c r="J176" s="13"/>
      <c r="K176" s="1"/>
      <c r="L176" s="1"/>
      <c r="M176" s="1860"/>
      <c r="N176" s="69" t="s">
        <v>2776</v>
      </c>
      <c r="O176" s="408">
        <f>+P175/O62</f>
        <v>4540</v>
      </c>
      <c r="Q176" s="926"/>
      <c r="R176" s="3218"/>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22000</v>
      </c>
      <c r="G177" s="1859"/>
      <c r="H177" s="1"/>
      <c r="I177" s="1"/>
      <c r="J177" s="13"/>
      <c r="K177" s="1"/>
      <c r="L177" s="1"/>
      <c r="M177" s="1860"/>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216000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3307">
        <f>P188</f>
        <v>13500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8">
        <v>6500</v>
      </c>
      <c r="G180" s="3309"/>
      <c r="H180" s="1"/>
      <c r="I180" s="1" t="s">
        <v>1380</v>
      </c>
      <c r="J180" s="481">
        <f>K180/12/O62</f>
        <v>7.4074074074074074</v>
      </c>
      <c r="K180" s="3305">
        <v>4800</v>
      </c>
      <c r="L180" s="3306"/>
      <c r="M180" s="1854" t="str">
        <f>IF(P179&lt;P188, "WARNING! RR proposed is below the DCA required minimum.","")</f>
        <v/>
      </c>
      <c r="N180" s="1064" t="s">
        <v>3766</v>
      </c>
      <c r="O180" s="1059"/>
      <c r="P180" s="1065">
        <f>P179/O188</f>
        <v>250</v>
      </c>
      <c r="Q180" s="3310"/>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8">
        <v>10000</v>
      </c>
      <c r="G181" s="3309"/>
      <c r="H181" s="1"/>
      <c r="I181" s="1" t="s">
        <v>1381</v>
      </c>
      <c r="J181" s="481">
        <f>K181/12/O62</f>
        <v>0</v>
      </c>
      <c r="K181" s="3305"/>
      <c r="L181" s="3306"/>
      <c r="M181" s="1854"/>
      <c r="N181" s="1855" t="s">
        <v>3765</v>
      </c>
      <c r="O181" s="1856"/>
      <c r="P181" s="1857"/>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8">
        <v>10000</v>
      </c>
      <c r="G182" s="3309"/>
      <c r="H182" s="1"/>
      <c r="I182" s="1" t="s">
        <v>2368</v>
      </c>
      <c r="J182" s="481">
        <f>K182/12/O62</f>
        <v>33.333333333333336</v>
      </c>
      <c r="K182" s="3305">
        <v>21600</v>
      </c>
      <c r="L182" s="3306"/>
      <c r="M182" s="1854"/>
      <c r="N182" s="1058" t="s">
        <v>2732</v>
      </c>
      <c r="O182" s="922" t="s">
        <v>3878</v>
      </c>
      <c r="P182" s="1060" t="s">
        <v>3460</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6500</v>
      </c>
      <c r="G183" s="3293"/>
      <c r="H183" s="1"/>
      <c r="I183" s="1" t="s">
        <v>1383</v>
      </c>
      <c r="J183" s="1"/>
      <c r="K183" s="3305">
        <v>10500</v>
      </c>
      <c r="L183" s="3306"/>
      <c r="M183" s="1854"/>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6000</v>
      </c>
      <c r="G184" s="3293"/>
      <c r="H184" s="1"/>
      <c r="I184" s="3295" t="s">
        <v>52</v>
      </c>
      <c r="J184" s="3296"/>
      <c r="K184" s="3303"/>
      <c r="L184" s="3304"/>
      <c r="M184" s="1854"/>
      <c r="N184" s="516" t="s">
        <v>3452</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c r="G185" s="3293"/>
      <c r="H185" s="1"/>
      <c r="I185" s="1"/>
      <c r="J185" s="12" t="s">
        <v>193</v>
      </c>
      <c r="K185" s="1850">
        <f>SUM(K180:K184)</f>
        <v>36900</v>
      </c>
      <c r="L185" s="1851"/>
      <c r="M185" s="1854"/>
      <c r="N185" s="516" t="s">
        <v>3451</v>
      </c>
      <c r="O185" s="929" t="str">
        <f>CONCATENATE(SUM(JH48:JL48)," units x $",'DCA Underwriting Assumptions'!$Q$66," =")</f>
        <v>54 units x $250 =</v>
      </c>
      <c r="P185" s="675">
        <f>SUM(JH48:JL48)*'DCA Underwriting Assumptions'!$Q$66</f>
        <v>13500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6000</v>
      </c>
      <c r="G186" s="3293"/>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3450</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45000</v>
      </c>
      <c r="G188" s="1853"/>
      <c r="H188" s="1"/>
      <c r="I188" s="1"/>
      <c r="J188" s="13"/>
      <c r="K188" s="1"/>
      <c r="L188" s="1"/>
      <c r="M188" s="1"/>
      <c r="N188" s="1061" t="s">
        <v>2735</v>
      </c>
      <c r="O188" s="1062">
        <f>SUM(JC48:JG48)+SUM(JH48:JL48)+SUM(JM48:JQ48)+O84</f>
        <v>54</v>
      </c>
      <c r="P188" s="1063">
        <f>SUM(P184:P187)</f>
        <v>13500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258660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409.5" customHeight="1">
      <c r="A193" s="3311" t="s">
        <v>4694</v>
      </c>
      <c r="B193" s="3311"/>
      <c r="C193" s="3311"/>
      <c r="D193" s="3311"/>
      <c r="E193" s="3311"/>
      <c r="F193" s="3311"/>
      <c r="G193" s="3311"/>
      <c r="H193" s="3311"/>
      <c r="I193" s="3311"/>
      <c r="J193" s="3311"/>
      <c r="K193" s="3311"/>
      <c r="L193" s="3311"/>
      <c r="M193" s="3312"/>
      <c r="N193" s="3312"/>
      <c r="O193" s="3312"/>
      <c r="P193" s="3312"/>
      <c r="Q193" s="1847" t="s">
        <v>4155</v>
      </c>
      <c r="R193" s="1619"/>
      <c r="S193" s="1619"/>
      <c r="T193" s="1619"/>
    </row>
    <row r="194" spans="1:296" ht="11.25" customHeight="1"/>
    <row r="195" spans="1:296" ht="12" customHeight="1"/>
    <row r="196" spans="1:296" ht="12" customHeight="1"/>
    <row r="197" spans="1:296" ht="14.1" customHeight="1"/>
    <row r="198" spans="1:296" s="93" customFormat="1" ht="14.1"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4.1"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4.1"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4.1"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4.1"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4.1"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4.1"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4.1" customHeight="1"/>
    <row r="206" spans="1:296" ht="14.1" customHeight="1"/>
    <row r="207" spans="1:296" ht="14.1" customHeight="1"/>
    <row r="208" spans="1:296" ht="14.1" customHeight="1"/>
    <row r="209" spans="1:296" s="93" customFormat="1" ht="14.1"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4.1"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4.1"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4.1"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4.1"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4.1" customHeight="1"/>
    <row r="215" spans="1:296" ht="14.1" customHeight="1">
      <c r="A215" s="14"/>
    </row>
    <row r="216" spans="1:296" ht="14.1" customHeight="1"/>
    <row r="217" spans="1:296" ht="14.1" customHeight="1"/>
    <row r="218" spans="1:296" ht="14.1" customHeight="1"/>
    <row r="219" spans="1:296" ht="14.1" customHeight="1"/>
    <row r="220" spans="1:296" ht="14.1" customHeight="1"/>
    <row r="221" spans="1:296" s="93" customFormat="1" ht="14.1"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4.1"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4.1"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4.1"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4.1"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4.1" customHeight="1"/>
    <row r="227" spans="1:296" ht="14.1" customHeight="1">
      <c r="A227" s="14"/>
    </row>
    <row r="228" spans="1:296" ht="14.1" customHeight="1"/>
    <row r="229" spans="1:296" ht="14.1" customHeight="1"/>
    <row r="230" spans="1:296" ht="14.1" customHeight="1"/>
    <row r="231" spans="1:296" ht="14.1" customHeight="1"/>
    <row r="232" spans="1:296" ht="14.1" customHeight="1"/>
    <row r="233" spans="1:296" ht="14.1" customHeight="1"/>
    <row r="234" spans="1:296" ht="14.1" customHeight="1"/>
    <row r="235" spans="1:296" ht="14.1" customHeight="1"/>
    <row r="236" spans="1:296" ht="14.1" customHeight="1"/>
  </sheetData>
  <sheetProtection algorithmName="SHA-512" hashValue="/A22ZZLqfRKoGs4hP46BcNSngsKRKfMn4Qxl862HtRKUPxP+IWAQtNtSfePT2UR6c9z52LfcQmSCQ6dh16Izxw==" saltValue="f6dsuu3KFi1LqaIA0aUB1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32" zoomScaleNormal="100" workbookViewId="0">
      <selection sqref="A1:XFD1048576"/>
    </sheetView>
  </sheetViews>
  <sheetFormatPr defaultColWidth="8.85546875" defaultRowHeight="12.75"/>
  <cols>
    <col min="1" max="1" width="22.42578125" style="8" customWidth="1"/>
    <col min="2" max="11" width="12" style="8" customWidth="1"/>
    <col min="12" max="13" width="2.42578125" style="8" customWidth="1"/>
    <col min="14" max="14" width="19.140625" style="8" customWidth="1"/>
    <col min="15" max="15" width="83" style="8" customWidth="1"/>
    <col min="16" max="16" width="8.85546875" style="8"/>
    <col min="17" max="17" width="5.42578125" style="8" customWidth="1"/>
    <col min="18" max="18" width="12.140625" style="8" customWidth="1"/>
    <col min="19" max="19" width="12.42578125" style="8" customWidth="1"/>
    <col min="20" max="16384" width="8.85546875" style="8"/>
  </cols>
  <sheetData>
    <row r="1" spans="1:19" s="17" customFormat="1" ht="14.1" customHeight="1">
      <c r="A1" s="1889" t="str">
        <f>CONCATENATE("PART SEVEN - OPERATING PRO FORMA","  -  ",'Part I-Project Information'!$O$6," ",'Part I-Project Information'!$F$34,", ",'Part I-Project Information'!F38,", ",'Part I-Project Information'!J39," County")</f>
        <v>PART SEVEN - OPERATING PRO FORMA  -  2018-041 Pointe North Village III, Albany, Dougherty County</v>
      </c>
      <c r="B1" s="3213"/>
      <c r="C1" s="3213"/>
      <c r="D1" s="3213"/>
      <c r="E1" s="3213"/>
      <c r="F1" s="3213"/>
      <c r="G1" s="3213"/>
      <c r="H1" s="3213"/>
      <c r="I1" s="3213"/>
      <c r="J1" s="3213"/>
      <c r="K1" s="3214"/>
      <c r="L1" s="10"/>
      <c r="M1" s="10"/>
      <c r="N1" s="1890" t="str">
        <f>A1</f>
        <v>PART SEVEN - OPERATING PRO FORMA  -  2018-041 Pointe North Village III, Albany, Dougherty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2204</v>
      </c>
      <c r="B5" s="80">
        <v>0.02</v>
      </c>
      <c r="C5" s="17"/>
      <c r="D5" s="1862" t="s">
        <v>4234</v>
      </c>
      <c r="E5" s="1862"/>
      <c r="F5" s="1862"/>
      <c r="G5" s="3215">
        <v>2000</v>
      </c>
      <c r="H5" s="99" t="s">
        <v>1922</v>
      </c>
      <c r="K5" s="104">
        <f>IF(($B$14+$B$15+$B$16+$B$17)=0,"",B28/($B$14+$B$15+$B$16+$B$17))</f>
        <v>-5.7196926606885076E-3</v>
      </c>
      <c r="N5" s="3216"/>
      <c r="O5" s="3217"/>
    </row>
    <row r="6" spans="1:19">
      <c r="A6" s="17" t="s">
        <v>2205</v>
      </c>
      <c r="B6" s="80">
        <v>0.03</v>
      </c>
      <c r="C6" s="17"/>
      <c r="D6" s="1862"/>
      <c r="E6" s="1862"/>
      <c r="F6" s="1862"/>
      <c r="G6" s="1364">
        <f>IF(OR('Part III-Sources of Funds'!B11="Yes",'Part III-Sources of Funds'!E11&gt;0),'DCA Underwriting Assumptions'!$Q$95,0)</f>
        <v>0</v>
      </c>
      <c r="H6" s="17"/>
      <c r="I6" s="17"/>
      <c r="J6" s="17"/>
      <c r="K6" s="17"/>
      <c r="N6" s="3218"/>
      <c r="O6" s="3219"/>
    </row>
    <row r="7" spans="1:19">
      <c r="A7" s="17" t="s">
        <v>2207</v>
      </c>
      <c r="B7" s="80">
        <v>0.03</v>
      </c>
      <c r="C7" s="17"/>
      <c r="D7" s="82" t="s">
        <v>272</v>
      </c>
      <c r="G7" s="84"/>
      <c r="H7" s="99" t="s">
        <v>2390</v>
      </c>
      <c r="K7" s="104">
        <f>IF(($B$14+$B$15+$B$16+$B$17)=0,"",-B20/($B$14+$B$15+$B$16+$B$17))</f>
        <v>4.9998693393408587E-2</v>
      </c>
      <c r="N7" s="3218"/>
      <c r="O7" s="3219"/>
    </row>
    <row r="8" spans="1:19" ht="13.35" customHeight="1">
      <c r="A8" s="17" t="s">
        <v>2206</v>
      </c>
      <c r="B8" s="3220">
        <v>7.0000000000000007E-2</v>
      </c>
      <c r="C8" s="17"/>
      <c r="D8" s="81" t="s">
        <v>2525</v>
      </c>
      <c r="G8" s="3221"/>
      <c r="H8" s="169" t="s">
        <v>1456</v>
      </c>
      <c r="K8" s="3222"/>
      <c r="N8" s="3218"/>
      <c r="O8" s="3219"/>
    </row>
    <row r="9" spans="1:19">
      <c r="A9" s="17" t="s">
        <v>1430</v>
      </c>
      <c r="B9" s="80">
        <v>0.02</v>
      </c>
      <c r="D9" s="81" t="s">
        <v>1731</v>
      </c>
      <c r="G9" s="3221" t="s">
        <v>3011</v>
      </c>
      <c r="H9" s="169" t="s">
        <v>2372</v>
      </c>
      <c r="K9" s="3223">
        <v>0.05</v>
      </c>
      <c r="N9" s="3224"/>
      <c r="O9" s="322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35" customHeight="1">
      <c r="A14" s="19" t="s">
        <v>2420</v>
      </c>
      <c r="B14" s="20">
        <f>'Part VI-Revenues &amp; Expenses'!$L$49</f>
        <v>368616</v>
      </c>
      <c r="C14" s="20">
        <f t="shared" ref="C14:K14" si="1">$B$14*(1+$B$5)^(C13-1)</f>
        <v>375988.32</v>
      </c>
      <c r="D14" s="20">
        <f t="shared" si="1"/>
        <v>383508.08639999997</v>
      </c>
      <c r="E14" s="20">
        <f t="shared" si="1"/>
        <v>391178.24812799995</v>
      </c>
      <c r="F14" s="20">
        <f t="shared" si="1"/>
        <v>399001.81309055997</v>
      </c>
      <c r="G14" s="20">
        <f t="shared" si="1"/>
        <v>406981.84935237118</v>
      </c>
      <c r="H14" s="20">
        <f t="shared" si="1"/>
        <v>415121.48633941862</v>
      </c>
      <c r="I14" s="20">
        <f t="shared" si="1"/>
        <v>423423.91606620693</v>
      </c>
      <c r="J14" s="20">
        <f t="shared" si="1"/>
        <v>431892.39438753109</v>
      </c>
      <c r="K14" s="21">
        <f t="shared" si="1"/>
        <v>440530.24227528175</v>
      </c>
      <c r="N14" s="3216"/>
      <c r="O14" s="3217"/>
      <c r="S14" s="1885" t="s">
        <v>4239</v>
      </c>
    </row>
    <row r="15" spans="1:19" ht="13.35" customHeight="1">
      <c r="A15" s="22" t="s">
        <v>1026</v>
      </c>
      <c r="B15" s="23">
        <f>MIN(B14*B9,'Part VI-Revenues &amp; Expenses'!$H$122)</f>
        <v>7372.32</v>
      </c>
      <c r="C15" s="23">
        <f t="shared" ref="C15:K15" si="2">$B$15*(1+$B$5)^(C13-1)</f>
        <v>7519.7663999999995</v>
      </c>
      <c r="D15" s="23">
        <f t="shared" si="2"/>
        <v>7670.161728</v>
      </c>
      <c r="E15" s="23">
        <f t="shared" si="2"/>
        <v>7823.564962559999</v>
      </c>
      <c r="F15" s="23">
        <f t="shared" si="2"/>
        <v>7980.0362618111994</v>
      </c>
      <c r="G15" s="23">
        <f t="shared" si="2"/>
        <v>8139.6369870474236</v>
      </c>
      <c r="H15" s="23">
        <f t="shared" si="2"/>
        <v>8302.4297267883721</v>
      </c>
      <c r="I15" s="23">
        <f t="shared" si="2"/>
        <v>8468.478321324139</v>
      </c>
      <c r="J15" s="23">
        <f t="shared" si="2"/>
        <v>8637.8478877506222</v>
      </c>
      <c r="K15" s="24">
        <f t="shared" si="2"/>
        <v>8810.6048455056334</v>
      </c>
      <c r="N15" s="3218"/>
      <c r="O15" s="3219"/>
      <c r="S15" s="1886"/>
    </row>
    <row r="16" spans="1:19" ht="13.35" customHeight="1">
      <c r="A16" s="22" t="s">
        <v>2421</v>
      </c>
      <c r="B16" s="23">
        <f t="shared" ref="B16:K16" si="3">-(B14+B15)*$B$8</f>
        <v>-26319.182400000002</v>
      </c>
      <c r="C16" s="23">
        <f t="shared" si="3"/>
        <v>-26845.566048000004</v>
      </c>
      <c r="D16" s="23">
        <f t="shared" si="3"/>
        <v>-27382.477368960001</v>
      </c>
      <c r="E16" s="23">
        <f t="shared" si="3"/>
        <v>-27930.126916339199</v>
      </c>
      <c r="F16" s="23">
        <f t="shared" si="3"/>
        <v>-28488.729454665987</v>
      </c>
      <c r="G16" s="23">
        <f t="shared" si="3"/>
        <v>-29058.504043759305</v>
      </c>
      <c r="H16" s="23">
        <f t="shared" si="3"/>
        <v>-29639.674124634494</v>
      </c>
      <c r="I16" s="23">
        <f t="shared" si="3"/>
        <v>-30232.467607127179</v>
      </c>
      <c r="J16" s="23">
        <f t="shared" si="3"/>
        <v>-30837.116959269722</v>
      </c>
      <c r="K16" s="24">
        <f t="shared" si="3"/>
        <v>-31453.859298455118</v>
      </c>
      <c r="N16" s="3218"/>
      <c r="O16" s="3219"/>
      <c r="Q16" s="1888" t="s">
        <v>3914</v>
      </c>
      <c r="R16" s="1888" t="s">
        <v>4238</v>
      </c>
      <c r="S16" s="1886"/>
    </row>
    <row r="17" spans="1:19" ht="13.3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3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35" customHeight="1">
      <c r="A19" s="22" t="s">
        <v>620</v>
      </c>
      <c r="B19" s="23">
        <f>-('Part VI-Revenues &amp; Expenses'!$P$175-'Part VI-Revenues &amp; Expenses'!$P$170)</f>
        <v>-227677</v>
      </c>
      <c r="C19" s="23">
        <f t="shared" ref="C19:K19" si="4">$B$19*(1+$B$6)^(C13-1)</f>
        <v>-234507.31</v>
      </c>
      <c r="D19" s="23">
        <f t="shared" si="4"/>
        <v>-241542.52929999999</v>
      </c>
      <c r="E19" s="23">
        <f t="shared" si="4"/>
        <v>-248788.80517899999</v>
      </c>
      <c r="F19" s="23">
        <f t="shared" si="4"/>
        <v>-256252.46933436999</v>
      </c>
      <c r="G19" s="23">
        <f t="shared" si="4"/>
        <v>-263940.04341440107</v>
      </c>
      <c r="H19" s="23">
        <f t="shared" si="4"/>
        <v>-271858.24471683311</v>
      </c>
      <c r="I19" s="23">
        <f t="shared" si="4"/>
        <v>-280013.99205833813</v>
      </c>
      <c r="J19" s="23">
        <f t="shared" si="4"/>
        <v>-288414.41182008822</v>
      </c>
      <c r="K19" s="24">
        <f t="shared" si="4"/>
        <v>-297066.84417469089</v>
      </c>
      <c r="N19" s="3218"/>
      <c r="O19" s="3219"/>
      <c r="Q19" s="63">
        <v>1</v>
      </c>
      <c r="R19" s="1197">
        <f>-B29</f>
        <v>944</v>
      </c>
      <c r="S19" s="1197">
        <f>B30+R19</f>
        <v>27951.366530579719</v>
      </c>
    </row>
    <row r="20" spans="1:19" ht="13.35" customHeight="1">
      <c r="A20" s="22" t="s">
        <v>1125</v>
      </c>
      <c r="B20" s="23">
        <f>IF(AND('Part VII-Pro Forma'!$G$8="Yes",'Part VII-Pro Forma'!$G$9="Yes"),"Choose One!",IF('Part VII-Pro Forma'!$G$8="Yes",ROUND((-$K$8*(1+'Part VII-Pro Forma'!$B$6)^('Part VII-Pro Forma'!B13-1)),),IF('Part VII-Pro Forma'!$G$9="Yes",ROUND((-(SUM(B14:B17)*'Part VII-Pro Forma'!$K$9)),),"Choose mgt fee")))</f>
        <v>-17483</v>
      </c>
      <c r="C20" s="23">
        <f>IF(AND('Part VII-Pro Forma'!$G$8="Yes",'Part VII-Pro Forma'!$G$9="Yes"),"Choose One!",IF('Part VII-Pro Forma'!$G$8="Yes",ROUND((-$K$8*(1+'Part VII-Pro Forma'!$B$6)^('Part VII-Pro Forma'!C13-1)),),IF('Part VII-Pro Forma'!$G$9="Yes",ROUND((-(SUM(C14:C17)*'Part VII-Pro Forma'!$K$9)),),"Choose mgt fee")))</f>
        <v>-17833</v>
      </c>
      <c r="D20" s="23">
        <f>IF(AND('Part VII-Pro Forma'!$G$8="Yes",'Part VII-Pro Forma'!$G$9="Yes"),"Choose One!",IF('Part VII-Pro Forma'!$G$8="Yes",ROUND((-$K$8*(1+'Part VII-Pro Forma'!$B$6)^('Part VII-Pro Forma'!D13-1)),),IF('Part VII-Pro Forma'!$G$9="Yes",ROUND((-(SUM(D14:D17)*'Part VII-Pro Forma'!$K$9)),),"Choose mgt fee")))</f>
        <v>-18190</v>
      </c>
      <c r="E20" s="23">
        <f>IF(AND('Part VII-Pro Forma'!$G$8="Yes",'Part VII-Pro Forma'!$G$9="Yes"),"Choose One!",IF('Part VII-Pro Forma'!$G$8="Yes",ROUND((-$K$8*(1+'Part VII-Pro Forma'!$B$6)^('Part VII-Pro Forma'!E13-1)),),IF('Part VII-Pro Forma'!$G$9="Yes",ROUND((-(SUM(E14:E17)*'Part VII-Pro Forma'!$K$9)),),"Choose mgt fee")))</f>
        <v>-18554</v>
      </c>
      <c r="F20" s="23">
        <f>IF(AND('Part VII-Pro Forma'!$G$8="Yes",'Part VII-Pro Forma'!$G$9="Yes"),"Choose One!",IF('Part VII-Pro Forma'!$G$8="Yes",ROUND((-$K$8*(1+'Part VII-Pro Forma'!$B$6)^('Part VII-Pro Forma'!F13-1)),),IF('Part VII-Pro Forma'!$G$9="Yes",ROUND((-(SUM(F14:F17)*'Part VII-Pro Forma'!$K$9)),),"Choose mgt fee")))</f>
        <v>-18925</v>
      </c>
      <c r="G20" s="23">
        <f>IF(AND('Part VII-Pro Forma'!$G$8="Yes",'Part VII-Pro Forma'!$G$9="Yes"),"Choose One!",IF('Part VII-Pro Forma'!$G$8="Yes",ROUND((-$K$8*(1+'Part VII-Pro Forma'!$B$6)^('Part VII-Pro Forma'!G13-1)),),IF('Part VII-Pro Forma'!$G$9="Yes",ROUND((-(SUM(G14:G17)*'Part VII-Pro Forma'!$K$9)),),"Choose mgt fee")))</f>
        <v>-19303</v>
      </c>
      <c r="H20" s="23">
        <f>IF(AND('Part VII-Pro Forma'!$G$8="Yes",'Part VII-Pro Forma'!$G$9="Yes"),"Choose One!",IF('Part VII-Pro Forma'!$G$8="Yes",ROUND((-$K$8*(1+'Part VII-Pro Forma'!$B$6)^('Part VII-Pro Forma'!H13-1)),),IF('Part VII-Pro Forma'!$G$9="Yes",ROUND((-(SUM(H14:H17)*'Part VII-Pro Forma'!$K$9)),),"Choose mgt fee")))</f>
        <v>-19689</v>
      </c>
      <c r="I20" s="23">
        <f>IF(AND('Part VII-Pro Forma'!$G$8="Yes",'Part VII-Pro Forma'!$G$9="Yes"),"Choose One!",IF('Part VII-Pro Forma'!$G$8="Yes",ROUND((-$K$8*(1+'Part VII-Pro Forma'!$B$6)^('Part VII-Pro Forma'!I13-1)),),IF('Part VII-Pro Forma'!$G$9="Yes",ROUND((-(SUM(I14:I17)*'Part VII-Pro Forma'!$K$9)),),"Choose mgt fee")))</f>
        <v>-20083</v>
      </c>
      <c r="J20" s="23">
        <f>IF(AND('Part VII-Pro Forma'!$G$8="Yes",'Part VII-Pro Forma'!$G$9="Yes"),"Choose One!",IF('Part VII-Pro Forma'!$G$8="Yes",ROUND((-$K$8*(1+'Part VII-Pro Forma'!$B$6)^('Part VII-Pro Forma'!J13-1)),),IF('Part VII-Pro Forma'!$G$9="Yes",ROUND((-(SUM(J14:J17)*'Part VII-Pro Forma'!$K$9)),),"Choose mgt fee")))</f>
        <v>-20485</v>
      </c>
      <c r="K20" s="23">
        <f>IF(AND('Part VII-Pro Forma'!$G$8="Yes",'Part VII-Pro Forma'!$G$9="Yes"),"Choose One!",IF('Part VII-Pro Forma'!$G$8="Yes",ROUND((-$K$8*(1+'Part VII-Pro Forma'!$B$6)^('Part VII-Pro Forma'!K13-1)),),IF('Part VII-Pro Forma'!$G$9="Yes",ROUND((-(SUM(K14:K17)*'Part VII-Pro Forma'!$K$9)),),"Choose mgt fee")))</f>
        <v>-20894</v>
      </c>
      <c r="N20" s="3218"/>
      <c r="O20" s="3219"/>
      <c r="Q20" s="63">
        <v>2</v>
      </c>
      <c r="R20" s="1197">
        <f>-SUM($B$29:$C$29)</f>
        <v>944</v>
      </c>
      <c r="S20" s="1197">
        <f>SUM($B$30:$C$30)+R20</f>
        <v>55310.805813159444</v>
      </c>
    </row>
    <row r="21" spans="1:19" ht="13.35" customHeight="1">
      <c r="A21" s="22" t="s">
        <v>1214</v>
      </c>
      <c r="B21" s="23">
        <f>-('Part VI-Revenues &amp; Expenses'!$P$179)</f>
        <v>-13500</v>
      </c>
      <c r="C21" s="23">
        <f t="shared" ref="C21:K21" si="5">$B$21*(1+$B$7)^(C13-1)</f>
        <v>-13905</v>
      </c>
      <c r="D21" s="23">
        <f t="shared" si="5"/>
        <v>-14322.15</v>
      </c>
      <c r="E21" s="23">
        <f t="shared" si="5"/>
        <v>-14751.8145</v>
      </c>
      <c r="F21" s="23">
        <f t="shared" si="5"/>
        <v>-15194.368934999999</v>
      </c>
      <c r="G21" s="23">
        <f t="shared" si="5"/>
        <v>-15650.200003049998</v>
      </c>
      <c r="H21" s="23">
        <f t="shared" si="5"/>
        <v>-16119.706003141499</v>
      </c>
      <c r="I21" s="23">
        <f t="shared" si="5"/>
        <v>-16603.297183235743</v>
      </c>
      <c r="J21" s="23">
        <f t="shared" si="5"/>
        <v>-17101.396098732814</v>
      </c>
      <c r="K21" s="24">
        <f t="shared" si="5"/>
        <v>-17614.437981694799</v>
      </c>
      <c r="N21" s="3218"/>
      <c r="O21" s="3219"/>
      <c r="Q21" s="63">
        <v>3</v>
      </c>
      <c r="R21" s="1197">
        <f>-SUM($B$29:$D$29)</f>
        <v>944</v>
      </c>
      <c r="S21" s="1197">
        <f>SUM($B$30:$D$30)+R21</f>
        <v>81994.126202779124</v>
      </c>
    </row>
    <row r="22" spans="1:19" ht="13.35" customHeight="1">
      <c r="A22" s="22" t="s">
        <v>1215</v>
      </c>
      <c r="B22" s="23">
        <f t="shared" ref="B22:K22" si="6">SUM(B14:B21)</f>
        <v>91009.137600000016</v>
      </c>
      <c r="C22" s="23">
        <f t="shared" si="6"/>
        <v>90417.210352000024</v>
      </c>
      <c r="D22" s="23">
        <f t="shared" si="6"/>
        <v>89741.091459039977</v>
      </c>
      <c r="E22" s="23">
        <f t="shared" si="6"/>
        <v>88977.066495220759</v>
      </c>
      <c r="F22" s="23">
        <f t="shared" si="6"/>
        <v>88121.281628335215</v>
      </c>
      <c r="G22" s="23">
        <f t="shared" si="6"/>
        <v>87169.738878208242</v>
      </c>
      <c r="H22" s="23">
        <f t="shared" si="6"/>
        <v>86117.291221597901</v>
      </c>
      <c r="I22" s="23">
        <f t="shared" si="6"/>
        <v>84959.637538830066</v>
      </c>
      <c r="J22" s="23">
        <f t="shared" si="6"/>
        <v>83692.317397190913</v>
      </c>
      <c r="K22" s="24">
        <f t="shared" si="6"/>
        <v>82311.70566594656</v>
      </c>
      <c r="N22" s="3218"/>
      <c r="O22" s="3219"/>
      <c r="Q22" s="1040">
        <v>4</v>
      </c>
      <c r="R22" s="1197">
        <f>-SUM($B$29:$E$29)</f>
        <v>944</v>
      </c>
      <c r="S22" s="1197">
        <f>SUM($B$30:$E$30)+R22</f>
        <v>107913.42162857958</v>
      </c>
    </row>
    <row r="23" spans="1:19" ht="13.35" customHeight="1">
      <c r="A23" s="435" t="s">
        <v>1603</v>
      </c>
      <c r="B23" s="3226">
        <f>IF('Part III-Sources of Funds'!$N$37="", 0,-'Part III-Sources of Funds'!$N$37)</f>
        <v>-61057.771069420298</v>
      </c>
      <c r="C23" s="3226">
        <f>IF('Part III-Sources of Funds'!$N$37="", 0,-'Part III-Sources of Funds'!$N$37)</f>
        <v>-61057.771069420298</v>
      </c>
      <c r="D23" s="3226">
        <f>IF('Part III-Sources of Funds'!$N$37="", 0,-'Part III-Sources of Funds'!$N$37)</f>
        <v>-61057.771069420298</v>
      </c>
      <c r="E23" s="3226">
        <f>IF('Part III-Sources of Funds'!$N$37="", 0,-'Part III-Sources of Funds'!$N$37)</f>
        <v>-61057.771069420298</v>
      </c>
      <c r="F23" s="3226">
        <f>IF('Part III-Sources of Funds'!$N$37="", 0,-'Part III-Sources of Funds'!$N$37)</f>
        <v>-61057.771069420298</v>
      </c>
      <c r="G23" s="3226">
        <f>IF('Part III-Sources of Funds'!$N$37="", 0,-'Part III-Sources of Funds'!$N$37)</f>
        <v>-61057.771069420298</v>
      </c>
      <c r="H23" s="3226">
        <f>IF('Part III-Sources of Funds'!$N$37="", 0,-'Part III-Sources of Funds'!$N$37)</f>
        <v>-61057.771069420298</v>
      </c>
      <c r="I23" s="3226">
        <f>IF('Part III-Sources of Funds'!$N$37="", 0,-'Part III-Sources of Funds'!$N$37)</f>
        <v>-61057.771069420298</v>
      </c>
      <c r="J23" s="3226">
        <f>IF('Part III-Sources of Funds'!$N$37="", 0,-'Part III-Sources of Funds'!$N$37)</f>
        <v>-61057.771069420298</v>
      </c>
      <c r="K23" s="3226">
        <f>IF('Part III-Sources of Funds'!$N$37="", 0,-'Part III-Sources of Funds'!$N$37)</f>
        <v>-61057.771069420298</v>
      </c>
      <c r="N23" s="3218"/>
      <c r="O23" s="3219"/>
      <c r="Q23" s="1040">
        <v>5</v>
      </c>
      <c r="R23" s="1197">
        <f>-SUM($B$29:$F$29)</f>
        <v>944</v>
      </c>
      <c r="S23" s="1197">
        <f>SUM($B$30:$F$30)+R23</f>
        <v>132976.9321874945</v>
      </c>
    </row>
    <row r="24" spans="1:19" ht="13.3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944</v>
      </c>
      <c r="S24" s="1197">
        <f>SUM($B$30:$G$30)+R24</f>
        <v>157088.89999628245</v>
      </c>
    </row>
    <row r="25" spans="1:19" ht="13.3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944</v>
      </c>
      <c r="S25" s="1197">
        <f>SUM($B$30:$H$30)+R25</f>
        <v>180148.42014846005</v>
      </c>
    </row>
    <row r="26" spans="1:19" ht="13.35" customHeight="1">
      <c r="A26" s="435" t="s">
        <v>3881</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944</v>
      </c>
      <c r="S26" s="1197">
        <f>SUM($B$30:$I$30)+R26</f>
        <v>202050.2866178698</v>
      </c>
    </row>
    <row r="27" spans="1:19" ht="13.35" customHeight="1">
      <c r="A27" s="22" t="s">
        <v>771</v>
      </c>
      <c r="B27" s="3228"/>
      <c r="C27" s="3228"/>
      <c r="D27" s="3228"/>
      <c r="E27" s="3228"/>
      <c r="F27" s="3228"/>
      <c r="G27" s="3228"/>
      <c r="H27" s="3228"/>
      <c r="I27" s="3228"/>
      <c r="J27" s="3228"/>
      <c r="K27" s="3228"/>
      <c r="N27" s="3218"/>
      <c r="O27" s="3219"/>
      <c r="Q27" s="1040">
        <v>9</v>
      </c>
      <c r="R27" s="1197">
        <f>-SUM($B$29:$J$29)</f>
        <v>944</v>
      </c>
      <c r="S27" s="1197">
        <f>SUM($B$30:$J$30)+R27</f>
        <v>222684.83294564043</v>
      </c>
    </row>
    <row r="28" spans="1:19" ht="13.35" customHeight="1">
      <c r="A28" s="435" t="s">
        <v>1174</v>
      </c>
      <c r="B28" s="3229">
        <f>-$G$5</f>
        <v>-2000</v>
      </c>
      <c r="C28" s="3229">
        <f t="shared" ref="C28:K28" si="7">+B28</f>
        <v>-2000</v>
      </c>
      <c r="D28" s="3229">
        <f t="shared" si="7"/>
        <v>-2000</v>
      </c>
      <c r="E28" s="3229">
        <f t="shared" si="7"/>
        <v>-2000</v>
      </c>
      <c r="F28" s="3229">
        <f t="shared" si="7"/>
        <v>-2000</v>
      </c>
      <c r="G28" s="3229">
        <f t="shared" si="7"/>
        <v>-2000</v>
      </c>
      <c r="H28" s="3229">
        <f t="shared" si="7"/>
        <v>-2000</v>
      </c>
      <c r="I28" s="3229">
        <f t="shared" si="7"/>
        <v>-2000</v>
      </c>
      <c r="J28" s="3229">
        <f t="shared" si="7"/>
        <v>-2000</v>
      </c>
      <c r="K28" s="3229">
        <f t="shared" si="7"/>
        <v>-2000</v>
      </c>
      <c r="N28" s="3218"/>
      <c r="O28" s="3219"/>
      <c r="Q28" s="1040">
        <v>10</v>
      </c>
      <c r="R28" s="1197">
        <f>-SUM($B$29:$K$29)</f>
        <v>944</v>
      </c>
      <c r="S28" s="1197">
        <f>SUM($B$30:$K$30)+R28</f>
        <v>241938.76754216669</v>
      </c>
    </row>
    <row r="29" spans="1:19" ht="13.35" customHeight="1">
      <c r="A29" s="435" t="s">
        <v>4129</v>
      </c>
      <c r="B29" s="3230">
        <f>-'Part III-Sources of Funds'!I42</f>
        <v>-944</v>
      </c>
      <c r="C29" s="3230">
        <v>0</v>
      </c>
      <c r="D29" s="3230">
        <v>0</v>
      </c>
      <c r="E29" s="3230">
        <v>0</v>
      </c>
      <c r="F29" s="3230">
        <v>0</v>
      </c>
      <c r="G29" s="3230">
        <v>0</v>
      </c>
      <c r="H29" s="3230">
        <v>0</v>
      </c>
      <c r="I29" s="3230">
        <v>0</v>
      </c>
      <c r="J29" s="3230">
        <v>0</v>
      </c>
      <c r="K29" s="3230">
        <v>0</v>
      </c>
      <c r="N29" s="3218"/>
      <c r="O29" s="3219"/>
      <c r="Q29" s="1040">
        <v>11</v>
      </c>
      <c r="R29" s="1197">
        <f>-SUM($B$29:$K$29)-$B$59</f>
        <v>944</v>
      </c>
      <c r="S29" s="1197">
        <f>SUM($B$30:$K$30)+$B$60+R29</f>
        <v>259692.00343044801</v>
      </c>
    </row>
    <row r="30" spans="1:19" ht="13.35" customHeight="1">
      <c r="A30" s="22" t="s">
        <v>1175</v>
      </c>
      <c r="B30" s="23">
        <f>SUM(B22:B29)</f>
        <v>27007.366530579719</v>
      </c>
      <c r="C30" s="23">
        <f t="shared" ref="C30:K30" si="8">SUM(C22:C29)</f>
        <v>27359.439282579726</v>
      </c>
      <c r="D30" s="23">
        <f t="shared" si="8"/>
        <v>26683.320389619679</v>
      </c>
      <c r="E30" s="23">
        <f t="shared" si="8"/>
        <v>25919.295425800461</v>
      </c>
      <c r="F30" s="23">
        <f t="shared" si="8"/>
        <v>25063.510558914917</v>
      </c>
      <c r="G30" s="23">
        <f t="shared" si="8"/>
        <v>24111.967808787944</v>
      </c>
      <c r="H30" s="23">
        <f t="shared" si="8"/>
        <v>23059.520152177603</v>
      </c>
      <c r="I30" s="23">
        <f t="shared" si="8"/>
        <v>21901.866469409768</v>
      </c>
      <c r="J30" s="23">
        <f t="shared" si="8"/>
        <v>20634.546327770615</v>
      </c>
      <c r="K30" s="23">
        <f t="shared" si="8"/>
        <v>19253.934596526262</v>
      </c>
      <c r="N30" s="3218"/>
      <c r="O30" s="3219"/>
      <c r="Q30" s="1040">
        <v>12</v>
      </c>
      <c r="R30" s="1197">
        <f>-SUM($B$29:$K$29) - SUM($B$59:$C$59)</f>
        <v>944</v>
      </c>
      <c r="S30" s="1197">
        <f>SUM($B$30:$K$30) + SUM($B$60:$C$60)+R30</f>
        <v>275820.48225167248</v>
      </c>
    </row>
    <row r="31" spans="1:19" ht="13.35" customHeight="1">
      <c r="A31" s="22" t="str">
        <f>IF('Part III-Sources of Funds'!$E$37 = "Neither", "", "DCR Mortgage A")</f>
        <v>DCR Mortgage A</v>
      </c>
      <c r="B31" s="25">
        <f t="shared" ref="B31:K31" si="9">IF(B23=0,"",-B22/B23)</f>
        <v>1.4905414332358478</v>
      </c>
      <c r="C31" s="25">
        <f t="shared" si="9"/>
        <v>1.4808468892387046</v>
      </c>
      <c r="D31" s="25">
        <f t="shared" si="9"/>
        <v>1.4697734602366646</v>
      </c>
      <c r="E31" s="25">
        <f t="shared" si="9"/>
        <v>1.4572603116163103</v>
      </c>
      <c r="F31" s="25">
        <f t="shared" si="9"/>
        <v>1.4432443255772434</v>
      </c>
      <c r="G31" s="25">
        <f t="shared" si="9"/>
        <v>1.4276600234735011</v>
      </c>
      <c r="H31" s="25">
        <f t="shared" si="9"/>
        <v>1.410423107710334</v>
      </c>
      <c r="I31" s="25">
        <f t="shared" si="9"/>
        <v>1.3914631348437905</v>
      </c>
      <c r="J31" s="25">
        <f t="shared" si="9"/>
        <v>1.3707070522118474</v>
      </c>
      <c r="K31" s="26">
        <f t="shared" si="9"/>
        <v>1.3480954876711986</v>
      </c>
      <c r="N31" s="3218"/>
      <c r="O31" s="3219"/>
      <c r="Q31" s="1040">
        <v>13</v>
      </c>
      <c r="R31" s="1197">
        <f>-SUM($B$29:$K$29) - SUM($B$59:$D$59)</f>
        <v>944</v>
      </c>
      <c r="S31" s="1197">
        <f>SUM($B$30:$K$30) + SUM($B$60:$D$60)+R31</f>
        <v>290193.99234831292</v>
      </c>
    </row>
    <row r="32" spans="1:19" ht="13.3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944</v>
      </c>
      <c r="S32" s="1197">
        <f>SUM($B$30:$K$30) + SUM($B$60:$E$60)+R32</f>
        <v>302676.98073420557</v>
      </c>
    </row>
    <row r="33" spans="1:19" ht="13.3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944</v>
      </c>
      <c r="S33" s="1197">
        <f>SUM($B$30:$K$30) + SUM($B$60:$F$60)+R33</f>
        <v>313129.35875511344</v>
      </c>
    </row>
    <row r="34" spans="1:19" ht="13.3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944</v>
      </c>
      <c r="S34" s="1197">
        <f>SUM($B$30:$K$30) + SUM($B$60:$G$60)+R34</f>
        <v>321404.30123711383</v>
      </c>
    </row>
    <row r="35" spans="1:19" ht="13.35" customHeight="1">
      <c r="A35" s="435" t="s">
        <v>3740</v>
      </c>
      <c r="B35" s="25">
        <f t="shared" ref="B35:K35" si="13">IF(AND(B23=0,B24=0,B25=0,B26=0),"",-B22/(B23+B24+B25+B26))</f>
        <v>1.4905414332358478</v>
      </c>
      <c r="C35" s="25">
        <f t="shared" si="13"/>
        <v>1.4808468892387046</v>
      </c>
      <c r="D35" s="25">
        <f t="shared" si="13"/>
        <v>1.4697734602366646</v>
      </c>
      <c r="E35" s="25">
        <f t="shared" si="13"/>
        <v>1.4572603116163103</v>
      </c>
      <c r="F35" s="25">
        <f t="shared" si="13"/>
        <v>1.4432443255772434</v>
      </c>
      <c r="G35" s="25">
        <f t="shared" si="13"/>
        <v>1.4276600234735011</v>
      </c>
      <c r="H35" s="25">
        <f t="shared" si="13"/>
        <v>1.410423107710334</v>
      </c>
      <c r="I35" s="25">
        <f t="shared" si="13"/>
        <v>1.3914631348437905</v>
      </c>
      <c r="J35" s="25">
        <f t="shared" si="13"/>
        <v>1.3707070522118474</v>
      </c>
      <c r="K35" s="26">
        <f t="shared" si="13"/>
        <v>1.3480954876711986</v>
      </c>
      <c r="N35" s="3218"/>
      <c r="O35" s="3219"/>
      <c r="Q35" s="63">
        <v>17</v>
      </c>
      <c r="R35" s="1197">
        <f>-SUM($B$29:$K$29) - SUM($B$59:$H$59)</f>
        <v>944</v>
      </c>
      <c r="S35" s="1197">
        <f>SUM($B$30:$K$30) + SUM($B$60:$H$60)+R35</f>
        <v>327348.0389138076</v>
      </c>
    </row>
    <row r="36" spans="1:19" ht="13.35" customHeight="1">
      <c r="A36" s="22" t="s">
        <v>778</v>
      </c>
      <c r="B36" s="274">
        <f t="shared" ref="B36:K36" si="14">IF(OR(B20="Choose mgt fee",B20="Choose One!"),"",(B14+B15+B16+B17+B18) / -(B19+B20+B21))</f>
        <v>1.3518485177453028</v>
      </c>
      <c r="C36" s="274">
        <f t="shared" si="14"/>
        <v>1.3396011383336668</v>
      </c>
      <c r="D36" s="274">
        <f t="shared" si="14"/>
        <v>1.3274568844737837</v>
      </c>
      <c r="E36" s="274">
        <f t="shared" si="14"/>
        <v>1.3154156807260953</v>
      </c>
      <c r="F36" s="274">
        <f t="shared" si="14"/>
        <v>1.3034773694086255</v>
      </c>
      <c r="G36" s="274">
        <f t="shared" si="14"/>
        <v>1.2916417175628896</v>
      </c>
      <c r="H36" s="274">
        <f t="shared" si="14"/>
        <v>1.2799042634253499</v>
      </c>
      <c r="I36" s="274">
        <f t="shared" si="14"/>
        <v>1.2682651087635231</v>
      </c>
      <c r="J36" s="274">
        <f t="shared" si="14"/>
        <v>1.2567242637571361</v>
      </c>
      <c r="K36" s="275">
        <f t="shared" si="14"/>
        <v>1.2452853652897695</v>
      </c>
      <c r="N36" s="3218"/>
      <c r="O36" s="3219"/>
      <c r="Q36" s="63">
        <v>18</v>
      </c>
      <c r="R36" s="1197">
        <f>-SUM($B$29:$K$29) - SUM($B$59:$I$59)</f>
        <v>944</v>
      </c>
      <c r="S36" s="1197">
        <f>SUM($B$30:$K$30) + SUM($B$60:$I$60)+R36</f>
        <v>330801.64391679841</v>
      </c>
    </row>
    <row r="37" spans="1:19" ht="13.35" customHeight="1">
      <c r="A37" s="435" t="s">
        <v>2634</v>
      </c>
      <c r="B37" s="3231">
        <f>IF('Part III-Sources of Funds'!$I$37="","",-FV('Part III-Sources of Funds'!$K$37/12,12,B23/12,'Part III-Sources of Funds'!$I$37))</f>
        <v>796002.30997487216</v>
      </c>
      <c r="C37" s="3231">
        <f>IF('Part III-Sources of Funds'!$I$37="","",-FV('Part III-Sources of Funds'!$K$37/12,12,C23/12,B37))</f>
        <v>786402.0279850167</v>
      </c>
      <c r="D37" s="3231">
        <f>IF('Part III-Sources of Funds'!$I$37="","",-FV('Part III-Sources of Funds'!$K$37/12,12,D23/12,C37))</f>
        <v>776158.79733055399</v>
      </c>
      <c r="E37" s="3231">
        <f>IF('Part III-Sources of Funds'!$I$37="","",-FV('Part III-Sources of Funds'!$K$37/12,12,E23/12,D37))</f>
        <v>765229.55854867271</v>
      </c>
      <c r="F37" s="3231">
        <f>IF('Part III-Sources of Funds'!$I$37="","",-FV('Part III-Sources of Funds'!$K$37/12,12,F23/12,E37))</f>
        <v>753568.36840459076</v>
      </c>
      <c r="G37" s="3231">
        <f>IF('Part III-Sources of Funds'!$I$37="","",-FV('Part III-Sources of Funds'!$K$37/12,12,G23/12,F37))</f>
        <v>741126.20676000591</v>
      </c>
      <c r="H37" s="3231">
        <f>IF('Part III-Sources of Funds'!$I$37="","",-FV('Part III-Sources of Funds'!$K$37/12,12,H23/12,G37))</f>
        <v>727850.77050716814</v>
      </c>
      <c r="I37" s="3231">
        <f>IF('Part III-Sources of Funds'!$I$37="","",-FV('Part III-Sources of Funds'!$K$37/12,12,I23/12,H37))</f>
        <v>713686.25370233611</v>
      </c>
      <c r="J37" s="3231">
        <f>IF('Part III-Sources of Funds'!$I$37="","",-FV('Part III-Sources of Funds'!$K$37/12,12,J23/12,I37))</f>
        <v>698573.11297436338</v>
      </c>
      <c r="K37" s="3231">
        <f>IF('Part III-Sources of Funds'!$I$37="","",-FV('Part III-Sources of Funds'!$K$37/12,12,K23/12,J37))</f>
        <v>682447.8172222632</v>
      </c>
      <c r="N37" s="3218"/>
      <c r="O37" s="3219"/>
      <c r="Q37" s="1040">
        <v>19</v>
      </c>
      <c r="R37" s="1197">
        <f>-SUM($B$29:$K$29) - SUM($B$59:$J$59)</f>
        <v>944</v>
      </c>
      <c r="S37" s="1197">
        <f>SUM($B$30:$K$30) + SUM($B$60:$J$60)+R37</f>
        <v>331598.8081071534</v>
      </c>
    </row>
    <row r="38" spans="1:19" ht="13.35" customHeight="1">
      <c r="A38" s="435" t="s">
        <v>2635</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944</v>
      </c>
      <c r="S38" s="1197">
        <f>SUM($B$30:$K$30) + SUM($B$60:$K$60)+R38</f>
        <v>331567.61401859712</v>
      </c>
    </row>
    <row r="39" spans="1:19" ht="13.35" customHeight="1">
      <c r="A39" s="435" t="s">
        <v>2636</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3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35" customHeight="1">
      <c r="A41" s="435" t="s">
        <v>4130</v>
      </c>
      <c r="B41" s="3230">
        <f>IF('Part III-Sources of Funds'!$I$42="","",-FV('Part III-Sources of Funds'!$K$42/12,12,B29/12,'Part III-Sources of Funds'!$I$42))</f>
        <v>0</v>
      </c>
      <c r="C41" s="3230">
        <f>IF('Part III-Sources of Funds'!$I$42="","",IF(-FV('Part III-Sources of Funds'!$K$42/12,12,C29/12,B41)&gt;0,-FV('Part III-Sources of Funds'!$K$42/12,12,C29/12,B41),0))</f>
        <v>0</v>
      </c>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3499999999999996"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35" customHeight="1">
      <c r="A44" s="19" t="s">
        <v>2420</v>
      </c>
      <c r="B44" s="20">
        <f t="shared" ref="B44:K44" si="16">$B$14*(1+$B$5)^(B43-1)</f>
        <v>449340.84712078737</v>
      </c>
      <c r="C44" s="20">
        <f t="shared" si="16"/>
        <v>458327.66406320303</v>
      </c>
      <c r="D44" s="20">
        <f t="shared" si="16"/>
        <v>467494.21734446718</v>
      </c>
      <c r="E44" s="20">
        <f t="shared" si="16"/>
        <v>476844.10169135651</v>
      </c>
      <c r="F44" s="20">
        <f t="shared" si="16"/>
        <v>486380.9837251837</v>
      </c>
      <c r="G44" s="20">
        <f t="shared" si="16"/>
        <v>496108.60339968721</v>
      </c>
      <c r="H44" s="20">
        <f t="shared" si="16"/>
        <v>506030.77546768106</v>
      </c>
      <c r="I44" s="20">
        <f t="shared" si="16"/>
        <v>516151.39097703469</v>
      </c>
      <c r="J44" s="20">
        <f t="shared" si="16"/>
        <v>526474.4187965754</v>
      </c>
      <c r="K44" s="21">
        <f t="shared" si="16"/>
        <v>537003.90717250679</v>
      </c>
      <c r="N44" s="3216"/>
      <c r="O44" s="3217"/>
    </row>
    <row r="45" spans="1:19" ht="13.35" customHeight="1">
      <c r="A45" s="22" t="s">
        <v>1026</v>
      </c>
      <c r="B45" s="23">
        <f t="shared" ref="B45:K45" si="17">$B$15*(1+$B$5)^(B43-1)</f>
        <v>8986.8169424157477</v>
      </c>
      <c r="C45" s="23">
        <f t="shared" si="17"/>
        <v>9166.5532812640613</v>
      </c>
      <c r="D45" s="23">
        <f t="shared" si="17"/>
        <v>9349.8843468893429</v>
      </c>
      <c r="E45" s="23">
        <f t="shared" si="17"/>
        <v>9536.8820338271289</v>
      </c>
      <c r="F45" s="23">
        <f t="shared" si="17"/>
        <v>9727.6196745036741</v>
      </c>
      <c r="G45" s="23">
        <f t="shared" si="17"/>
        <v>9922.1720679937443</v>
      </c>
      <c r="H45" s="23">
        <f t="shared" si="17"/>
        <v>10120.61550935362</v>
      </c>
      <c r="I45" s="23">
        <f t="shared" si="17"/>
        <v>10323.027819540694</v>
      </c>
      <c r="J45" s="23">
        <f t="shared" si="17"/>
        <v>10529.488375931507</v>
      </c>
      <c r="K45" s="24">
        <f t="shared" si="17"/>
        <v>10740.078143450137</v>
      </c>
      <c r="N45" s="3218"/>
      <c r="O45" s="3219"/>
    </row>
    <row r="46" spans="1:19" ht="13.35" customHeight="1">
      <c r="A46" s="22" t="s">
        <v>2421</v>
      </c>
      <c r="B46" s="23">
        <f t="shared" ref="B46:K46" si="18">-(B44+B45)*$B$8</f>
        <v>-32082.936484424219</v>
      </c>
      <c r="C46" s="23">
        <f t="shared" si="18"/>
        <v>-32724.595214112702</v>
      </c>
      <c r="D46" s="23">
        <f t="shared" si="18"/>
        <v>-33379.087118394957</v>
      </c>
      <c r="E46" s="23">
        <f t="shared" si="18"/>
        <v>-34046.66886076286</v>
      </c>
      <c r="F46" s="23">
        <f t="shared" si="18"/>
        <v>-34727.602237978121</v>
      </c>
      <c r="G46" s="23">
        <f t="shared" si="18"/>
        <v>-35422.154282737669</v>
      </c>
      <c r="H46" s="23">
        <f t="shared" si="18"/>
        <v>-36130.597368392431</v>
      </c>
      <c r="I46" s="23">
        <f t="shared" si="18"/>
        <v>-36853.209315760279</v>
      </c>
      <c r="J46" s="23">
        <f t="shared" si="18"/>
        <v>-37590.273502075484</v>
      </c>
      <c r="K46" s="24">
        <f t="shared" si="18"/>
        <v>-38342.078972116986</v>
      </c>
      <c r="N46" s="3218"/>
      <c r="O46" s="3219"/>
    </row>
    <row r="47" spans="1:19" ht="13.3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3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35" customHeight="1">
      <c r="A49" s="22" t="s">
        <v>620</v>
      </c>
      <c r="B49" s="23">
        <f t="shared" ref="B49:K49" si="19">$B$19*(1+$B$6)^(B43-1)</f>
        <v>-305978.84949993162</v>
      </c>
      <c r="C49" s="23">
        <f t="shared" si="19"/>
        <v>-315158.2149849296</v>
      </c>
      <c r="D49" s="23">
        <f t="shared" si="19"/>
        <v>-324612.96143447742</v>
      </c>
      <c r="E49" s="23">
        <f t="shared" si="19"/>
        <v>-334351.35027751169</v>
      </c>
      <c r="F49" s="23">
        <f t="shared" si="19"/>
        <v>-344381.89078583708</v>
      </c>
      <c r="G49" s="23">
        <f t="shared" si="19"/>
        <v>-354713.34750941227</v>
      </c>
      <c r="H49" s="23">
        <f t="shared" si="19"/>
        <v>-365354.74793469452</v>
      </c>
      <c r="I49" s="23">
        <f t="shared" si="19"/>
        <v>-376315.39037273539</v>
      </c>
      <c r="J49" s="23">
        <f t="shared" si="19"/>
        <v>-387604.85208391747</v>
      </c>
      <c r="K49" s="24">
        <f t="shared" si="19"/>
        <v>-399232.99764643499</v>
      </c>
      <c r="N49" s="3218"/>
      <c r="O49" s="3219"/>
    </row>
    <row r="50" spans="1:18" ht="13.35" customHeight="1">
      <c r="A50" s="22" t="s">
        <v>1125</v>
      </c>
      <c r="B50" s="23">
        <f>IF(AND('Part VII-Pro Forma'!$G$8="Yes",'Part VII-Pro Forma'!$G$9="Yes"),"Choose One!",IF('Part VII-Pro Forma'!$G$8="Yes",ROUND((-$K$8*(1+'Part VII-Pro Forma'!$B$6)^('Part VII-Pro Forma'!B43-1)),),IF('Part VII-Pro Forma'!$G$9="Yes",ROUND((-(SUM(B44:B47)*'Part VII-Pro Forma'!$K$9)),),"Choose mgt fee")))</f>
        <v>-21312</v>
      </c>
      <c r="C50" s="23">
        <f>IF(AND('Part VII-Pro Forma'!$G$8="Yes",'Part VII-Pro Forma'!$G$9="Yes"),"Choose One!",IF('Part VII-Pro Forma'!$G$8="Yes",ROUND((-$K$8*(1+'Part VII-Pro Forma'!$B$6)^('Part VII-Pro Forma'!C43-1)),),IF('Part VII-Pro Forma'!$G$9="Yes",ROUND((-(SUM(C44:C47)*'Part VII-Pro Forma'!$K$9)),),"Choose mgt fee")))</f>
        <v>-21738</v>
      </c>
      <c r="D50" s="23">
        <f>IF(AND('Part VII-Pro Forma'!$G$8="Yes",'Part VII-Pro Forma'!$G$9="Yes"),"Choose One!",IF('Part VII-Pro Forma'!$G$8="Yes",ROUND((-$K$8*(1+'Part VII-Pro Forma'!$B$6)^('Part VII-Pro Forma'!D43-1)),),IF('Part VII-Pro Forma'!$G$9="Yes",ROUND((-(SUM(D44:D47)*'Part VII-Pro Forma'!$K$9)),),"Choose mgt fee")))</f>
        <v>-22173</v>
      </c>
      <c r="E50" s="23">
        <f>IF(AND('Part VII-Pro Forma'!$G$8="Yes",'Part VII-Pro Forma'!$G$9="Yes"),"Choose One!",IF('Part VII-Pro Forma'!$G$8="Yes",ROUND((-$K$8*(1+'Part VII-Pro Forma'!$B$6)^('Part VII-Pro Forma'!E43-1)),),IF('Part VII-Pro Forma'!$G$9="Yes",ROUND((-(SUM(E44:E47)*'Part VII-Pro Forma'!$K$9)),),"Choose mgt fee")))</f>
        <v>-22617</v>
      </c>
      <c r="F50" s="23">
        <f>IF(AND('Part VII-Pro Forma'!$G$8="Yes",'Part VII-Pro Forma'!$G$9="Yes"),"Choose One!",IF('Part VII-Pro Forma'!$G$8="Yes",ROUND((-$K$8*(1+'Part VII-Pro Forma'!$B$6)^('Part VII-Pro Forma'!F43-1)),),IF('Part VII-Pro Forma'!$G$9="Yes",ROUND((-(SUM(F44:F47)*'Part VII-Pro Forma'!$K$9)),),"Choose mgt fee")))</f>
        <v>-23069</v>
      </c>
      <c r="G50" s="23">
        <f>IF(AND('Part VII-Pro Forma'!$G$8="Yes",'Part VII-Pro Forma'!$G$9="Yes"),"Choose One!",IF('Part VII-Pro Forma'!$G$8="Yes",ROUND((-$K$8*(1+'Part VII-Pro Forma'!$B$6)^('Part VII-Pro Forma'!G43-1)),),IF('Part VII-Pro Forma'!$G$9="Yes",ROUND((-(SUM(G44:G47)*'Part VII-Pro Forma'!$K$9)),),"Choose mgt fee")))</f>
        <v>-23530</v>
      </c>
      <c r="H50" s="23">
        <f>IF(AND('Part VII-Pro Forma'!$G$8="Yes",'Part VII-Pro Forma'!$G$9="Yes"),"Choose One!",IF('Part VII-Pro Forma'!$G$8="Yes",ROUND((-$K$8*(1+'Part VII-Pro Forma'!$B$6)^('Part VII-Pro Forma'!H43-1)),),IF('Part VII-Pro Forma'!$G$9="Yes",ROUND((-(SUM(H44:H47)*'Part VII-Pro Forma'!$K$9)),),"Choose mgt fee")))</f>
        <v>-24001</v>
      </c>
      <c r="I50" s="23">
        <f>IF(AND('Part VII-Pro Forma'!$G$8="Yes",'Part VII-Pro Forma'!$G$9="Yes"),"Choose One!",IF('Part VII-Pro Forma'!$G$8="Yes",ROUND((-$K$8*(1+'Part VII-Pro Forma'!$B$6)^('Part VII-Pro Forma'!I43-1)),),IF('Part VII-Pro Forma'!$G$9="Yes",ROUND((-(SUM(I44:I47)*'Part VII-Pro Forma'!$K$9)),),"Choose mgt fee")))</f>
        <v>-24481</v>
      </c>
      <c r="J50" s="23">
        <f>IF(AND('Part VII-Pro Forma'!$G$8="Yes",'Part VII-Pro Forma'!$G$9="Yes"),"Choose One!",IF('Part VII-Pro Forma'!$G$8="Yes",ROUND((-$K$8*(1+'Part VII-Pro Forma'!$B$6)^('Part VII-Pro Forma'!J43-1)),),IF('Part VII-Pro Forma'!$G$9="Yes",ROUND((-(SUM(J44:J47)*'Part VII-Pro Forma'!$K$9)),),"Choose mgt fee")))</f>
        <v>-24971</v>
      </c>
      <c r="K50" s="23">
        <f>IF(AND('Part VII-Pro Forma'!$G$8="Yes",'Part VII-Pro Forma'!$G$9="Yes"),"Choose One!",IF('Part VII-Pro Forma'!$G$8="Yes",ROUND((-$K$8*(1+'Part VII-Pro Forma'!$B$6)^('Part VII-Pro Forma'!K43-1)),),IF('Part VII-Pro Forma'!$G$9="Yes",ROUND((-(SUM(K44:K47)*'Part VII-Pro Forma'!$K$9)),),"Choose mgt fee")))</f>
        <v>-25470</v>
      </c>
      <c r="N50" s="3218"/>
      <c r="O50" s="3219"/>
    </row>
    <row r="51" spans="1:18" ht="13.35" customHeight="1">
      <c r="A51" s="22" t="s">
        <v>1214</v>
      </c>
      <c r="B51" s="23">
        <f t="shared" ref="B51:K51" si="20">$B$21*(1+$B$7)^(B43-1)</f>
        <v>-18142.871121145643</v>
      </c>
      <c r="C51" s="23">
        <f t="shared" si="20"/>
        <v>-18687.157254780013</v>
      </c>
      <c r="D51" s="23">
        <f t="shared" si="20"/>
        <v>-19247.771972423412</v>
      </c>
      <c r="E51" s="23">
        <f t="shared" si="20"/>
        <v>-19825.205131596114</v>
      </c>
      <c r="F51" s="23">
        <f t="shared" si="20"/>
        <v>-20419.961285543999</v>
      </c>
      <c r="G51" s="23">
        <f t="shared" si="20"/>
        <v>-21032.560124110321</v>
      </c>
      <c r="H51" s="23">
        <f t="shared" si="20"/>
        <v>-21663.536927833626</v>
      </c>
      <c r="I51" s="23">
        <f t="shared" si="20"/>
        <v>-22313.443035668635</v>
      </c>
      <c r="J51" s="23">
        <f t="shared" si="20"/>
        <v>-22982.846326738694</v>
      </c>
      <c r="K51" s="24">
        <f t="shared" si="20"/>
        <v>-23672.331716540855</v>
      </c>
      <c r="N51" s="3218"/>
      <c r="O51" s="3219"/>
    </row>
    <row r="52" spans="1:18" ht="13.35" customHeight="1">
      <c r="A52" s="22" t="s">
        <v>1215</v>
      </c>
      <c r="B52" s="23">
        <f t="shared" ref="B52:K52" si="21">SUM(B44:B51)</f>
        <v>80811.006957701611</v>
      </c>
      <c r="C52" s="23">
        <f t="shared" si="21"/>
        <v>79186.249890644787</v>
      </c>
      <c r="D52" s="23">
        <f t="shared" si="21"/>
        <v>77431.281166060711</v>
      </c>
      <c r="E52" s="23">
        <f t="shared" si="21"/>
        <v>75540.759455312989</v>
      </c>
      <c r="F52" s="23">
        <f t="shared" si="21"/>
        <v>73510.149090328166</v>
      </c>
      <c r="G52" s="23">
        <f t="shared" si="21"/>
        <v>71332.71355142066</v>
      </c>
      <c r="H52" s="23">
        <f t="shared" si="21"/>
        <v>69001.508746114094</v>
      </c>
      <c r="I52" s="23">
        <f t="shared" si="21"/>
        <v>66511.376072411076</v>
      </c>
      <c r="J52" s="23">
        <f t="shared" si="21"/>
        <v>63854.935259775273</v>
      </c>
      <c r="K52" s="24">
        <f t="shared" si="21"/>
        <v>61026.576980864047</v>
      </c>
      <c r="N52" s="3218"/>
      <c r="O52" s="3219"/>
    </row>
    <row r="53" spans="1:18" ht="13.35" customHeight="1">
      <c r="A53" s="22" t="str">
        <f>$A23</f>
        <v>Mortgage A</v>
      </c>
      <c r="B53" s="3226">
        <f>IF('Part III-Sources of Funds'!$N$37="", 0,-'Part III-Sources of Funds'!$N$37)</f>
        <v>-61057.771069420298</v>
      </c>
      <c r="C53" s="3226">
        <f>IF('Part III-Sources of Funds'!$N$37="", 0,-'Part III-Sources of Funds'!$N$37)</f>
        <v>-61057.771069420298</v>
      </c>
      <c r="D53" s="3226">
        <f>IF('Part III-Sources of Funds'!$N$37="", 0,-'Part III-Sources of Funds'!$N$37)</f>
        <v>-61057.771069420298</v>
      </c>
      <c r="E53" s="3226">
        <f>IF('Part III-Sources of Funds'!$N$37="", 0,-'Part III-Sources of Funds'!$N$37)</f>
        <v>-61057.771069420298</v>
      </c>
      <c r="F53" s="3226">
        <f>IF('Part III-Sources of Funds'!$N$37="", 0,-'Part III-Sources of Funds'!$N$37)</f>
        <v>-61057.771069420298</v>
      </c>
      <c r="G53" s="3226">
        <f>IF('Part III-Sources of Funds'!$N$37="", 0,-'Part III-Sources of Funds'!$N$37)</f>
        <v>-61057.771069420298</v>
      </c>
      <c r="H53" s="3226">
        <f>IF('Part III-Sources of Funds'!$N$37="", 0,-'Part III-Sources of Funds'!$N$37)</f>
        <v>-61057.771069420298</v>
      </c>
      <c r="I53" s="3226">
        <f>IF('Part III-Sources of Funds'!$N$37="", 0,-'Part III-Sources of Funds'!$N$37)</f>
        <v>-61057.771069420298</v>
      </c>
      <c r="J53" s="3226">
        <f>IF('Part III-Sources of Funds'!$N$37="", 0,-'Part III-Sources of Funds'!$N$37)</f>
        <v>-61057.771069420298</v>
      </c>
      <c r="K53" s="3226">
        <f>IF('Part III-Sources of Funds'!$N$37="", 0,-'Part III-Sources of Funds'!$N$37)</f>
        <v>-61057.771069420298</v>
      </c>
      <c r="N53" s="3218"/>
      <c r="O53" s="3219"/>
    </row>
    <row r="54" spans="1:18" ht="13.3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3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3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35" customHeight="1">
      <c r="A57" s="22" t="s">
        <v>771</v>
      </c>
      <c r="B57" s="3228"/>
      <c r="C57" s="3228"/>
      <c r="D57" s="3228"/>
      <c r="E57" s="3228"/>
      <c r="F57" s="3228"/>
      <c r="G57" s="3228"/>
      <c r="H57" s="3228"/>
      <c r="I57" s="3228"/>
      <c r="J57" s="3228"/>
      <c r="K57" s="3228"/>
      <c r="N57" s="3218"/>
      <c r="O57" s="3219"/>
    </row>
    <row r="58" spans="1:18" ht="13.35" customHeight="1">
      <c r="A58" s="435" t="s">
        <v>1174</v>
      </c>
      <c r="B58" s="3227">
        <f t="shared" ref="B58:K58" si="22">-MAX(0,MIN($G$5,SUM(B52:B57)))</f>
        <v>-2000</v>
      </c>
      <c r="C58" s="3227">
        <f t="shared" si="22"/>
        <v>-2000</v>
      </c>
      <c r="D58" s="3227">
        <f t="shared" si="22"/>
        <v>-2000</v>
      </c>
      <c r="E58" s="3227">
        <f t="shared" si="22"/>
        <v>-2000</v>
      </c>
      <c r="F58" s="3227">
        <f t="shared" si="22"/>
        <v>-2000</v>
      </c>
      <c r="G58" s="3227">
        <f t="shared" si="22"/>
        <v>-2000</v>
      </c>
      <c r="H58" s="3227">
        <f t="shared" si="22"/>
        <v>-2000</v>
      </c>
      <c r="I58" s="3227">
        <f t="shared" si="22"/>
        <v>-2000</v>
      </c>
      <c r="J58" s="3227">
        <f t="shared" si="22"/>
        <v>-2000</v>
      </c>
      <c r="K58" s="3227">
        <f t="shared" si="22"/>
        <v>0</v>
      </c>
      <c r="N58" s="3218"/>
      <c r="O58" s="3219"/>
      <c r="Q58" s="1040"/>
      <c r="R58" s="1197"/>
    </row>
    <row r="59" spans="1:18" ht="13.35" customHeight="1">
      <c r="A59" s="435" t="s">
        <v>4129</v>
      </c>
      <c r="B59" s="3230">
        <v>0</v>
      </c>
      <c r="C59" s="3230">
        <v>0</v>
      </c>
      <c r="D59" s="3230">
        <v>0</v>
      </c>
      <c r="E59" s="3230">
        <v>0</v>
      </c>
      <c r="F59" s="3230">
        <v>0</v>
      </c>
      <c r="G59" s="3230"/>
      <c r="H59" s="3230"/>
      <c r="I59" s="3230"/>
      <c r="J59" s="3230"/>
      <c r="K59" s="3230"/>
      <c r="N59" s="3218"/>
      <c r="O59" s="3219"/>
    </row>
    <row r="60" spans="1:18" ht="13.35" customHeight="1">
      <c r="A60" s="22" t="s">
        <v>1175</v>
      </c>
      <c r="B60" s="23">
        <f>SUM(B52:B59)</f>
        <v>17753.235888281313</v>
      </c>
      <c r="C60" s="23">
        <f t="shared" ref="C60:K60" si="23">SUM(C52:C59)</f>
        <v>16128.478821224489</v>
      </c>
      <c r="D60" s="23">
        <f t="shared" si="23"/>
        <v>14373.510096640413</v>
      </c>
      <c r="E60" s="23">
        <f t="shared" si="23"/>
        <v>12482.988385892691</v>
      </c>
      <c r="F60" s="23">
        <f t="shared" si="23"/>
        <v>10452.378020907869</v>
      </c>
      <c r="G60" s="23">
        <f t="shared" si="23"/>
        <v>8274.9424820003624</v>
      </c>
      <c r="H60" s="23">
        <f t="shared" si="23"/>
        <v>5943.7376766937959</v>
      </c>
      <c r="I60" s="23">
        <f t="shared" si="23"/>
        <v>3453.6050029907783</v>
      </c>
      <c r="J60" s="23">
        <f t="shared" si="23"/>
        <v>797.16419035497529</v>
      </c>
      <c r="K60" s="23">
        <f t="shared" si="23"/>
        <v>-31.19408855625079</v>
      </c>
      <c r="N60" s="3218"/>
      <c r="O60" s="3219"/>
    </row>
    <row r="61" spans="1:18" ht="13.35" customHeight="1">
      <c r="A61" s="22" t="str">
        <f>$A31</f>
        <v>DCR Mortgage A</v>
      </c>
      <c r="B61" s="25">
        <f t="shared" ref="B61:K61" si="24">IF(B53=0,"",-B52/B53)</f>
        <v>1.3235171468316893</v>
      </c>
      <c r="C61" s="25">
        <f t="shared" si="24"/>
        <v>1.296906986673541</v>
      </c>
      <c r="D61" s="25">
        <f t="shared" si="24"/>
        <v>1.2681642288911001</v>
      </c>
      <c r="E61" s="25">
        <f t="shared" si="24"/>
        <v>1.237201393569151</v>
      </c>
      <c r="F61" s="25">
        <f t="shared" si="24"/>
        <v>1.2039441958460948</v>
      </c>
      <c r="G61" s="25">
        <f t="shared" si="24"/>
        <v>1.1682823054631024</v>
      </c>
      <c r="H61" s="25">
        <f t="shared" si="24"/>
        <v>1.13010199254837</v>
      </c>
      <c r="I61" s="25">
        <f t="shared" si="24"/>
        <v>1.0893187698710822</v>
      </c>
      <c r="J61" s="25">
        <f t="shared" si="24"/>
        <v>1.0458117638649913</v>
      </c>
      <c r="K61" s="26">
        <f t="shared" si="24"/>
        <v>0.9994891053503937</v>
      </c>
      <c r="N61" s="3218"/>
      <c r="O61" s="3219"/>
    </row>
    <row r="62" spans="1:18" ht="13.3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3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3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35" customHeight="1">
      <c r="A65" s="435" t="s">
        <v>3740</v>
      </c>
      <c r="B65" s="25">
        <f t="shared" ref="B65:K65" si="28">IF(AND(B53=0,B54=0,B55=0,B56=0),"",-B52/(B53+B54+B55+B56))</f>
        <v>1.3235171468316893</v>
      </c>
      <c r="C65" s="25">
        <f t="shared" si="28"/>
        <v>1.296906986673541</v>
      </c>
      <c r="D65" s="25">
        <f t="shared" si="28"/>
        <v>1.2681642288911001</v>
      </c>
      <c r="E65" s="25">
        <f t="shared" si="28"/>
        <v>1.237201393569151</v>
      </c>
      <c r="F65" s="25">
        <f t="shared" si="28"/>
        <v>1.2039441958460948</v>
      </c>
      <c r="G65" s="25">
        <f t="shared" si="28"/>
        <v>1.1682823054631024</v>
      </c>
      <c r="H65" s="25">
        <f t="shared" si="28"/>
        <v>1.13010199254837</v>
      </c>
      <c r="I65" s="25">
        <f t="shared" si="28"/>
        <v>1.0893187698710822</v>
      </c>
      <c r="J65" s="25">
        <f t="shared" si="28"/>
        <v>1.0458117638649913</v>
      </c>
      <c r="K65" s="26">
        <f t="shared" si="28"/>
        <v>0.9994891053503937</v>
      </c>
      <c r="N65" s="3218"/>
      <c r="O65" s="3219"/>
    </row>
    <row r="66" spans="1:15" ht="13.35" customHeight="1">
      <c r="A66" s="22" t="s">
        <v>778</v>
      </c>
      <c r="B66" s="274">
        <f t="shared" ref="B66:K66" si="29">IF(OR(B50="Choose mgt fee",B50="Choose One!"),"",(B44+B45+B46+B47+B48) / -(B49+B50+B51))</f>
        <v>1.2339407015979977</v>
      </c>
      <c r="C66" s="274">
        <f t="shared" si="29"/>
        <v>1.2226939054879735</v>
      </c>
      <c r="D66" s="274">
        <f t="shared" si="29"/>
        <v>1.2115413802038413</v>
      </c>
      <c r="E66" s="274">
        <f t="shared" si="29"/>
        <v>1.2004831515053216</v>
      </c>
      <c r="F66" s="274">
        <f t="shared" si="29"/>
        <v>1.1895222306542381</v>
      </c>
      <c r="G66" s="274">
        <f t="shared" si="29"/>
        <v>1.1786551910286902</v>
      </c>
      <c r="H66" s="274">
        <f t="shared" si="29"/>
        <v>1.1678790054077213</v>
      </c>
      <c r="I66" s="274">
        <f t="shared" si="29"/>
        <v>1.1571964790716915</v>
      </c>
      <c r="J66" s="274">
        <f t="shared" si="29"/>
        <v>1.1466046608477352</v>
      </c>
      <c r="K66" s="275">
        <f t="shared" si="29"/>
        <v>1.1361060098189766</v>
      </c>
      <c r="N66" s="3218"/>
      <c r="O66" s="3219"/>
    </row>
    <row r="67" spans="1:15" ht="13.35" customHeight="1">
      <c r="A67" s="435" t="s">
        <v>2634</v>
      </c>
      <c r="B67" s="3231">
        <f>IF('Part III-Sources of Funds'!$I$37="","",-FV('Part III-Sources of Funds'!$K$37/12,12,B53/12,K37))</f>
        <v>665242.58054955618</v>
      </c>
      <c r="C67" s="3231">
        <f>IF('Part III-Sources of Funds'!$I$37="","",-FV('Part III-Sources of Funds'!$K$37/12,12,C53/12,B67))</f>
        <v>646885.07731273584</v>
      </c>
      <c r="D67" s="3231">
        <f>IF('Part III-Sources of Funds'!$I$37="","",-FV('Part III-Sources of Funds'!$K$37/12,12,D53/12,C67))</f>
        <v>627298.13808600302</v>
      </c>
      <c r="E67" s="3231">
        <f>IF('Part III-Sources of Funds'!$I$37="","",-FV('Part III-Sources of Funds'!$K$37/12,12,E53/12,D67))</f>
        <v>606399.42526419461</v>
      </c>
      <c r="F67" s="3231">
        <f>IF('Part III-Sources of Funds'!$I$37="","",-FV('Part III-Sources of Funds'!$K$37/12,12,F53/12,E67))</f>
        <v>584101.08694024046</v>
      </c>
      <c r="G67" s="3231">
        <f>IF('Part III-Sources of Funds'!$I$37="","",-FV('Part III-Sources of Funds'!$K$37/12,12,G53/12,F67))</f>
        <v>560309.38760215184</v>
      </c>
      <c r="H67" s="3231">
        <f>IF('Part III-Sources of Funds'!$I$37="","",-FV('Part III-Sources of Funds'!$K$37/12,12,H53/12,G67))</f>
        <v>534924.31409710366</v>
      </c>
      <c r="I67" s="3231">
        <f>IF('Part III-Sources of Funds'!$I$37="","",-FV('Part III-Sources of Funds'!$K$37/12,12,I53/12,H67))</f>
        <v>507839.15520620177</v>
      </c>
      <c r="J67" s="3231">
        <f>IF('Part III-Sources of Funds'!$I$37="","",-FV('Part III-Sources of Funds'!$K$37/12,12,J53/12,I67))</f>
        <v>478940.05306259304</v>
      </c>
      <c r="K67" s="3231">
        <f>IF('Part III-Sources of Funds'!$I$37="","",-FV('Part III-Sources of Funds'!$K$37/12,12,K53/12,J67))</f>
        <v>448105.52452721621</v>
      </c>
      <c r="N67" s="3218"/>
      <c r="O67" s="3219"/>
    </row>
    <row r="68" spans="1:15" ht="13.35" customHeight="1">
      <c r="A68" s="435" t="s">
        <v>2635</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35" customHeight="1">
      <c r="A69" s="435" t="s">
        <v>2636</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3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35" customHeight="1">
      <c r="A71" s="435" t="s">
        <v>4130</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3499999999999996"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35" customHeight="1">
      <c r="A74" s="19" t="s">
        <v>2420</v>
      </c>
      <c r="B74" s="20">
        <f t="shared" ref="B74:K74" si="31">$B$14*(1+$B$5)^(B73-1)</f>
        <v>547743.98531595699</v>
      </c>
      <c r="C74" s="20">
        <f t="shared" si="31"/>
        <v>558698.86502227618</v>
      </c>
      <c r="D74" s="20">
        <f t="shared" si="31"/>
        <v>569872.84232272173</v>
      </c>
      <c r="E74" s="20">
        <f t="shared" si="31"/>
        <v>581270.29916917603</v>
      </c>
      <c r="F74" s="20">
        <f t="shared" si="31"/>
        <v>592895.70515255956</v>
      </c>
      <c r="G74" s="20">
        <f t="shared" si="31"/>
        <v>604753.61925561074</v>
      </c>
      <c r="H74" s="20">
        <f t="shared" si="31"/>
        <v>616848.69164072303</v>
      </c>
      <c r="I74" s="20">
        <f t="shared" si="31"/>
        <v>629185.6654735374</v>
      </c>
      <c r="J74" s="20">
        <f t="shared" si="31"/>
        <v>641769.3787830082</v>
      </c>
      <c r="K74" s="21">
        <f t="shared" si="31"/>
        <v>654604.76635866833</v>
      </c>
      <c r="N74" s="3216"/>
      <c r="O74" s="3217"/>
    </row>
    <row r="75" spans="1:15" ht="13.35" customHeight="1">
      <c r="A75" s="22" t="s">
        <v>1026</v>
      </c>
      <c r="B75" s="23">
        <f t="shared" ref="B75:K75" si="32">$B$15*(1+$B$5)^(B73-1)</f>
        <v>10954.87970631914</v>
      </c>
      <c r="C75" s="23">
        <f t="shared" si="32"/>
        <v>11173.977300445522</v>
      </c>
      <c r="D75" s="23">
        <f t="shared" si="32"/>
        <v>11397.456846454434</v>
      </c>
      <c r="E75" s="23">
        <f t="shared" si="32"/>
        <v>11625.40598338352</v>
      </c>
      <c r="F75" s="23">
        <f t="shared" si="32"/>
        <v>11857.914103051191</v>
      </c>
      <c r="G75" s="23">
        <f t="shared" si="32"/>
        <v>12095.072385112215</v>
      </c>
      <c r="H75" s="23">
        <f t="shared" si="32"/>
        <v>12336.973832814459</v>
      </c>
      <c r="I75" s="23">
        <f t="shared" si="32"/>
        <v>12583.713309470748</v>
      </c>
      <c r="J75" s="23">
        <f t="shared" si="32"/>
        <v>12835.387575660165</v>
      </c>
      <c r="K75" s="24">
        <f t="shared" si="32"/>
        <v>13092.095327173365</v>
      </c>
      <c r="N75" s="3218"/>
      <c r="O75" s="3219"/>
    </row>
    <row r="76" spans="1:15" ht="13.35" customHeight="1">
      <c r="A76" s="22" t="s">
        <v>2421</v>
      </c>
      <c r="B76" s="23">
        <f t="shared" ref="B76:K76" si="33">-(B74+B75)*$B$8</f>
        <v>-39108.920551559335</v>
      </c>
      <c r="C76" s="23">
        <f t="shared" si="33"/>
        <v>-39891.098962590528</v>
      </c>
      <c r="D76" s="23">
        <f t="shared" si="33"/>
        <v>-40688.920941842334</v>
      </c>
      <c r="E76" s="23">
        <f t="shared" si="33"/>
        <v>-41502.699360679173</v>
      </c>
      <c r="F76" s="23">
        <f t="shared" si="33"/>
        <v>-42332.753347892758</v>
      </c>
      <c r="G76" s="23">
        <f t="shared" si="33"/>
        <v>-43179.408414850608</v>
      </c>
      <c r="H76" s="23">
        <f t="shared" si="33"/>
        <v>-44042.996583147629</v>
      </c>
      <c r="I76" s="23">
        <f t="shared" si="33"/>
        <v>-44923.856514810577</v>
      </c>
      <c r="J76" s="23">
        <f t="shared" si="33"/>
        <v>-45822.333645106788</v>
      </c>
      <c r="K76" s="24">
        <f t="shared" si="33"/>
        <v>-46738.780318008925</v>
      </c>
      <c r="N76" s="3218"/>
      <c r="O76" s="3219"/>
    </row>
    <row r="77" spans="1:15" ht="13.3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3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35" customHeight="1">
      <c r="A79" s="22" t="s">
        <v>620</v>
      </c>
      <c r="B79" s="23">
        <f t="shared" ref="B79:K79" si="34">$B$19*(1+$B$6)^(B73-1)</f>
        <v>-411209.98757582798</v>
      </c>
      <c r="C79" s="23">
        <f t="shared" si="34"/>
        <v>-423546.28720310278</v>
      </c>
      <c r="D79" s="23">
        <f t="shared" si="34"/>
        <v>-436252.67581919592</v>
      </c>
      <c r="E79" s="23">
        <f t="shared" si="34"/>
        <v>-449340.25609377184</v>
      </c>
      <c r="F79" s="23">
        <f t="shared" si="34"/>
        <v>-462820.46377658489</v>
      </c>
      <c r="G79" s="23">
        <f t="shared" si="34"/>
        <v>-476705.07768988243</v>
      </c>
      <c r="H79" s="23">
        <f t="shared" si="34"/>
        <v>-491006.23002057901</v>
      </c>
      <c r="I79" s="23">
        <f t="shared" si="34"/>
        <v>-505736.41692119627</v>
      </c>
      <c r="J79" s="23">
        <f t="shared" si="34"/>
        <v>-520908.50942883221</v>
      </c>
      <c r="K79" s="24">
        <f t="shared" si="34"/>
        <v>-536535.76471169712</v>
      </c>
      <c r="N79" s="3218"/>
      <c r="O79" s="3219"/>
    </row>
    <row r="80" spans="1:15" ht="13.35" customHeight="1">
      <c r="A80" s="22" t="s">
        <v>1125</v>
      </c>
      <c r="B80" s="23">
        <f>IF(AND('Part VII-Pro Forma'!$G$8="Yes",'Part VII-Pro Forma'!$G$9="Yes"),"Choose One!",IF('Part VII-Pro Forma'!$G$8="Yes",ROUND((-$K$8*(1+'Part VII-Pro Forma'!$B$6)^('Part VII-Pro Forma'!B73-1)),),IF('Part VII-Pro Forma'!$G$9="Yes",ROUND((-(SUM(B74:B77)*'Part VII-Pro Forma'!$K$9)),),"Choose mgt fee")))</f>
        <v>-25979</v>
      </c>
      <c r="C80" s="23">
        <f>IF(AND('Part VII-Pro Forma'!$G$8="Yes",'Part VII-Pro Forma'!$G$9="Yes"),"Choose One!",IF('Part VII-Pro Forma'!$G$8="Yes",ROUND((-$K$8*(1+'Part VII-Pro Forma'!$B$6)^('Part VII-Pro Forma'!C73-1)),),IF('Part VII-Pro Forma'!$G$9="Yes",ROUND((-(SUM(C74:C77)*'Part VII-Pro Forma'!$K$9)),),"Choose mgt fee")))</f>
        <v>-26499</v>
      </c>
      <c r="D80" s="23">
        <f>IF(AND('Part VII-Pro Forma'!$G$8="Yes",'Part VII-Pro Forma'!$G$9="Yes"),"Choose One!",IF('Part VII-Pro Forma'!$G$8="Yes",ROUND((-$K$8*(1+'Part VII-Pro Forma'!$B$6)^('Part VII-Pro Forma'!D73-1)),),IF('Part VII-Pro Forma'!$G$9="Yes",ROUND((-(SUM(D74:D77)*'Part VII-Pro Forma'!$K$9)),),"Choose mgt fee")))</f>
        <v>-27029</v>
      </c>
      <c r="E80" s="23">
        <f>IF(AND('Part VII-Pro Forma'!$G$8="Yes",'Part VII-Pro Forma'!$G$9="Yes"),"Choose One!",IF('Part VII-Pro Forma'!$G$8="Yes",ROUND((-$K$8*(1+'Part VII-Pro Forma'!$B$6)^('Part VII-Pro Forma'!E73-1)),),IF('Part VII-Pro Forma'!$G$9="Yes",ROUND((-(SUM(E74:E77)*'Part VII-Pro Forma'!$K$9)),),"Choose mgt fee")))</f>
        <v>-27570</v>
      </c>
      <c r="F80" s="23">
        <f>IF(AND('Part VII-Pro Forma'!$G$8="Yes",'Part VII-Pro Forma'!$G$9="Yes"),"Choose One!",IF('Part VII-Pro Forma'!$G$8="Yes",ROUND((-$K$8*(1+'Part VII-Pro Forma'!$B$6)^('Part VII-Pro Forma'!F73-1)),),IF('Part VII-Pro Forma'!$G$9="Yes",ROUND((-(SUM(F74:F77)*'Part VII-Pro Forma'!$K$9)),),"Choose mgt fee")))</f>
        <v>-28121</v>
      </c>
      <c r="G80" s="23">
        <f>IF(AND('Part VII-Pro Forma'!$G$8="Yes",'Part VII-Pro Forma'!$G$9="Yes"),"Choose One!",IF('Part VII-Pro Forma'!$G$8="Yes",ROUND((-$K$8*(1+'Part VII-Pro Forma'!$B$6)^('Part VII-Pro Forma'!G73-1)),),IF('Part VII-Pro Forma'!$G$9="Yes",ROUND((-(SUM(G74:G77)*'Part VII-Pro Forma'!$K$9)),),"Choose mgt fee")))</f>
        <v>-28683</v>
      </c>
      <c r="H80" s="23">
        <f>IF(AND('Part VII-Pro Forma'!$G$8="Yes",'Part VII-Pro Forma'!$G$9="Yes"),"Choose One!",IF('Part VII-Pro Forma'!$G$8="Yes",ROUND((-$K$8*(1+'Part VII-Pro Forma'!$B$6)^('Part VII-Pro Forma'!H73-1)),),IF('Part VII-Pro Forma'!$G$9="Yes",ROUND((-(SUM(H74:H77)*'Part VII-Pro Forma'!$K$9)),),"Choose mgt fee")))</f>
        <v>-29257</v>
      </c>
      <c r="I80" s="23">
        <f>IF(AND('Part VII-Pro Forma'!$G$8="Yes",'Part VII-Pro Forma'!$G$9="Yes"),"Choose One!",IF('Part VII-Pro Forma'!$G$8="Yes",ROUND((-$K$8*(1+'Part VII-Pro Forma'!$B$6)^('Part VII-Pro Forma'!I73-1)),),IF('Part VII-Pro Forma'!$G$9="Yes",ROUND((-(SUM(I74:I77)*'Part VII-Pro Forma'!$K$9)),),"Choose mgt fee")))</f>
        <v>-29842</v>
      </c>
      <c r="J80" s="23">
        <f>IF(AND('Part VII-Pro Forma'!$G$8="Yes",'Part VII-Pro Forma'!$G$9="Yes"),"Choose One!",IF('Part VII-Pro Forma'!$G$8="Yes",ROUND((-$K$8*(1+'Part VII-Pro Forma'!$B$6)^('Part VII-Pro Forma'!J73-1)),),IF('Part VII-Pro Forma'!$G$9="Yes",ROUND((-(SUM(J74:J77)*'Part VII-Pro Forma'!$K$9)),),"Choose mgt fee")))</f>
        <v>-30439</v>
      </c>
      <c r="K80" s="23">
        <f>IF(AND('Part VII-Pro Forma'!$G$8="Yes",'Part VII-Pro Forma'!$G$9="Yes"),"Choose One!",IF('Part VII-Pro Forma'!$G$8="Yes",ROUND((-$K$8*(1+'Part VII-Pro Forma'!$B$6)^('Part VII-Pro Forma'!K73-1)),),IF('Part VII-Pro Forma'!$G$9="Yes",ROUND((-(SUM(K74:K77)*'Part VII-Pro Forma'!$K$9)),),"Choose mgt fee")))</f>
        <v>-31048</v>
      </c>
      <c r="N80" s="3218"/>
      <c r="O80" s="3219"/>
    </row>
    <row r="81" spans="1:15" ht="13.35" customHeight="1">
      <c r="A81" s="22" t="s">
        <v>1214</v>
      </c>
      <c r="B81" s="23">
        <f t="shared" ref="B81:K81" si="35">$B$21*(1+$B$7)^(B73-1)</f>
        <v>-24382.501668037079</v>
      </c>
      <c r="C81" s="23">
        <f t="shared" si="35"/>
        <v>-25113.976718078189</v>
      </c>
      <c r="D81" s="23">
        <f t="shared" si="35"/>
        <v>-25867.396019620537</v>
      </c>
      <c r="E81" s="23">
        <f t="shared" si="35"/>
        <v>-26643.417900209155</v>
      </c>
      <c r="F81" s="23">
        <f t="shared" si="35"/>
        <v>-27442.720437215423</v>
      </c>
      <c r="G81" s="23">
        <f t="shared" si="35"/>
        <v>-28266.002050331888</v>
      </c>
      <c r="H81" s="23">
        <f t="shared" si="35"/>
        <v>-29113.982111841848</v>
      </c>
      <c r="I81" s="23">
        <f t="shared" si="35"/>
        <v>-29987.401575197098</v>
      </c>
      <c r="J81" s="23">
        <f t="shared" si="35"/>
        <v>-30887.023622453013</v>
      </c>
      <c r="K81" s="24">
        <f t="shared" si="35"/>
        <v>-31813.634331126599</v>
      </c>
      <c r="N81" s="3218"/>
      <c r="O81" s="3219"/>
    </row>
    <row r="82" spans="1:15" ht="13.35" customHeight="1">
      <c r="A82" s="22" t="s">
        <v>1215</v>
      </c>
      <c r="B82" s="23">
        <f t="shared" ref="B82:K82" si="36">SUM(B74:B81)</f>
        <v>58018.455226851816</v>
      </c>
      <c r="C82" s="23">
        <f t="shared" si="36"/>
        <v>54822.479438950191</v>
      </c>
      <c r="D82" s="23">
        <f t="shared" si="36"/>
        <v>51432.306388517311</v>
      </c>
      <c r="E82" s="23">
        <f t="shared" si="36"/>
        <v>47839.331797899431</v>
      </c>
      <c r="F82" s="23">
        <f t="shared" si="36"/>
        <v>44036.68169391765</v>
      </c>
      <c r="G82" s="23">
        <f t="shared" si="36"/>
        <v>40015.203485658007</v>
      </c>
      <c r="H82" s="23">
        <f t="shared" si="36"/>
        <v>35765.45675796899</v>
      </c>
      <c r="I82" s="23">
        <f t="shared" si="36"/>
        <v>31279.703771804245</v>
      </c>
      <c r="J82" s="23">
        <f t="shared" si="36"/>
        <v>26547.899662276348</v>
      </c>
      <c r="K82" s="24">
        <f t="shared" si="36"/>
        <v>21560.682325009006</v>
      </c>
      <c r="N82" s="3218"/>
      <c r="O82" s="3219"/>
    </row>
    <row r="83" spans="1:15" ht="13.35" customHeight="1">
      <c r="A83" s="22" t="str">
        <f>$A53</f>
        <v>Mortgage A</v>
      </c>
      <c r="B83" s="3226">
        <f>IF('Part III-Sources of Funds'!$N$37="", 0,-'Part III-Sources of Funds'!$N$37)</f>
        <v>-61057.771069420298</v>
      </c>
      <c r="C83" s="3226">
        <f>IF('Part III-Sources of Funds'!$N$37="", 0,-'Part III-Sources of Funds'!$N$37)</f>
        <v>-61057.771069420298</v>
      </c>
      <c r="D83" s="3226">
        <f>IF('Part III-Sources of Funds'!$N$37="", 0,-'Part III-Sources of Funds'!$N$37)</f>
        <v>-61057.771069420298</v>
      </c>
      <c r="E83" s="3226">
        <f>IF('Part III-Sources of Funds'!$N$37="", 0,-'Part III-Sources of Funds'!$N$37)</f>
        <v>-61057.771069420298</v>
      </c>
      <c r="F83" s="3226">
        <f>IF('Part III-Sources of Funds'!$N$37="", 0,-'Part III-Sources of Funds'!$N$37)</f>
        <v>-61057.771069420298</v>
      </c>
      <c r="G83" s="3226">
        <f>IF('Part III-Sources of Funds'!$N$37="", 0,-'Part III-Sources of Funds'!$N$37)</f>
        <v>-61057.771069420298</v>
      </c>
      <c r="H83" s="3226">
        <f>IF('Part III-Sources of Funds'!$N$37="", 0,-'Part III-Sources of Funds'!$N$37)</f>
        <v>-61057.771069420298</v>
      </c>
      <c r="I83" s="3226">
        <f>IF('Part III-Sources of Funds'!$N$37="", 0,-'Part III-Sources of Funds'!$N$37)</f>
        <v>-61057.771069420298</v>
      </c>
      <c r="J83" s="3226">
        <f>IF('Part III-Sources of Funds'!$N$37="", 0,-'Part III-Sources of Funds'!$N$37)</f>
        <v>-61057.771069420298</v>
      </c>
      <c r="K83" s="3226">
        <f>IF('Part III-Sources of Funds'!$N$37="", 0,-'Part III-Sources of Funds'!$N$37)</f>
        <v>-61057.771069420298</v>
      </c>
      <c r="N83" s="3218"/>
      <c r="O83" s="3219"/>
    </row>
    <row r="84" spans="1:15" ht="13.3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3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3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35" customHeight="1">
      <c r="A87" s="22" t="s">
        <v>771</v>
      </c>
      <c r="B87" s="3228"/>
      <c r="C87" s="3228"/>
      <c r="D87" s="3228"/>
      <c r="E87" s="3228"/>
      <c r="F87" s="3228"/>
      <c r="G87" s="3228"/>
      <c r="H87" s="3228"/>
      <c r="I87" s="3228"/>
      <c r="J87" s="3228"/>
      <c r="K87" s="3228"/>
      <c r="N87" s="3218"/>
      <c r="O87" s="3219"/>
    </row>
    <row r="88" spans="1:15" ht="13.35" customHeight="1">
      <c r="A88" s="435" t="s">
        <v>1174</v>
      </c>
      <c r="B88" s="3230">
        <f>+K58</f>
        <v>0</v>
      </c>
      <c r="C88" s="3230">
        <f t="shared" ref="C88:K88" si="37">+B88</f>
        <v>0</v>
      </c>
      <c r="D88" s="3230">
        <f t="shared" si="37"/>
        <v>0</v>
      </c>
      <c r="E88" s="3230">
        <f t="shared" si="37"/>
        <v>0</v>
      </c>
      <c r="F88" s="3230">
        <f t="shared" si="37"/>
        <v>0</v>
      </c>
      <c r="G88" s="3230">
        <f t="shared" si="37"/>
        <v>0</v>
      </c>
      <c r="H88" s="3230">
        <f t="shared" si="37"/>
        <v>0</v>
      </c>
      <c r="I88" s="3230">
        <f t="shared" si="37"/>
        <v>0</v>
      </c>
      <c r="J88" s="3230">
        <f t="shared" si="37"/>
        <v>0</v>
      </c>
      <c r="K88" s="3230">
        <f t="shared" si="37"/>
        <v>0</v>
      </c>
      <c r="N88" s="3218"/>
      <c r="O88" s="3219"/>
    </row>
    <row r="89" spans="1:15" ht="13.35" customHeight="1">
      <c r="A89" s="22" t="s">
        <v>1175</v>
      </c>
      <c r="B89" s="23">
        <f t="shared" ref="B89:K89" si="38">SUM(B82:B88)</f>
        <v>-3039.3158425684815</v>
      </c>
      <c r="C89" s="23">
        <f t="shared" si="38"/>
        <v>-6235.2916304701066</v>
      </c>
      <c r="D89" s="23">
        <f t="shared" si="38"/>
        <v>-9625.4646809029873</v>
      </c>
      <c r="E89" s="23">
        <f t="shared" si="38"/>
        <v>-13218.439271520867</v>
      </c>
      <c r="F89" s="23">
        <f t="shared" si="38"/>
        <v>-17021.089375502648</v>
      </c>
      <c r="G89" s="23">
        <f t="shared" si="38"/>
        <v>-21042.567583762291</v>
      </c>
      <c r="H89" s="23">
        <f t="shared" si="38"/>
        <v>-25292.314311451308</v>
      </c>
      <c r="I89" s="23">
        <f t="shared" si="38"/>
        <v>-29778.067297616053</v>
      </c>
      <c r="J89" s="23">
        <f t="shared" si="38"/>
        <v>-34509.871407143946</v>
      </c>
      <c r="K89" s="24">
        <f t="shared" si="38"/>
        <v>-39497.088744411289</v>
      </c>
      <c r="N89" s="3218"/>
      <c r="O89" s="3219"/>
    </row>
    <row r="90" spans="1:15" ht="13.35" customHeight="1">
      <c r="A90" s="22" t="str">
        <f>$A61</f>
        <v>DCR Mortgage A</v>
      </c>
      <c r="B90" s="25">
        <f>IF(B83=0,"",-B82/B83)</f>
        <v>0.95022229293118321</v>
      </c>
      <c r="C90" s="25">
        <f t="shared" ref="C90:K90" si="39">IF(C83=0,"",-C82/C83)</f>
        <v>0.89787881998868213</v>
      </c>
      <c r="D90" s="25">
        <f t="shared" si="39"/>
        <v>0.84235479755788645</v>
      </c>
      <c r="E90" s="25">
        <f t="shared" si="39"/>
        <v>0.78350930536766539</v>
      </c>
      <c r="F90" s="25">
        <f t="shared" si="39"/>
        <v>0.72122976195527455</v>
      </c>
      <c r="G90" s="25">
        <f t="shared" si="39"/>
        <v>0.6553662668124961</v>
      </c>
      <c r="H90" s="25">
        <f t="shared" si="39"/>
        <v>0.58576420546542818</v>
      </c>
      <c r="I90" s="25">
        <f t="shared" si="39"/>
        <v>0.51229684975300593</v>
      </c>
      <c r="J90" s="25">
        <f t="shared" si="39"/>
        <v>0.43479968556487958</v>
      </c>
      <c r="K90" s="26">
        <f t="shared" si="39"/>
        <v>0.3531193809956697</v>
      </c>
      <c r="N90" s="3218"/>
      <c r="O90" s="3219"/>
    </row>
    <row r="91" spans="1:15" ht="13.3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3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3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35" customHeight="1">
      <c r="A94" s="435" t="s">
        <v>3740</v>
      </c>
      <c r="B94" s="25">
        <f>IF(AND(B83=0,B84=0,B85=0,B86=0),"",-B82/(B83+B84+B85+B86))</f>
        <v>0.95022229293118321</v>
      </c>
      <c r="C94" s="25">
        <f t="shared" ref="C94:K94" si="43">IF(AND(C83=0,C84=0,C85=0,C86=0),"",-C82/(C83+C84+C85+C86))</f>
        <v>0.89787881998868213</v>
      </c>
      <c r="D94" s="25">
        <f t="shared" si="43"/>
        <v>0.84235479755788645</v>
      </c>
      <c r="E94" s="25">
        <f t="shared" si="43"/>
        <v>0.78350930536766539</v>
      </c>
      <c r="F94" s="25">
        <f t="shared" si="43"/>
        <v>0.72122976195527455</v>
      </c>
      <c r="G94" s="25">
        <f t="shared" si="43"/>
        <v>0.6553662668124961</v>
      </c>
      <c r="H94" s="25">
        <f t="shared" si="43"/>
        <v>0.58576420546542818</v>
      </c>
      <c r="I94" s="25">
        <f t="shared" si="43"/>
        <v>0.51229684975300593</v>
      </c>
      <c r="J94" s="25">
        <f t="shared" si="43"/>
        <v>0.43479968556487958</v>
      </c>
      <c r="K94" s="26">
        <f t="shared" si="43"/>
        <v>0.3531193809956697</v>
      </c>
      <c r="N94" s="3218"/>
      <c r="O94" s="3219"/>
    </row>
    <row r="95" spans="1:15" ht="13.35" customHeight="1">
      <c r="A95" s="22" t="s">
        <v>778</v>
      </c>
      <c r="B95" s="274">
        <f>IF(OR(B80="Choose mgt fee",B80="Choose One!"),"",(B74+B75+B76+B77+B78) / -(B79+B80+B81))</f>
        <v>1.1256976580635347</v>
      </c>
      <c r="C95" s="274">
        <f t="shared" ref="C95:K95" si="44">IF(OR(C80="Choose mgt fee",C80="Choose One!"),"",(C74+C75+C76+C77+C78) / -(C79+C80+C81))</f>
        <v>1.1153770611279592</v>
      </c>
      <c r="D95" s="274">
        <f t="shared" si="44"/>
        <v>1.1051464867247365</v>
      </c>
      <c r="E95" s="274">
        <f t="shared" si="44"/>
        <v>1.0950034410799896</v>
      </c>
      <c r="F95" s="274">
        <f t="shared" si="44"/>
        <v>1.0849498943736202</v>
      </c>
      <c r="G95" s="274">
        <f t="shared" si="44"/>
        <v>1.0749834115484278</v>
      </c>
      <c r="H95" s="274">
        <f t="shared" si="44"/>
        <v>1.0651018206946454</v>
      </c>
      <c r="I95" s="274">
        <f t="shared" si="44"/>
        <v>1.0553069205189312</v>
      </c>
      <c r="J95" s="274">
        <f t="shared" si="44"/>
        <v>1.0455965734686814</v>
      </c>
      <c r="K95" s="275">
        <f t="shared" si="44"/>
        <v>1.0359705970687214</v>
      </c>
      <c r="N95" s="3218"/>
      <c r="O95" s="3219"/>
    </row>
    <row r="96" spans="1:15" ht="13.35" customHeight="1">
      <c r="A96" s="435" t="s">
        <v>2634</v>
      </c>
      <c r="B96" s="3231">
        <f>IF('Part III-Sources of Funds'!$I$37="","",-FV('Part III-Sources of Funds'!$K$37/12,12,B83/12,K67))</f>
        <v>415205.95051019994</v>
      </c>
      <c r="C96" s="3231">
        <f>IF('Part III-Sources of Funds'!$I$37="","",-FV('Part III-Sources of Funds'!$K$37/12,12,C83/12,B96))</f>
        <v>380103.03109116934</v>
      </c>
      <c r="D96" s="3231">
        <f>IF('Part III-Sources of Funds'!$I$37="","",-FV('Part III-Sources of Funds'!$K$37/12,12,D83/12,C96))</f>
        <v>342649.20414795022</v>
      </c>
      <c r="E96" s="3231">
        <f>IF('Part III-Sources of Funds'!$I$37="","",-FV('Part III-Sources of Funds'!$K$37/12,12,E83/12,D96))</f>
        <v>302687.025049761</v>
      </c>
      <c r="F96" s="3231">
        <f>IF('Part III-Sources of Funds'!$I$37="","",-FV('Part III-Sources of Funds'!$K$37/12,12,F83/12,E96))</f>
        <v>260048.50480730867</v>
      </c>
      <c r="G96" s="3231">
        <f>IF('Part III-Sources of Funds'!$I$37="","",-FV('Part III-Sources of Funds'!$K$37/12,12,G83/12,F96))</f>
        <v>214554.40389757144</v>
      </c>
      <c r="H96" s="3231">
        <f>IF('Part III-Sources of Funds'!$I$37="","",-FV('Part III-Sources of Funds'!$K$37/12,12,H83/12,G96))</f>
        <v>166013.47879471851</v>
      </c>
      <c r="I96" s="3231">
        <f>IF('Part III-Sources of Funds'!$I$37="","",-FV('Part III-Sources of Funds'!$K$37/12,12,I83/12,H96))</f>
        <v>114221.67803981075</v>
      </c>
      <c r="J96" s="3231">
        <f>IF('Part III-Sources of Funds'!$I$37="","",-FV('Part III-Sources of Funds'!$K$37/12,12,J83/12,I96))</f>
        <v>58961.284469800128</v>
      </c>
      <c r="K96" s="3231">
        <f>IF('Part III-Sources of Funds'!$I$37="","",-FV('Part III-Sources of Funds'!$K$37/12,12,K83/12,J96))</f>
        <v>1.6465492080897093E-8</v>
      </c>
      <c r="N96" s="3218"/>
      <c r="O96" s="3219"/>
    </row>
    <row r="97" spans="1:15" ht="13.35" customHeight="1">
      <c r="A97" s="435" t="s">
        <v>2635</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35" customHeight="1">
      <c r="A98" s="435" t="s">
        <v>2636</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3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3499999999999996"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3730</v>
      </c>
      <c r="O101" s="1724"/>
    </row>
    <row r="102" spans="1:15" ht="13.35" customHeight="1">
      <c r="A102" s="19" t="s">
        <v>2420</v>
      </c>
      <c r="B102" s="20">
        <f>$B$14*(1+$B$5)^(B101-1)</f>
        <v>667696.86168584169</v>
      </c>
      <c r="C102" s="20">
        <f>$B$14*(1+$B$5)^(C101-1)</f>
        <v>681050.79891955841</v>
      </c>
      <c r="D102" s="20">
        <f>$B$14*(1+$B$5)^(D101-1)</f>
        <v>694671.81489794969</v>
      </c>
      <c r="E102" s="20">
        <f>$B$14*(1+$B$5)^(E101-1)</f>
        <v>708565.25119590876</v>
      </c>
      <c r="F102" s="670">
        <f>$B$14*(1+$B$5)^(F101-1)</f>
        <v>722736.55621982692</v>
      </c>
      <c r="G102" s="18"/>
      <c r="H102" s="18"/>
      <c r="I102" s="18"/>
      <c r="J102" s="18"/>
      <c r="K102" s="18"/>
      <c r="N102" s="3216"/>
      <c r="O102" s="3217"/>
    </row>
    <row r="103" spans="1:15" ht="13.35" customHeight="1">
      <c r="A103" s="22" t="s">
        <v>1026</v>
      </c>
      <c r="B103" s="23">
        <f>$B$15*(1+$B$5)^(B101-1)</f>
        <v>13353.937233716833</v>
      </c>
      <c r="C103" s="23">
        <f>$B$15*(1+$B$5)^(C101-1)</f>
        <v>13621.015978391168</v>
      </c>
      <c r="D103" s="23">
        <f>$B$15*(1+$B$5)^(D101-1)</f>
        <v>13893.436297958993</v>
      </c>
      <c r="E103" s="23">
        <f>$B$15*(1+$B$5)^(E101-1)</f>
        <v>14171.305023918176</v>
      </c>
      <c r="F103" s="24">
        <f>$B$15*(1+$B$5)^(F101-1)</f>
        <v>14454.731124396538</v>
      </c>
      <c r="G103" s="18"/>
      <c r="H103" s="18"/>
      <c r="I103" s="18"/>
      <c r="J103" s="18"/>
      <c r="K103" s="18"/>
      <c r="N103" s="3218"/>
      <c r="O103" s="3219"/>
    </row>
    <row r="104" spans="1:15" ht="13.35" customHeight="1">
      <c r="A104" s="22" t="s">
        <v>2421</v>
      </c>
      <c r="B104" s="23">
        <f>-(B102+B103)*$B$8</f>
        <v>-47673.555924369102</v>
      </c>
      <c r="C104" s="23">
        <f>-(C102+C103)*$B$8</f>
        <v>-48627.027042856476</v>
      </c>
      <c r="D104" s="23">
        <f>-(D102+D103)*$B$8</f>
        <v>-49599.567583713608</v>
      </c>
      <c r="E104" s="23">
        <f>-(E102+E103)*$B$8</f>
        <v>-50591.55893538789</v>
      </c>
      <c r="F104" s="24">
        <f>-(F102+F103)*$B$8</f>
        <v>-51603.390114095651</v>
      </c>
      <c r="G104" s="18"/>
      <c r="H104" s="18"/>
      <c r="I104" s="18"/>
      <c r="J104" s="18"/>
      <c r="K104" s="18"/>
      <c r="N104" s="3218"/>
      <c r="O104" s="3219"/>
    </row>
    <row r="105" spans="1:15" ht="13.3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3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35" customHeight="1">
      <c r="A107" s="22" t="s">
        <v>620</v>
      </c>
      <c r="B107" s="23">
        <f>$B$19*(1+$B$6)^(B101-1)</f>
        <v>-552631.83765304799</v>
      </c>
      <c r="C107" s="23">
        <f>$B$19*(1+$B$6)^(C101-1)</f>
        <v>-569210.7927826395</v>
      </c>
      <c r="D107" s="23">
        <f>$B$19*(1+$B$6)^(D101-1)</f>
        <v>-586287.11656611867</v>
      </c>
      <c r="E107" s="23">
        <f>$B$19*(1+$B$6)^(E101-1)</f>
        <v>-603875.73006310221</v>
      </c>
      <c r="F107" s="24">
        <f>$B$19*(1+$B$6)^(F101-1)</f>
        <v>-621992.00196499517</v>
      </c>
      <c r="G107" s="18"/>
      <c r="H107" s="18"/>
      <c r="I107" s="18"/>
      <c r="J107" s="18"/>
      <c r="K107" s="18"/>
      <c r="N107" s="3218"/>
      <c r="O107" s="3219"/>
    </row>
    <row r="108" spans="1:15" ht="13.35" customHeight="1">
      <c r="A108" s="22" t="s">
        <v>1125</v>
      </c>
      <c r="B108" s="23">
        <f>IF(AND('Part VII-Pro Forma'!$G$8="Yes",'Part VII-Pro Forma'!$G$9="Yes"),"Choose One!",IF('Part VII-Pro Forma'!$G$8="Yes",ROUND((-$K$8*(1+'Part VII-Pro Forma'!$B$6)^('Part VII-Pro Forma'!B101-1)),),IF('Part VII-Pro Forma'!$G$9="Yes",ROUND((-(SUM(B102:B105)*'Part VII-Pro Forma'!$K$9)),),"Choose mgt fee")))</f>
        <v>-31669</v>
      </c>
      <c r="C108" s="23">
        <f>IF(AND('Part VII-Pro Forma'!$G$8="Yes",'Part VII-Pro Forma'!$G$9="Yes"),"Choose One!",IF('Part VII-Pro Forma'!$G$8="Yes",ROUND((-$K$8*(1+'Part VII-Pro Forma'!$B$6)^('Part VII-Pro Forma'!C101-1)),),IF('Part VII-Pro Forma'!$G$9="Yes",ROUND((-(SUM(C102:C105)*'Part VII-Pro Forma'!$K$9)),),"Choose mgt fee")))</f>
        <v>-32302</v>
      </c>
      <c r="D108" s="23">
        <f>IF(AND('Part VII-Pro Forma'!$G$8="Yes",'Part VII-Pro Forma'!$G$9="Yes"),"Choose One!",IF('Part VII-Pro Forma'!$G$8="Yes",ROUND((-$K$8*(1+'Part VII-Pro Forma'!$B$6)^('Part VII-Pro Forma'!D101-1)),),IF('Part VII-Pro Forma'!$G$9="Yes",ROUND((-(SUM(D102:D105)*'Part VII-Pro Forma'!$K$9)),),"Choose mgt fee")))</f>
        <v>-32948</v>
      </c>
      <c r="E108" s="23">
        <f>IF(AND('Part VII-Pro Forma'!$G$8="Yes",'Part VII-Pro Forma'!$G$9="Yes"),"Choose One!",IF('Part VII-Pro Forma'!$G$8="Yes",ROUND((-$K$8*(1+'Part VII-Pro Forma'!$B$6)^('Part VII-Pro Forma'!E101-1)),),IF('Part VII-Pro Forma'!$G$9="Yes",ROUND((-(SUM(E102:E105)*'Part VII-Pro Forma'!$K$9)),),"Choose mgt fee")))</f>
        <v>-33607</v>
      </c>
      <c r="F108" s="24">
        <f>IF(AND('Part VII-Pro Forma'!$G$8="Yes",'Part VII-Pro Forma'!$G$9="Yes"),"Choose One!",IF('Part VII-Pro Forma'!$G$8="Yes",ROUND((-$K$8*(1+'Part VII-Pro Forma'!$B$6)^('Part VII-Pro Forma'!F101-1)),),IF('Part VII-Pro Forma'!$G$9="Yes",ROUND((-(SUM(F102:F105)*'Part VII-Pro Forma'!$K$9)),),"Choose mgt fee")))</f>
        <v>-34279</v>
      </c>
      <c r="G108" s="18"/>
      <c r="H108" s="18"/>
      <c r="I108" s="18"/>
      <c r="J108" s="18"/>
      <c r="K108" s="18"/>
      <c r="N108" s="3218"/>
      <c r="O108" s="3219"/>
    </row>
    <row r="109" spans="1:15" ht="13.35" customHeight="1">
      <c r="A109" s="22" t="s">
        <v>1214</v>
      </c>
      <c r="B109" s="23">
        <f>$B$21*(1+$B$7)^(B101-1)</f>
        <v>-32768.043361060401</v>
      </c>
      <c r="C109" s="23">
        <f>$B$21*(1+$B$7)^(C101-1)</f>
        <v>-33751.084661892215</v>
      </c>
      <c r="D109" s="23">
        <f>$B$21*(1+$B$7)^(D101-1)</f>
        <v>-34763.617201748973</v>
      </c>
      <c r="E109" s="23">
        <f>$B$21*(1+$B$7)^(E101-1)</f>
        <v>-35806.525717801444</v>
      </c>
      <c r="F109" s="24">
        <f>$B$21*(1+$B$7)^(F101-1)</f>
        <v>-36880.721489335483</v>
      </c>
      <c r="G109" s="18"/>
      <c r="H109" s="18"/>
      <c r="I109" s="18"/>
      <c r="J109" s="18"/>
      <c r="K109" s="18"/>
      <c r="N109" s="3218"/>
      <c r="O109" s="3219"/>
    </row>
    <row r="110" spans="1:15" ht="13.35" customHeight="1">
      <c r="A110" s="22" t="s">
        <v>1215</v>
      </c>
      <c r="B110" s="23">
        <f>SUM(B102:B109)</f>
        <v>16308.361981080998</v>
      </c>
      <c r="C110" s="23">
        <f>SUM(C102:C109)</f>
        <v>10780.910410561417</v>
      </c>
      <c r="D110" s="23">
        <f>SUM(D102:D109)</f>
        <v>4966.9498443274351</v>
      </c>
      <c r="E110" s="23">
        <f>SUM(E102:E109)</f>
        <v>-1144.2584964646085</v>
      </c>
      <c r="F110" s="24">
        <f>SUM(F102:F109)</f>
        <v>-7563.8262242028286</v>
      </c>
      <c r="G110" s="18"/>
      <c r="H110" s="18"/>
      <c r="I110" s="18"/>
      <c r="J110" s="18"/>
      <c r="K110" s="18"/>
      <c r="N110" s="3218"/>
      <c r="O110" s="3219"/>
    </row>
    <row r="111" spans="1:15" ht="13.35" customHeight="1">
      <c r="A111" s="22" t="str">
        <f>$A83</f>
        <v>Mortgage A</v>
      </c>
      <c r="B111" s="3226">
        <f>IF('Part III-Sources of Funds'!$N$37="", 0,-'Part III-Sources of Funds'!$N$37)</f>
        <v>-61057.771069420298</v>
      </c>
      <c r="C111" s="3226">
        <f>IF('Part III-Sources of Funds'!$N$37="", 0,-'Part III-Sources of Funds'!$N$37)</f>
        <v>-61057.771069420298</v>
      </c>
      <c r="D111" s="3226">
        <f>IF('Part III-Sources of Funds'!$N$37="", 0,-'Part III-Sources of Funds'!$N$37)</f>
        <v>-61057.771069420298</v>
      </c>
      <c r="E111" s="3226">
        <f>IF('Part III-Sources of Funds'!$N$37="", 0,-'Part III-Sources of Funds'!$N$37)</f>
        <v>-61057.771069420298</v>
      </c>
      <c r="F111" s="3226">
        <f>IF('Part III-Sources of Funds'!$N$37="", 0,-'Part III-Sources of Funds'!$N$37)</f>
        <v>-61057.771069420298</v>
      </c>
      <c r="G111" s="18"/>
      <c r="H111" s="18"/>
      <c r="I111" s="18"/>
      <c r="J111" s="18"/>
      <c r="K111" s="18"/>
      <c r="N111" s="3218"/>
      <c r="O111" s="3219"/>
    </row>
    <row r="112" spans="1:15" ht="13.3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3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3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35" customHeight="1">
      <c r="A115" s="22" t="s">
        <v>771</v>
      </c>
      <c r="B115" s="3228"/>
      <c r="C115" s="3228"/>
      <c r="D115" s="3228"/>
      <c r="E115" s="3228"/>
      <c r="F115" s="3228"/>
      <c r="G115" s="18"/>
      <c r="H115" s="18"/>
      <c r="I115" s="18"/>
      <c r="J115" s="18"/>
      <c r="K115" s="18"/>
      <c r="N115" s="3218"/>
      <c r="O115" s="3219"/>
    </row>
    <row r="116" spans="1:15" ht="13.35" customHeight="1">
      <c r="A116" s="22" t="s">
        <v>1174</v>
      </c>
      <c r="B116" s="3230">
        <f>+K88</f>
        <v>0</v>
      </c>
      <c r="C116" s="3230">
        <f>+B116</f>
        <v>0</v>
      </c>
      <c r="D116" s="3230">
        <f>+C116</f>
        <v>0</v>
      </c>
      <c r="E116" s="3230">
        <f>+D116</f>
        <v>0</v>
      </c>
      <c r="F116" s="3230">
        <f>+E116</f>
        <v>0</v>
      </c>
      <c r="G116" s="18"/>
      <c r="H116" s="18"/>
      <c r="I116" s="18"/>
      <c r="J116" s="18"/>
      <c r="K116" s="18"/>
      <c r="N116" s="3218"/>
      <c r="O116" s="3219"/>
    </row>
    <row r="117" spans="1:15" ht="13.35" customHeight="1">
      <c r="A117" s="22" t="s">
        <v>1175</v>
      </c>
      <c r="B117" s="23">
        <f>SUM(B110:B116)</f>
        <v>-44749.4090883393</v>
      </c>
      <c r="C117" s="23">
        <f>SUM(C110:C116)</f>
        <v>-50276.860658858881</v>
      </c>
      <c r="D117" s="23">
        <f>SUM(D110:D116)</f>
        <v>-56090.821225092863</v>
      </c>
      <c r="E117" s="23">
        <f>SUM(E110:E116)</f>
        <v>-62202.029565884906</v>
      </c>
      <c r="F117" s="24">
        <f>SUM(F110:F116)</f>
        <v>-68621.597293623126</v>
      </c>
      <c r="G117" s="18"/>
      <c r="H117" s="18"/>
      <c r="I117" s="18"/>
      <c r="J117" s="18"/>
      <c r="K117" s="18"/>
      <c r="N117" s="3218"/>
      <c r="O117" s="3219"/>
    </row>
    <row r="118" spans="1:15" ht="13.35" customHeight="1">
      <c r="A118" s="22" t="str">
        <f>$A90</f>
        <v>DCR Mortgage A</v>
      </c>
      <c r="B118" s="25">
        <f>IF(B111=0,"",-B110/B111)</f>
        <v>0.26709723750870351</v>
      </c>
      <c r="C118" s="25">
        <f>IF(C111=0,"",-C110/C111)</f>
        <v>0.17656901360359098</v>
      </c>
      <c r="D118" s="25">
        <f>IF(D111=0,"",-D110/D111)</f>
        <v>8.1348364955546898E-2</v>
      </c>
      <c r="E118" s="25">
        <f>IF(E111=0,"",-E110/E111)</f>
        <v>-1.8740587421110268E-2</v>
      </c>
      <c r="F118" s="26">
        <f>IF(F111=0,"",-F110/F111)</f>
        <v>-0.12387982875436206</v>
      </c>
      <c r="G118" s="18"/>
      <c r="H118" s="18"/>
      <c r="I118" s="18"/>
      <c r="J118" s="18"/>
      <c r="K118" s="18"/>
      <c r="N118" s="3218"/>
      <c r="O118" s="3219"/>
    </row>
    <row r="119" spans="1:15" ht="13.3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3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3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35" customHeight="1">
      <c r="A122" s="435" t="s">
        <v>3740</v>
      </c>
      <c r="B122" s="25">
        <f>IF(AND(B111=0,B112=0,B113=0,B114=0),"",-B110/(B111+B112+B113+B114))</f>
        <v>0.26709723750870351</v>
      </c>
      <c r="C122" s="25">
        <f>IF(AND(C111=0,C112=0,C113=0,C114=0),"",-C110/(C111+C112+C113+C114))</f>
        <v>0.17656901360359098</v>
      </c>
      <c r="D122" s="25">
        <f>IF(AND(D111=0,D112=0,D113=0,D114=0),"",-D110/(D111+D112+D113+D114))</f>
        <v>8.1348364955546898E-2</v>
      </c>
      <c r="E122" s="25">
        <f>IF(AND(E111=0,E112=0,E113=0,E114=0),"",-E110/(E111+E112+E113+E114))</f>
        <v>-1.8740587421110268E-2</v>
      </c>
      <c r="F122" s="26">
        <f>IF(AND(F111=0,F112=0,F113=0,F114=0),"",-F110/(F111+F112+F113+F114))</f>
        <v>-0.12387982875436206</v>
      </c>
      <c r="G122" s="18"/>
      <c r="H122" s="18"/>
      <c r="I122" s="18"/>
      <c r="J122" s="18"/>
      <c r="K122" s="18"/>
      <c r="N122" s="3218"/>
      <c r="O122" s="3219"/>
    </row>
    <row r="123" spans="1:15" ht="13.35" customHeight="1">
      <c r="A123" s="22" t="s">
        <v>778</v>
      </c>
      <c r="B123" s="274">
        <f>IF(OR(B108="Choose mgt fee",B108="Choose One!"),"",(B102+B103+B104+B105+B106) / -(B107+B108+B109))</f>
        <v>1.0264287545245829</v>
      </c>
      <c r="C123" s="274">
        <f>IF(OR(C108="Choose mgt fee",C108="Choose One!"),"",(C102+C103+C104+C105+C106) / -(C107+C108+C109))</f>
        <v>1.0169707593857369</v>
      </c>
      <c r="D123" s="274">
        <f>IF(OR(D108="Choose mgt fee",D108="Choose One!"),"",(D102+D103+D104+D105+D106) / -(D107+D108+D109))</f>
        <v>1.0075947392370492</v>
      </c>
      <c r="E123" s="274">
        <f>IF(OR(E108="Choose mgt fee",E108="Choose One!"),"",(E102+E103+E104+E105+E106) / -(E107+E108+E109))</f>
        <v>0.99830049494085948</v>
      </c>
      <c r="F123" s="671">
        <f>IF(OR(F108="Choose mgt fee",F108="Choose One!"),"",(F102+F103+F104+F105+F106) / -(F107+F108+F109))</f>
        <v>0.98908777693502881</v>
      </c>
      <c r="G123" s="18"/>
      <c r="H123" s="18"/>
      <c r="I123" s="18"/>
      <c r="J123" s="18"/>
      <c r="K123" s="18"/>
      <c r="N123" s="3218"/>
      <c r="O123" s="3219"/>
    </row>
    <row r="124" spans="1:15" ht="13.35" customHeight="1">
      <c r="A124" s="435" t="s">
        <v>2634</v>
      </c>
      <c r="B124" s="3231">
        <f>IF('Part III-Sources of Funds'!$I$37="","",-FV('Part III-Sources of Funds'!$K$37/12,12,B111/12,K96))</f>
        <v>-62910.030887157387</v>
      </c>
      <c r="C124" s="3231">
        <f>IF('Part III-Sources of Funds'!$I$37="","",-FV('Part III-Sources of Funds'!$K$37/12,12,C111/12,B124))</f>
        <v>-130033.26305238246</v>
      </c>
      <c r="D124" s="3231">
        <f>IF('Part III-Sources of Funds'!$I$37="","",-FV('Part III-Sources of Funds'!$K$37/12,12,D111/12,C124))</f>
        <v>-201651.86238810932</v>
      </c>
      <c r="E124" s="3231">
        <f>IF('Part III-Sources of Funds'!$I$37="","",-FV('Part III-Sources of Funds'!$K$37/12,12,E111/12,D124))</f>
        <v>-278066.89195917791</v>
      </c>
      <c r="F124" s="3231">
        <f>IF('Part III-Sources of Funds'!$I$37="","",-FV('Part III-Sources of Funds'!$K$37/12,12,F111/12,E124))</f>
        <v>-359599.57758145005</v>
      </c>
      <c r="G124" s="18"/>
      <c r="H124" s="18"/>
      <c r="I124" s="18"/>
      <c r="J124" s="18"/>
      <c r="K124" s="18"/>
      <c r="N124" s="3218"/>
      <c r="O124" s="3219"/>
    </row>
    <row r="125" spans="1:15" ht="13.35" customHeight="1">
      <c r="A125" s="435" t="s">
        <v>2635</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35" customHeight="1">
      <c r="A126" s="435" t="s">
        <v>2636</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3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3499999999999996" customHeight="1"/>
    <row r="129" spans="1:18" ht="12" customHeight="1">
      <c r="A129" s="14" t="s">
        <v>576</v>
      </c>
      <c r="B129" s="14"/>
      <c r="G129" s="14" t="s">
        <v>1041</v>
      </c>
    </row>
    <row r="130" spans="1:18" ht="12" customHeight="1">
      <c r="B130" s="32"/>
    </row>
    <row r="131" spans="1:18" ht="409.5" customHeight="1">
      <c r="A131" s="3232" t="s">
        <v>4672</v>
      </c>
      <c r="B131" s="3233"/>
      <c r="C131" s="3233"/>
      <c r="D131" s="3233"/>
      <c r="E131" s="3233"/>
      <c r="F131" s="3234"/>
      <c r="G131" s="3235"/>
      <c r="H131" s="3236"/>
      <c r="I131" s="3236"/>
      <c r="J131" s="3236"/>
      <c r="K131" s="3237"/>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VAM2xPDlQ0pHh3ImQDAfQ6ioJGajLN7V4YuBgS2vwa3C88rnxMCieUNlkng0YvnbZrbmRD4xbv5PYJECU5XsWQ==" saltValue="EKoZ84p1YCAiSNBmSLqBu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243" zoomScaleNormal="100" workbookViewId="0">
      <selection sqref="A1:XFD1048576"/>
    </sheetView>
  </sheetViews>
  <sheetFormatPr defaultColWidth="9.140625" defaultRowHeight="12.75"/>
  <cols>
    <col min="1" max="1" width="5.42578125" style="36" customWidth="1"/>
    <col min="2" max="2" width="2.5703125" style="36" customWidth="1"/>
    <col min="3" max="3" width="2.42578125" style="36" customWidth="1"/>
    <col min="4" max="10" width="8.85546875" style="36" customWidth="1"/>
    <col min="11" max="11" width="7.5703125" style="36" customWidth="1"/>
    <col min="12" max="15" width="9.42578125" style="36" customWidth="1"/>
    <col min="16" max="16" width="8.85546875" style="36" customWidth="1"/>
    <col min="17" max="17" width="9.42578125" style="36" customWidth="1"/>
    <col min="18" max="30" width="9.140625" style="36"/>
    <col min="31" max="32" width="9.140625" style="132"/>
    <col min="33" max="16384" width="9.140625" style="36"/>
  </cols>
  <sheetData>
    <row r="1" spans="1:32" ht="14.1" customHeight="1">
      <c r="A1" s="1737" t="str">
        <f>CONCATENATE("PART EIGHT - THRESHOLD CRITERIA","  -  ",'Part I-Project Information'!$O$6," ",'Part I-Project Information'!$F$34,", ",'Part I-Project Information'!F38,", ",'Part I-Project Information'!J39," County")</f>
        <v>PART EIGHT - THRESHOLD CRITERIA  -  2018-041 Pointe North Village III, Albany, Dougherty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1.1"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3874</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4.1"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3780</v>
      </c>
      <c r="C31" s="69"/>
      <c r="D31" s="69"/>
      <c r="E31" s="69"/>
      <c r="F31" s="69"/>
      <c r="G31" s="1589"/>
      <c r="H31" s="1589"/>
      <c r="I31" s="1589"/>
      <c r="J31" s="1589"/>
      <c r="K31" s="1585"/>
      <c r="L31" s="1585"/>
      <c r="M31" s="1585"/>
      <c r="N31" s="1585"/>
      <c r="O31" s="1585"/>
      <c r="P31" s="955"/>
      <c r="S31" s="163"/>
      <c r="T31" s="163"/>
    </row>
    <row r="32" spans="1:31" ht="108.75" customHeight="1">
      <c r="A32" s="3112" t="s">
        <v>4645</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3660</v>
      </c>
      <c r="L37" s="2003"/>
      <c r="M37" s="2003"/>
      <c r="N37" s="2004"/>
    </row>
    <row r="38" spans="1:295" ht="11.25" customHeight="1">
      <c r="A38" s="1999"/>
      <c r="B38" s="1999"/>
      <c r="C38" s="1999"/>
      <c r="D38" s="1999"/>
      <c r="E38" s="1999"/>
      <c r="F38" s="1999"/>
      <c r="G38" s="2005" t="s">
        <v>348</v>
      </c>
      <c r="H38" s="2006"/>
      <c r="I38" s="656"/>
      <c r="J38" s="43"/>
      <c r="K38" s="1945" t="s">
        <v>3661</v>
      </c>
      <c r="L38" s="1946"/>
      <c r="M38" s="1946"/>
      <c r="N38" s="1947"/>
      <c r="P38" s="545" t="s">
        <v>2753</v>
      </c>
      <c r="Q38" s="2999"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92"/>
      <c r="P41" s="1952" t="s">
        <v>3922</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92"/>
      <c r="P42" s="1994" t="str">
        <f>IF('Part I-Project Information'!$F$38="","",VLOOKUP('Part I-Project Information'!$J$39,'DCA Underwriting Assumptions'!$G$155:$N$314,8,FALSE))</f>
        <v>Albany</v>
      </c>
      <c r="Q42" s="1995"/>
      <c r="R42" s="422"/>
      <c r="S42" s="1985" t="s">
        <v>4135</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92"/>
      <c r="P44" s="1917" t="s">
        <v>3657</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92"/>
      <c r="P45" s="1961">
        <f>'Part IV-A-Uses of Funds'!$G$132</f>
        <v>10235578.982141985</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1965" t="s">
        <v>4134</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1953" t="s">
        <v>3655</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1953" t="s">
        <v>3656</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5</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6</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6 units = </v>
      </c>
      <c r="I63" s="906">
        <f>F63*G63</f>
        <v>887022</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11531334</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24</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24 units = </v>
      </c>
      <c r="I64" s="906">
        <f>F64*G64</f>
        <v>4561848</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24</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24 units = </v>
      </c>
      <c r="I65" s="906">
        <f>F65*G65</f>
        <v>6082464</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1950" t="s">
        <v>4295</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54</v>
      </c>
      <c r="G67" s="659"/>
      <c r="H67" s="1199"/>
      <c r="I67" s="1202">
        <f>SUM(I62:I66)</f>
        <v>11531334</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54</v>
      </c>
      <c r="G69" s="346"/>
      <c r="H69" s="1951">
        <f>I46+I53+I60+I67</f>
        <v>11531334</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89"/>
      <c r="J70" s="1589"/>
      <c r="K70" s="141" t="s">
        <v>1880</v>
      </c>
      <c r="L70" s="1585"/>
      <c r="M70" s="1585"/>
      <c r="N70" s="1585"/>
      <c r="O70" s="1585"/>
      <c r="P70" s="1585"/>
      <c r="Q70" s="955"/>
    </row>
    <row r="71" spans="1:295" ht="10.5" customHeight="1">
      <c r="A71" s="3112" t="s">
        <v>4592</v>
      </c>
      <c r="B71" s="3113"/>
      <c r="C71" s="3113"/>
      <c r="D71" s="3113"/>
      <c r="E71" s="3113"/>
      <c r="F71" s="3113"/>
      <c r="G71" s="3113"/>
      <c r="H71" s="3113"/>
      <c r="I71" s="3113"/>
      <c r="J71" s="3114"/>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5" t="str">
        <f>'Part I-Project Information'!$H$78</f>
        <v>Family</v>
      </c>
      <c r="K73" s="3116"/>
      <c r="L73" s="3117"/>
      <c r="O73" s="136" t="s">
        <v>1881</v>
      </c>
      <c r="P73" s="1897"/>
      <c r="Q73" s="1904"/>
    </row>
    <row r="74" spans="1:295" ht="10.5" customHeight="1">
      <c r="B74" s="98" t="s">
        <v>3780</v>
      </c>
      <c r="D74" s="98"/>
      <c r="E74" s="98"/>
      <c r="F74" s="98"/>
      <c r="G74" s="98"/>
      <c r="H74" s="41"/>
      <c r="I74" s="1589"/>
      <c r="J74" s="1589"/>
      <c r="K74" s="141" t="s">
        <v>1880</v>
      </c>
      <c r="L74" s="1585"/>
      <c r="M74" s="1585"/>
      <c r="N74" s="1585"/>
      <c r="O74" s="1585"/>
      <c r="P74" s="1585"/>
      <c r="Q74" s="955"/>
    </row>
    <row r="75" spans="1:295" ht="10.5" customHeight="1">
      <c r="A75" s="3112" t="s">
        <v>4646</v>
      </c>
      <c r="B75" s="3113"/>
      <c r="C75" s="3113"/>
      <c r="D75" s="3113"/>
      <c r="E75" s="3113"/>
      <c r="F75" s="3113"/>
      <c r="G75" s="3113"/>
      <c r="H75" s="3113"/>
      <c r="I75" s="3113"/>
      <c r="J75" s="3114"/>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3770</v>
      </c>
      <c r="D79" s="1003"/>
      <c r="E79" s="1003"/>
      <c r="F79" s="1003"/>
      <c r="G79" s="1003"/>
      <c r="H79" s="1003"/>
      <c r="I79" s="1003"/>
      <c r="K79" s="1003"/>
      <c r="L79" s="1003"/>
      <c r="M79" s="1004" t="s">
        <v>3723</v>
      </c>
      <c r="O79" s="147"/>
      <c r="P79" s="2999"/>
    </row>
    <row r="80" spans="1:295" ht="10.5" customHeight="1">
      <c r="A80" s="48" t="s">
        <v>2001</v>
      </c>
      <c r="B80" s="956" t="s">
        <v>3769</v>
      </c>
      <c r="D80" s="956"/>
      <c r="E80" s="956"/>
      <c r="F80" s="956"/>
      <c r="G80" s="956"/>
      <c r="H80" s="956"/>
      <c r="I80" s="956"/>
      <c r="J80" s="956"/>
      <c r="K80" s="956"/>
      <c r="L80" s="956"/>
      <c r="M80" s="956"/>
      <c r="O80" s="956"/>
      <c r="P80" s="956"/>
      <c r="Q80" s="956"/>
    </row>
    <row r="81" spans="1:31" ht="11.1" customHeight="1">
      <c r="A81" s="148"/>
      <c r="B81" s="68" t="s">
        <v>1750</v>
      </c>
      <c r="C81" s="956" t="s">
        <v>3507</v>
      </c>
      <c r="E81" s="1594"/>
      <c r="F81" s="1594"/>
      <c r="G81" s="1594"/>
      <c r="H81" s="34"/>
      <c r="I81" s="37" t="s">
        <v>2723</v>
      </c>
      <c r="J81" s="3118" t="s">
        <v>4593</v>
      </c>
      <c r="K81" s="3119"/>
      <c r="L81" s="3119"/>
      <c r="M81" s="3119"/>
      <c r="N81" s="3119"/>
      <c r="O81" s="3119"/>
      <c r="P81" s="3119"/>
      <c r="Q81" s="3120"/>
    </row>
    <row r="82" spans="1:31" ht="11.1" customHeight="1">
      <c r="A82" s="148"/>
      <c r="B82" s="68" t="s">
        <v>1751</v>
      </c>
      <c r="C82" s="956" t="s">
        <v>3605</v>
      </c>
      <c r="E82" s="1594"/>
      <c r="F82" s="1594"/>
      <c r="G82" s="1594"/>
      <c r="H82" s="34"/>
      <c r="I82" s="37" t="s">
        <v>2723</v>
      </c>
      <c r="J82" s="3121" t="s">
        <v>4594</v>
      </c>
      <c r="K82" s="3122"/>
      <c r="L82" s="3122"/>
      <c r="M82" s="3122"/>
      <c r="N82" s="3122"/>
      <c r="O82" s="3122"/>
      <c r="P82" s="3122"/>
      <c r="Q82" s="3123"/>
    </row>
    <row r="83" spans="1:31" ht="11.1" customHeight="1">
      <c r="A83" s="148"/>
      <c r="B83" s="68" t="s">
        <v>1752</v>
      </c>
      <c r="C83" s="956" t="s">
        <v>3606</v>
      </c>
      <c r="E83" s="1594"/>
      <c r="F83" s="1594"/>
      <c r="G83" s="1594"/>
      <c r="H83" s="34"/>
      <c r="I83" s="37" t="s">
        <v>2723</v>
      </c>
      <c r="J83" s="3121"/>
      <c r="K83" s="3122"/>
      <c r="L83" s="3122"/>
      <c r="M83" s="3122"/>
      <c r="N83" s="3122"/>
      <c r="O83" s="3122"/>
      <c r="P83" s="3122"/>
      <c r="Q83" s="3123"/>
    </row>
    <row r="84" spans="1:31" ht="11.1" customHeight="1">
      <c r="A84" s="148"/>
      <c r="B84" s="484" t="s">
        <v>2381</v>
      </c>
      <c r="C84" s="956" t="s">
        <v>3933</v>
      </c>
      <c r="E84" s="1594"/>
      <c r="I84" s="37" t="s">
        <v>2723</v>
      </c>
      <c r="J84" s="3124"/>
      <c r="K84" s="3125"/>
      <c r="L84" s="3125"/>
      <c r="M84" s="3125"/>
      <c r="N84" s="3125"/>
      <c r="O84" s="3125"/>
      <c r="P84" s="3125"/>
      <c r="Q84" s="3126"/>
    </row>
    <row r="85" spans="1:31" ht="11.1" customHeight="1">
      <c r="A85" s="48" t="s">
        <v>757</v>
      </c>
      <c r="B85" s="41" t="s">
        <v>3591</v>
      </c>
      <c r="D85" s="956"/>
      <c r="E85" s="1594"/>
      <c r="J85" s="37"/>
      <c r="K85" s="37"/>
      <c r="L85" s="37"/>
      <c r="M85" s="37"/>
      <c r="N85" s="37"/>
      <c r="O85" s="37"/>
      <c r="P85" s="37"/>
      <c r="Q85" s="37"/>
    </row>
    <row r="86" spans="1:31" ht="11.1" customHeight="1">
      <c r="A86" s="148"/>
      <c r="B86" s="56" t="s">
        <v>3924</v>
      </c>
      <c r="D86" s="138"/>
      <c r="E86" s="138"/>
      <c r="F86" s="138"/>
      <c r="G86" s="138"/>
      <c r="H86" s="138"/>
      <c r="I86" s="43"/>
      <c r="J86" s="43"/>
      <c r="K86" s="484" t="s">
        <v>757</v>
      </c>
      <c r="L86" s="3127"/>
      <c r="M86" s="3128"/>
      <c r="N86" s="3128"/>
      <c r="O86" s="3128"/>
      <c r="P86" s="3129"/>
      <c r="Q86" s="560"/>
    </row>
    <row r="87" spans="1:31" ht="10.5" customHeight="1">
      <c r="B87" s="98" t="s">
        <v>3780</v>
      </c>
      <c r="D87" s="98"/>
      <c r="E87" s="98"/>
      <c r="F87" s="98"/>
      <c r="G87" s="98"/>
      <c r="H87" s="41"/>
      <c r="I87" s="1589"/>
      <c r="J87" s="1589"/>
      <c r="K87" s="141" t="s">
        <v>1880</v>
      </c>
      <c r="L87" s="1585"/>
      <c r="M87" s="1585"/>
      <c r="N87" s="1585"/>
      <c r="O87" s="1585"/>
      <c r="P87" s="1585"/>
      <c r="Q87" s="955"/>
    </row>
    <row r="88" spans="1:31" ht="32.25" customHeight="1">
      <c r="A88" s="3112" t="s">
        <v>4647</v>
      </c>
      <c r="B88" s="3113"/>
      <c r="C88" s="3113"/>
      <c r="D88" s="3113"/>
      <c r="E88" s="3113"/>
      <c r="F88" s="3113"/>
      <c r="G88" s="3113"/>
      <c r="H88" s="3113"/>
      <c r="I88" s="3113"/>
      <c r="J88" s="3114"/>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4.1"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0" t="s">
        <v>4601</v>
      </c>
      <c r="N92" s="3131"/>
      <c r="O92" s="3131"/>
      <c r="P92" s="3132"/>
      <c r="Q92" s="561"/>
    </row>
    <row r="93" spans="1:31" ht="10.5" customHeight="1">
      <c r="A93" s="48" t="s">
        <v>2001</v>
      </c>
      <c r="B93" s="53" t="s">
        <v>2052</v>
      </c>
      <c r="D93" s="138"/>
      <c r="E93" s="138"/>
      <c r="F93" s="138"/>
      <c r="L93" s="484" t="s">
        <v>2001</v>
      </c>
      <c r="M93" s="3133" t="s">
        <v>4673</v>
      </c>
      <c r="N93" s="3134"/>
      <c r="O93" s="3134"/>
      <c r="P93" s="3135"/>
      <c r="Q93" s="562"/>
    </row>
    <row r="94" spans="1:31" ht="10.5" customHeight="1">
      <c r="A94" s="48" t="s">
        <v>757</v>
      </c>
      <c r="B94" s="53" t="s">
        <v>2898</v>
      </c>
      <c r="D94" s="138"/>
      <c r="E94" s="138"/>
      <c r="F94" s="138"/>
      <c r="L94" s="484" t="s">
        <v>757</v>
      </c>
      <c r="M94" s="3136">
        <v>0.98899999999999999</v>
      </c>
      <c r="N94" s="3137"/>
      <c r="O94" s="3137"/>
      <c r="P94" s="3138"/>
      <c r="Q94" s="562"/>
    </row>
    <row r="95" spans="1:31" ht="10.5" customHeight="1">
      <c r="A95" s="48" t="s">
        <v>2131</v>
      </c>
      <c r="B95" s="53" t="s">
        <v>3926</v>
      </c>
      <c r="D95" s="138"/>
      <c r="E95" s="138"/>
      <c r="F95" s="138"/>
      <c r="L95" s="484" t="s">
        <v>3927</v>
      </c>
      <c r="M95" s="3139">
        <v>3.2000000000000001E-2</v>
      </c>
      <c r="N95" s="1205"/>
      <c r="O95" s="1206" t="s">
        <v>4177</v>
      </c>
      <c r="P95" s="3140" t="s">
        <v>979</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4676</v>
      </c>
      <c r="E98" s="3130" t="s">
        <v>4677</v>
      </c>
      <c r="F98" s="3131"/>
      <c r="G98" s="3142"/>
      <c r="H98" s="68" t="s">
        <v>1752</v>
      </c>
      <c r="I98" s="3141" t="s">
        <v>4680</v>
      </c>
      <c r="J98" s="3143" t="s">
        <v>4681</v>
      </c>
      <c r="K98" s="3143"/>
      <c r="L98" s="3143"/>
      <c r="M98" s="67" t="s">
        <v>1561</v>
      </c>
      <c r="N98" s="3141" t="s">
        <v>4684</v>
      </c>
      <c r="O98" s="3143" t="s">
        <v>4685</v>
      </c>
      <c r="P98" s="3143"/>
      <c r="Q98" s="3143"/>
    </row>
    <row r="99" spans="1:31" ht="10.5" customHeight="1">
      <c r="C99" s="68" t="s">
        <v>1751</v>
      </c>
      <c r="D99" s="3144" t="s">
        <v>4678</v>
      </c>
      <c r="E99" s="3145" t="s">
        <v>4679</v>
      </c>
      <c r="F99" s="3146"/>
      <c r="G99" s="3147"/>
      <c r="H99" s="484" t="s">
        <v>2381</v>
      </c>
      <c r="I99" s="3144" t="s">
        <v>4682</v>
      </c>
      <c r="J99" s="3148" t="s">
        <v>4683</v>
      </c>
      <c r="K99" s="3148"/>
      <c r="L99" s="3148"/>
      <c r="M99" s="67" t="s">
        <v>1562</v>
      </c>
      <c r="N99" s="3144" t="s">
        <v>4686</v>
      </c>
      <c r="O99" s="3148" t="s">
        <v>4687</v>
      </c>
      <c r="P99" s="3148"/>
      <c r="Q99" s="3148"/>
    </row>
    <row r="100" spans="1:31" ht="10.5" customHeight="1">
      <c r="A100" s="48" t="s">
        <v>1749</v>
      </c>
      <c r="B100" s="53" t="s">
        <v>0</v>
      </c>
      <c r="D100" s="138"/>
      <c r="E100" s="138"/>
      <c r="F100" s="138"/>
      <c r="G100" s="138"/>
      <c r="H100" s="138"/>
      <c r="I100" s="43"/>
      <c r="J100" s="43"/>
      <c r="K100" s="138"/>
      <c r="L100" s="1594"/>
      <c r="M100" s="1594"/>
      <c r="O100" s="484" t="s">
        <v>1749</v>
      </c>
      <c r="P100" s="2977"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3638</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89"/>
      <c r="J106" s="1589"/>
      <c r="K106" s="1589"/>
      <c r="L106" s="1585"/>
      <c r="M106" s="1585"/>
      <c r="N106" s="1585"/>
      <c r="O106" s="1585"/>
      <c r="P106" s="1585"/>
      <c r="Q106" s="955"/>
    </row>
    <row r="107" spans="1:31" ht="58.5" customHeight="1">
      <c r="A107" s="3112" t="s">
        <v>4688</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4.1"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3014</v>
      </c>
      <c r="Q112" s="561"/>
    </row>
    <row r="113" spans="1:32" ht="10.5" customHeight="1">
      <c r="A113" s="48" t="s">
        <v>2001</v>
      </c>
      <c r="B113" s="53" t="s">
        <v>1316</v>
      </c>
      <c r="C113" s="53"/>
      <c r="E113" s="53"/>
      <c r="F113" s="53"/>
      <c r="G113" s="53"/>
      <c r="H113" s="53"/>
      <c r="I113" s="53"/>
      <c r="J113" s="53"/>
      <c r="K113" s="53"/>
      <c r="L113" s="956"/>
      <c r="M113" s="956"/>
      <c r="O113" s="484" t="s">
        <v>2001</v>
      </c>
      <c r="P113" s="2927" t="s">
        <v>3014</v>
      </c>
      <c r="Q113" s="562"/>
    </row>
    <row r="114" spans="1:32" ht="10.5" customHeight="1">
      <c r="A114" s="37"/>
      <c r="C114" s="40" t="s">
        <v>559</v>
      </c>
      <c r="E114" s="43"/>
      <c r="F114" s="43"/>
      <c r="G114" s="43"/>
      <c r="H114" s="43"/>
      <c r="I114" s="43"/>
      <c r="L114" s="68" t="s">
        <v>560</v>
      </c>
      <c r="M114" s="3127"/>
      <c r="N114" s="3128"/>
      <c r="O114" s="3128"/>
      <c r="P114" s="3149"/>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8"/>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4"/>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50"/>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3014</v>
      </c>
      <c r="Q121" s="561"/>
    </row>
    <row r="122" spans="1:32" ht="10.5" customHeight="1">
      <c r="B122" s="68" t="s">
        <v>1751</v>
      </c>
      <c r="C122" s="53" t="s">
        <v>1442</v>
      </c>
      <c r="E122" s="53"/>
      <c r="F122" s="53"/>
      <c r="G122" s="53"/>
      <c r="H122" s="53"/>
      <c r="I122" s="53"/>
      <c r="J122" s="53"/>
      <c r="K122" s="53"/>
      <c r="L122" s="956"/>
      <c r="M122" s="956"/>
      <c r="O122" s="68" t="s">
        <v>1751</v>
      </c>
      <c r="P122" s="2934" t="s">
        <v>3014</v>
      </c>
      <c r="Q122" s="562"/>
    </row>
    <row r="123" spans="1:32" ht="10.5" customHeight="1">
      <c r="B123" s="68" t="s">
        <v>1752</v>
      </c>
      <c r="C123" s="53" t="s">
        <v>1443</v>
      </c>
      <c r="E123" s="53"/>
      <c r="F123" s="53"/>
      <c r="G123" s="53"/>
      <c r="H123" s="53"/>
      <c r="I123" s="53"/>
      <c r="J123" s="53"/>
      <c r="K123" s="53"/>
      <c r="L123" s="956"/>
      <c r="M123" s="956"/>
      <c r="O123" s="68" t="s">
        <v>1752</v>
      </c>
      <c r="P123" s="2927" t="s">
        <v>3014</v>
      </c>
      <c r="Q123" s="563"/>
    </row>
    <row r="124" spans="1:32" ht="10.5" customHeight="1">
      <c r="B124" s="145" t="s">
        <v>3780</v>
      </c>
      <c r="D124" s="145"/>
      <c r="E124" s="145"/>
      <c r="F124" s="145"/>
      <c r="G124" s="145"/>
      <c r="H124" s="41"/>
      <c r="I124" s="1589"/>
      <c r="J124" s="1589"/>
      <c r="K124" s="1589"/>
      <c r="L124" s="1585"/>
      <c r="M124" s="1585"/>
      <c r="N124" s="1585"/>
      <c r="O124" s="1585"/>
      <c r="P124" s="1585"/>
      <c r="Q124" s="955"/>
    </row>
    <row r="125" spans="1:32" ht="22.5" customHeight="1">
      <c r="A125" s="3112" t="s">
        <v>4595</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4.1"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3662</v>
      </c>
      <c r="D130" s="138"/>
      <c r="E130" s="138"/>
      <c r="F130" s="138"/>
      <c r="G130" s="138"/>
      <c r="H130" s="138"/>
      <c r="I130" s="43"/>
      <c r="J130" s="43"/>
      <c r="K130" s="484" t="s">
        <v>1999</v>
      </c>
      <c r="L130" s="3151" t="s">
        <v>4596</v>
      </c>
      <c r="M130" s="3151"/>
      <c r="N130" s="3151"/>
      <c r="O130" s="3151"/>
      <c r="P130" s="3151"/>
      <c r="Q130" s="560"/>
    </row>
    <row r="131" spans="1:17" ht="12" customHeight="1">
      <c r="A131" s="48" t="s">
        <v>2001</v>
      </c>
      <c r="B131" s="53" t="s">
        <v>1550</v>
      </c>
      <c r="D131" s="138"/>
      <c r="E131" s="138"/>
      <c r="F131" s="138"/>
      <c r="G131" s="138"/>
      <c r="H131" s="138"/>
      <c r="I131" s="43"/>
      <c r="J131" s="43"/>
      <c r="K131" s="138"/>
      <c r="L131" s="1594"/>
      <c r="O131" s="484" t="s">
        <v>2001</v>
      </c>
      <c r="P131" s="2979" t="s">
        <v>3014</v>
      </c>
      <c r="Q131" s="1005"/>
    </row>
    <row r="132" spans="1:17" ht="12" customHeight="1">
      <c r="A132" s="48" t="s">
        <v>757</v>
      </c>
      <c r="B132" s="53" t="s">
        <v>152</v>
      </c>
      <c r="D132" s="138"/>
      <c r="E132" s="138"/>
      <c r="F132" s="138"/>
      <c r="G132" s="138"/>
      <c r="H132" s="138"/>
      <c r="I132" s="43"/>
      <c r="J132" s="43"/>
      <c r="K132" s="1594"/>
      <c r="L132" s="1594"/>
      <c r="O132" s="484" t="s">
        <v>757</v>
      </c>
      <c r="P132" s="2927" t="s">
        <v>3011</v>
      </c>
      <c r="Q132" s="962"/>
    </row>
    <row r="133" spans="1:17" ht="12" customHeight="1">
      <c r="A133" s="48"/>
      <c r="B133" s="67" t="s">
        <v>1750</v>
      </c>
      <c r="C133" s="53" t="s">
        <v>2705</v>
      </c>
      <c r="E133" s="138"/>
      <c r="F133" s="138"/>
      <c r="G133" s="138"/>
      <c r="H133" s="138"/>
      <c r="I133" s="43"/>
      <c r="J133" s="43"/>
      <c r="K133" s="68" t="s">
        <v>1750</v>
      </c>
      <c r="L133" s="3151" t="s">
        <v>4596</v>
      </c>
      <c r="M133" s="3151"/>
      <c r="N133" s="3151"/>
      <c r="O133" s="3151"/>
      <c r="P133" s="3151"/>
      <c r="Q133" s="560"/>
    </row>
    <row r="134" spans="1:17" ht="12" customHeight="1">
      <c r="A134" s="143"/>
      <c r="B134" s="68" t="s">
        <v>1751</v>
      </c>
      <c r="C134" s="37" t="s">
        <v>3496</v>
      </c>
      <c r="E134" s="43"/>
      <c r="F134" s="43"/>
      <c r="G134" s="43"/>
      <c r="H134" s="53"/>
      <c r="I134" s="43"/>
      <c r="J134" s="43"/>
      <c r="K134" s="138"/>
      <c r="L134" s="1594"/>
      <c r="M134" s="1594"/>
      <c r="O134" s="484" t="s">
        <v>1751</v>
      </c>
      <c r="P134" s="2977">
        <v>56.1</v>
      </c>
      <c r="Q134" s="566"/>
    </row>
    <row r="135" spans="1:17" ht="12" customHeight="1">
      <c r="A135" s="143"/>
      <c r="B135" s="484" t="s">
        <v>1752</v>
      </c>
      <c r="C135" s="53" t="s">
        <v>4164</v>
      </c>
      <c r="E135" s="43"/>
      <c r="F135" s="43"/>
      <c r="G135" s="43"/>
      <c r="H135" s="53"/>
      <c r="I135" s="43"/>
      <c r="J135" s="43"/>
      <c r="K135" s="138"/>
      <c r="L135" s="1594"/>
      <c r="M135" s="1594"/>
      <c r="N135" s="1594"/>
      <c r="O135" s="1594"/>
    </row>
    <row r="136" spans="1:17" ht="11.45" customHeight="1">
      <c r="A136" s="1585"/>
      <c r="B136" s="68"/>
      <c r="C136" s="3152" t="s">
        <v>4689</v>
      </c>
      <c r="D136" s="3152"/>
      <c r="E136" s="3152"/>
      <c r="F136" s="3152"/>
      <c r="G136" s="3152"/>
      <c r="H136" s="3152"/>
      <c r="I136" s="3152"/>
      <c r="J136" s="3152"/>
      <c r="K136" s="3152"/>
      <c r="L136" s="3152"/>
      <c r="M136" s="3152"/>
      <c r="N136" s="3152"/>
      <c r="O136" s="3152"/>
      <c r="P136" s="3152"/>
      <c r="Q136" s="3152"/>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3014</v>
      </c>
      <c r="Q138" s="561"/>
    </row>
    <row r="139" spans="1:17" ht="12" customHeight="1">
      <c r="A139" s="48"/>
      <c r="B139" s="68" t="s">
        <v>1751</v>
      </c>
      <c r="C139" s="53" t="s">
        <v>1273</v>
      </c>
      <c r="E139" s="138"/>
      <c r="F139" s="138"/>
      <c r="G139" s="138"/>
      <c r="H139" s="43"/>
      <c r="I139" s="43"/>
      <c r="J139" s="43"/>
      <c r="K139" s="138"/>
      <c r="L139" s="1594"/>
      <c r="M139" s="1594"/>
      <c r="O139" s="68" t="s">
        <v>1751</v>
      </c>
      <c r="P139" s="2934"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3"/>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3014</v>
      </c>
      <c r="Q143" s="562"/>
    </row>
    <row r="144" spans="1:17" ht="12" customHeight="1">
      <c r="A144" s="48"/>
      <c r="B144" s="68"/>
      <c r="C144" s="53" t="s">
        <v>2649</v>
      </c>
      <c r="E144" s="484" t="s">
        <v>2451</v>
      </c>
      <c r="F144" s="53" t="s">
        <v>2653</v>
      </c>
      <c r="G144" s="43"/>
      <c r="H144" s="53"/>
      <c r="I144" s="43"/>
      <c r="J144" s="43"/>
      <c r="K144" s="138"/>
      <c r="L144" s="1594"/>
      <c r="O144" s="484" t="s">
        <v>2451</v>
      </c>
      <c r="P144" s="3153"/>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3014</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3014</v>
      </c>
      <c r="G149" s="561"/>
      <c r="H149" s="68" t="s">
        <v>1561</v>
      </c>
      <c r="I149" s="56" t="s">
        <v>2657</v>
      </c>
      <c r="L149" s="2928" t="s">
        <v>3014</v>
      </c>
      <c r="M149" s="561"/>
      <c r="N149" s="484" t="s">
        <v>517</v>
      </c>
      <c r="O149" s="53" t="s">
        <v>1564</v>
      </c>
      <c r="P149" s="2928" t="s">
        <v>3014</v>
      </c>
      <c r="Q149" s="561"/>
    </row>
    <row r="150" spans="1:18" ht="12" customHeight="1">
      <c r="A150" s="37"/>
      <c r="B150" s="68" t="s">
        <v>1751</v>
      </c>
      <c r="C150" s="53" t="s">
        <v>2821</v>
      </c>
      <c r="E150" s="138"/>
      <c r="F150" s="2934" t="s">
        <v>3014</v>
      </c>
      <c r="G150" s="562"/>
      <c r="H150" s="68" t="s">
        <v>1562</v>
      </c>
      <c r="I150" s="56" t="s">
        <v>2658</v>
      </c>
      <c r="L150" s="2934" t="s">
        <v>3014</v>
      </c>
      <c r="M150" s="562"/>
      <c r="N150" s="484" t="s">
        <v>518</v>
      </c>
      <c r="O150" s="53" t="s">
        <v>1563</v>
      </c>
      <c r="P150" s="2934" t="s">
        <v>3014</v>
      </c>
      <c r="Q150" s="562"/>
    </row>
    <row r="151" spans="1:18" ht="12" customHeight="1">
      <c r="A151" s="37"/>
      <c r="B151" s="68" t="s">
        <v>1752</v>
      </c>
      <c r="C151" s="53" t="s">
        <v>2656</v>
      </c>
      <c r="E151" s="138"/>
      <c r="F151" s="2934" t="s">
        <v>3014</v>
      </c>
      <c r="G151" s="562"/>
      <c r="H151" s="484" t="s">
        <v>99</v>
      </c>
      <c r="I151" s="56" t="s">
        <v>3875</v>
      </c>
      <c r="L151" s="2934" t="s">
        <v>3014</v>
      </c>
      <c r="M151" s="562"/>
      <c r="N151" s="484" t="s">
        <v>2823</v>
      </c>
      <c r="O151" s="53" t="s">
        <v>1565</v>
      </c>
      <c r="P151" s="2927" t="s">
        <v>3014</v>
      </c>
      <c r="Q151" s="563"/>
    </row>
    <row r="152" spans="1:18" ht="12" customHeight="1">
      <c r="A152" s="37"/>
      <c r="B152" s="68" t="s">
        <v>2381</v>
      </c>
      <c r="C152" s="53" t="s">
        <v>2824</v>
      </c>
      <c r="E152" s="138"/>
      <c r="F152" s="2927" t="s">
        <v>3014</v>
      </c>
      <c r="G152" s="563"/>
      <c r="H152" s="484" t="s">
        <v>516</v>
      </c>
      <c r="I152" s="53" t="s">
        <v>2820</v>
      </c>
      <c r="L152" s="2927"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52" t="s">
        <v>979</v>
      </c>
      <c r="D154" s="3152"/>
      <c r="E154" s="3152"/>
      <c r="F154" s="3152"/>
      <c r="G154" s="3152"/>
      <c r="H154" s="3152"/>
      <c r="I154" s="3152"/>
      <c r="J154" s="3152"/>
      <c r="K154" s="3152"/>
      <c r="L154" s="3152"/>
      <c r="M154" s="3152"/>
      <c r="N154" s="3152"/>
      <c r="O154" s="3152"/>
      <c r="P154" s="3152"/>
      <c r="Q154" s="3152"/>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t="s">
        <v>3014</v>
      </c>
      <c r="Q156" s="561"/>
    </row>
    <row r="157" spans="1:18" ht="12" customHeight="1">
      <c r="A157" s="1589"/>
      <c r="B157" s="68" t="s">
        <v>1751</v>
      </c>
      <c r="C157" s="53" t="s">
        <v>495</v>
      </c>
      <c r="E157" s="53"/>
      <c r="F157" s="53"/>
      <c r="G157" s="53"/>
      <c r="H157" s="53"/>
      <c r="I157" s="43"/>
      <c r="J157" s="43"/>
      <c r="K157" s="53"/>
      <c r="L157" s="53"/>
      <c r="M157" s="53"/>
      <c r="O157" s="68" t="s">
        <v>1751</v>
      </c>
      <c r="P157" s="2934" t="s">
        <v>3014</v>
      </c>
      <c r="Q157" s="562"/>
    </row>
    <row r="158" spans="1:18" ht="12" customHeight="1">
      <c r="A158" s="1589"/>
      <c r="B158" s="68" t="s">
        <v>1752</v>
      </c>
      <c r="C158" s="53" t="s">
        <v>687</v>
      </c>
      <c r="E158" s="53"/>
      <c r="F158" s="53"/>
      <c r="G158" s="53"/>
      <c r="H158" s="53"/>
      <c r="I158" s="43"/>
      <c r="J158" s="43"/>
      <c r="K158" s="53"/>
      <c r="L158" s="53"/>
      <c r="M158" s="53"/>
      <c r="O158" s="68" t="s">
        <v>1752</v>
      </c>
      <c r="P158" s="2934" t="s">
        <v>3014</v>
      </c>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4" t="s">
        <v>1784</v>
      </c>
      <c r="O161" s="3155"/>
      <c r="P161" s="1943" t="s">
        <v>1784</v>
      </c>
      <c r="Q161" s="1944"/>
      <c r="AE161" s="5"/>
      <c r="AF161" s="5"/>
    </row>
    <row r="162" spans="1:32" s="1" customFormat="1" ht="12" customHeight="1">
      <c r="A162" s="48" t="s">
        <v>622</v>
      </c>
      <c r="B162" s="118" t="s">
        <v>1</v>
      </c>
      <c r="D162" s="1240"/>
      <c r="E162" s="1240"/>
      <c r="G162" s="484" t="s">
        <v>622</v>
      </c>
      <c r="H162" s="3156"/>
      <c r="I162" s="3157"/>
      <c r="J162" s="3157"/>
      <c r="K162" s="3157"/>
      <c r="L162" s="3157"/>
      <c r="M162" s="3157"/>
      <c r="N162" s="3157"/>
      <c r="O162" s="3157"/>
      <c r="P162" s="3158"/>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999"/>
      <c r="Q163" s="559"/>
      <c r="AE163" s="5"/>
      <c r="AF163" s="5"/>
    </row>
    <row r="164" spans="1:32" ht="11.25" customHeight="1">
      <c r="B164" s="145" t="s">
        <v>3780</v>
      </c>
      <c r="D164" s="145"/>
      <c r="E164" s="145"/>
      <c r="F164" s="145"/>
      <c r="G164" s="145"/>
      <c r="H164" s="41"/>
      <c r="I164" s="1589"/>
      <c r="J164" s="1589"/>
      <c r="K164" s="1589"/>
      <c r="L164" s="1585"/>
      <c r="M164" s="1585"/>
      <c r="N164" s="1585"/>
      <c r="O164" s="1585"/>
      <c r="P164" s="1585"/>
      <c r="Q164" s="955"/>
    </row>
    <row r="165" spans="1:32" ht="11.45" customHeight="1">
      <c r="A165" s="3112" t="s">
        <v>4597</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4.1"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3934</v>
      </c>
      <c r="D171" s="53"/>
      <c r="E171" s="53"/>
      <c r="F171" s="53"/>
      <c r="G171" s="53"/>
      <c r="I171" s="53" t="s">
        <v>2725</v>
      </c>
      <c r="K171" s="3159">
        <v>43465</v>
      </c>
      <c r="L171" s="3160"/>
      <c r="N171" s="53"/>
      <c r="O171" s="484" t="s">
        <v>1999</v>
      </c>
      <c r="P171" s="2999" t="s">
        <v>3011</v>
      </c>
      <c r="Q171" s="559"/>
    </row>
    <row r="172" spans="1:32" ht="12" customHeight="1">
      <c r="A172" s="48" t="s">
        <v>2001</v>
      </c>
      <c r="B172" s="144" t="s">
        <v>151</v>
      </c>
      <c r="D172" s="144"/>
      <c r="E172" s="144"/>
      <c r="F172" s="144"/>
      <c r="G172" s="144"/>
      <c r="H172" s="144"/>
      <c r="M172" s="484" t="s">
        <v>2001</v>
      </c>
      <c r="N172" s="3161" t="s">
        <v>4598</v>
      </c>
      <c r="O172" s="3162"/>
      <c r="P172" s="1905" t="s">
        <v>1784</v>
      </c>
      <c r="Q172" s="1906"/>
    </row>
    <row r="173" spans="1:32" ht="12" customHeight="1">
      <c r="A173" s="48" t="s">
        <v>757</v>
      </c>
      <c r="B173" s="144" t="s">
        <v>688</v>
      </c>
      <c r="D173" s="144"/>
      <c r="E173" s="144"/>
      <c r="F173" s="144"/>
      <c r="G173" s="144"/>
      <c r="H173" s="144"/>
      <c r="J173" s="484" t="s">
        <v>757</v>
      </c>
      <c r="K173" s="3127" t="s">
        <v>4637</v>
      </c>
      <c r="L173" s="3128"/>
      <c r="M173" s="3128"/>
      <c r="N173" s="3128"/>
      <c r="O173" s="3128"/>
      <c r="P173" s="3129"/>
      <c r="Q173" s="559"/>
    </row>
    <row r="174" spans="1:32" ht="12" customHeight="1">
      <c r="A174" s="48" t="s">
        <v>2131</v>
      </c>
      <c r="B174" s="144" t="s">
        <v>2901</v>
      </c>
      <c r="D174" s="144"/>
      <c r="E174" s="144"/>
      <c r="F174" s="144"/>
      <c r="G174" s="144"/>
      <c r="H174" s="144"/>
      <c r="J174" s="484"/>
      <c r="K174" s="484"/>
      <c r="L174" s="484"/>
      <c r="M174" s="484"/>
      <c r="N174" s="484"/>
      <c r="O174" s="484" t="s">
        <v>2131</v>
      </c>
      <c r="P174" s="2999" t="s">
        <v>3014</v>
      </c>
      <c r="Q174" s="559"/>
    </row>
    <row r="175" spans="1:32" ht="12" customHeight="1">
      <c r="B175" s="145" t="s">
        <v>3780</v>
      </c>
      <c r="D175" s="145"/>
      <c r="E175" s="145"/>
      <c r="F175" s="145"/>
      <c r="G175" s="145"/>
      <c r="H175" s="41"/>
      <c r="I175" s="1589"/>
      <c r="J175" s="1589"/>
      <c r="K175" s="1589"/>
      <c r="L175" s="1585"/>
      <c r="M175" s="1585"/>
      <c r="N175" s="1585"/>
      <c r="O175" s="1585"/>
      <c r="P175" s="1585"/>
      <c r="Q175" s="955"/>
    </row>
    <row r="176" spans="1:32" ht="11.45" customHeight="1">
      <c r="A176" s="3112" t="s">
        <v>4599</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4.1"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3771</v>
      </c>
      <c r="C181" s="1892"/>
      <c r="D181" s="1892"/>
      <c r="E181" s="1892"/>
      <c r="F181" s="1892"/>
      <c r="G181" s="1892"/>
      <c r="H181" s="1892"/>
      <c r="I181" s="1892"/>
      <c r="J181" s="1892"/>
      <c r="K181" s="1892"/>
      <c r="L181" s="1892"/>
      <c r="M181" s="1892"/>
      <c r="N181" s="1892"/>
      <c r="O181" s="166" t="s">
        <v>1999</v>
      </c>
      <c r="P181" s="3070" t="s">
        <v>3011</v>
      </c>
      <c r="Q181" s="1261"/>
    </row>
    <row r="182" spans="1:31" ht="22.35" customHeight="1">
      <c r="A182" s="146" t="s">
        <v>2001</v>
      </c>
      <c r="B182" s="1892" t="s">
        <v>3663</v>
      </c>
      <c r="C182" s="1892"/>
      <c r="D182" s="1892"/>
      <c r="E182" s="1892"/>
      <c r="F182" s="1892"/>
      <c r="G182" s="1892"/>
      <c r="H182" s="1892"/>
      <c r="I182" s="1892"/>
      <c r="J182" s="1892"/>
      <c r="K182" s="1892"/>
      <c r="L182" s="1892"/>
      <c r="M182" s="1892"/>
      <c r="N182" s="1892"/>
      <c r="O182" s="166" t="s">
        <v>2001</v>
      </c>
      <c r="P182" s="3150" t="s">
        <v>3014</v>
      </c>
      <c r="Q182" s="564"/>
    </row>
    <row r="183" spans="1:31" ht="22.35" customHeight="1">
      <c r="A183" s="146" t="s">
        <v>757</v>
      </c>
      <c r="B183" s="1892" t="s">
        <v>3772</v>
      </c>
      <c r="C183" s="1892"/>
      <c r="D183" s="1892"/>
      <c r="E183" s="1892"/>
      <c r="F183" s="1892"/>
      <c r="G183" s="1892"/>
      <c r="H183" s="1892"/>
      <c r="I183" s="1892"/>
      <c r="J183" s="1892"/>
      <c r="K183" s="1892"/>
      <c r="L183" s="1892"/>
      <c r="M183" s="1892"/>
      <c r="N183" s="1892"/>
      <c r="O183" s="166" t="s">
        <v>757</v>
      </c>
      <c r="P183" s="3150" t="s">
        <v>3014</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3" t="s">
        <v>3014</v>
      </c>
      <c r="Q184" s="1282"/>
    </row>
    <row r="185" spans="1:31" ht="12" customHeight="1">
      <c r="B185" s="145" t="s">
        <v>3780</v>
      </c>
      <c r="D185" s="145"/>
      <c r="E185" s="145"/>
      <c r="F185" s="145"/>
      <c r="G185" s="145"/>
      <c r="H185" s="41"/>
      <c r="I185" s="1589"/>
      <c r="J185" s="1589"/>
      <c r="K185" s="1589"/>
      <c r="L185" s="1585"/>
      <c r="M185" s="1585"/>
      <c r="N185" s="1585"/>
      <c r="O185" s="1585"/>
      <c r="P185" s="1585"/>
      <c r="Q185" s="955"/>
    </row>
    <row r="186" spans="1:31" ht="11.45" customHeight="1">
      <c r="A186" s="3112" t="s">
        <v>4690</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4.1"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8"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4"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934" t="s">
        <v>3011</v>
      </c>
      <c r="Q195" s="562"/>
    </row>
    <row r="196" spans="1:32" s="137" customFormat="1" ht="21.75" customHeight="1">
      <c r="A196" s="146"/>
      <c r="C196" s="932"/>
      <c r="D196" s="166" t="s">
        <v>1752</v>
      </c>
      <c r="E196" s="1892" t="s">
        <v>3773</v>
      </c>
      <c r="F196" s="1892"/>
      <c r="G196" s="1892"/>
      <c r="H196" s="1892"/>
      <c r="I196" s="1892"/>
      <c r="J196" s="1892"/>
      <c r="K196" s="1892"/>
      <c r="L196" s="1892"/>
      <c r="M196" s="1892"/>
      <c r="N196" s="1892"/>
      <c r="O196" s="166" t="s">
        <v>1752</v>
      </c>
      <c r="P196" s="3150"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50" t="s">
        <v>4600</v>
      </c>
      <c r="Q198" s="564"/>
      <c r="AE198" s="487"/>
      <c r="AF198" s="487"/>
    </row>
    <row r="199" spans="1:32" s="137" customFormat="1" ht="21.75" customHeight="1">
      <c r="A199" s="146"/>
      <c r="C199" s="932"/>
      <c r="D199" s="166" t="s">
        <v>1562</v>
      </c>
      <c r="E199" s="1892" t="s">
        <v>3928</v>
      </c>
      <c r="F199" s="1892"/>
      <c r="G199" s="1892"/>
      <c r="H199" s="1892"/>
      <c r="I199" s="1892"/>
      <c r="J199" s="1892"/>
      <c r="K199" s="1892"/>
      <c r="L199" s="1892"/>
      <c r="M199" s="1892"/>
      <c r="N199" s="1892"/>
      <c r="O199" s="166" t="s">
        <v>1562</v>
      </c>
      <c r="P199" s="3150" t="s">
        <v>4600</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50"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3011</v>
      </c>
      <c r="Q201" s="563"/>
    </row>
    <row r="202" spans="1:32" ht="12" customHeight="1">
      <c r="B202" s="145" t="s">
        <v>3780</v>
      </c>
      <c r="D202" s="145"/>
      <c r="E202" s="145"/>
      <c r="F202" s="145"/>
      <c r="G202" s="145"/>
      <c r="H202" s="41"/>
      <c r="I202" s="1589"/>
      <c r="J202" s="1589"/>
      <c r="K202" s="1589"/>
      <c r="L202" s="1585"/>
      <c r="M202" s="1585"/>
      <c r="N202" s="1585"/>
      <c r="O202" s="1585"/>
      <c r="P202" s="1585"/>
      <c r="Q202" s="955"/>
    </row>
    <row r="203" spans="1:32" ht="11.45" customHeight="1">
      <c r="A203" s="3112" t="s">
        <v>4648</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4.1"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0" t="s">
        <v>979</v>
      </c>
      <c r="K208" s="3131"/>
      <c r="L208" s="3131"/>
      <c r="M208" s="3131"/>
      <c r="N208" s="3142"/>
      <c r="O208" s="68" t="s">
        <v>1750</v>
      </c>
      <c r="P208" s="2928" t="s">
        <v>3014</v>
      </c>
      <c r="Q208" s="561"/>
    </row>
    <row r="209" spans="1:31" ht="11.25" customHeight="1">
      <c r="A209" s="143"/>
      <c r="B209" s="145" t="s">
        <v>3780</v>
      </c>
      <c r="C209" s="107"/>
      <c r="D209" s="107"/>
      <c r="E209" s="107"/>
      <c r="F209" s="107"/>
      <c r="H209" s="68" t="s">
        <v>1751</v>
      </c>
      <c r="I209" s="53" t="s">
        <v>1608</v>
      </c>
      <c r="J209" s="3145" t="s">
        <v>4602</v>
      </c>
      <c r="K209" s="3146"/>
      <c r="L209" s="3146"/>
      <c r="M209" s="3146"/>
      <c r="N209" s="3147"/>
      <c r="O209" s="68" t="s">
        <v>1751</v>
      </c>
      <c r="P209" s="2927" t="s">
        <v>3011</v>
      </c>
      <c r="Q209" s="563"/>
    </row>
    <row r="210" spans="1:31" ht="11.45" customHeight="1">
      <c r="A210" s="3112" t="s">
        <v>4603</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3499999999999996" customHeight="1">
      <c r="B213" s="1589"/>
      <c r="C213" s="1592"/>
      <c r="D213" s="1592"/>
      <c r="E213" s="1592"/>
      <c r="F213" s="1592"/>
      <c r="G213" s="1592"/>
      <c r="H213" s="1592"/>
      <c r="I213" s="1592"/>
      <c r="J213" s="1592"/>
      <c r="K213" s="1592"/>
      <c r="L213" s="1592"/>
      <c r="M213" s="1592"/>
      <c r="Q213" s="955"/>
    </row>
    <row r="214" spans="1:31" ht="14.1"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3499999999999996"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2001</v>
      </c>
      <c r="B218" s="1892" t="s">
        <v>1863</v>
      </c>
      <c r="C218" s="1892"/>
      <c r="D218" s="1892"/>
      <c r="E218" s="1892"/>
      <c r="F218" s="1892"/>
      <c r="G218" s="1892"/>
      <c r="H218" s="68" t="s">
        <v>1750</v>
      </c>
      <c r="I218" s="53" t="s">
        <v>641</v>
      </c>
      <c r="J218" s="3130" t="s">
        <v>4691</v>
      </c>
      <c r="K218" s="3131"/>
      <c r="L218" s="3131"/>
      <c r="M218" s="3131"/>
      <c r="N218" s="3142"/>
      <c r="O218" s="68" t="s">
        <v>1458</v>
      </c>
      <c r="P218" s="2934" t="s">
        <v>3011</v>
      </c>
      <c r="Q218" s="562"/>
    </row>
    <row r="219" spans="1:31" ht="11.45" customHeight="1">
      <c r="A219" s="155"/>
      <c r="B219" s="1892"/>
      <c r="C219" s="1892"/>
      <c r="D219" s="1892"/>
      <c r="E219" s="1892"/>
      <c r="F219" s="1892"/>
      <c r="G219" s="1892"/>
      <c r="H219" s="68" t="s">
        <v>1751</v>
      </c>
      <c r="I219" s="53" t="s">
        <v>117</v>
      </c>
      <c r="J219" s="3145" t="s">
        <v>4630</v>
      </c>
      <c r="K219" s="3146"/>
      <c r="L219" s="3146"/>
      <c r="M219" s="3146"/>
      <c r="N219" s="3147"/>
      <c r="O219" s="68" t="s">
        <v>1751</v>
      </c>
      <c r="P219" s="2934" t="s">
        <v>3011</v>
      </c>
      <c r="Q219" s="562"/>
    </row>
    <row r="220" spans="1:31" ht="12" customHeight="1">
      <c r="A220" s="48" t="s">
        <v>757</v>
      </c>
      <c r="B220" s="53" t="s">
        <v>3935</v>
      </c>
      <c r="D220" s="53"/>
      <c r="E220" s="53"/>
      <c r="F220" s="53"/>
      <c r="G220" s="53"/>
      <c r="H220" s="53"/>
      <c r="I220" s="53"/>
      <c r="J220" s="53"/>
      <c r="K220" s="43"/>
      <c r="L220" s="53"/>
      <c r="M220" s="53"/>
      <c r="O220" s="484" t="s">
        <v>757</v>
      </c>
      <c r="P220" s="2934" t="s">
        <v>3014</v>
      </c>
      <c r="Q220" s="562"/>
    </row>
    <row r="221" spans="1:31" ht="12" customHeight="1">
      <c r="A221" s="48" t="s">
        <v>2131</v>
      </c>
      <c r="B221" s="53" t="s">
        <v>3936</v>
      </c>
      <c r="D221" s="53"/>
      <c r="E221" s="53"/>
      <c r="F221" s="53"/>
      <c r="G221" s="53"/>
      <c r="H221" s="53"/>
      <c r="I221" s="53"/>
      <c r="J221" s="53"/>
      <c r="K221" s="43"/>
      <c r="L221" s="53"/>
      <c r="M221" s="53"/>
      <c r="O221" s="484" t="s">
        <v>2131</v>
      </c>
      <c r="P221" s="2927" t="s">
        <v>3014</v>
      </c>
      <c r="Q221" s="563"/>
    </row>
    <row r="222" spans="1:31" ht="11.25" customHeight="1">
      <c r="B222" s="145" t="s">
        <v>3780</v>
      </c>
      <c r="D222" s="145"/>
      <c r="E222" s="145"/>
      <c r="F222" s="145"/>
      <c r="G222" s="145"/>
      <c r="H222" s="41"/>
      <c r="I222" s="1589"/>
      <c r="J222" s="1589"/>
      <c r="K222" s="1589"/>
      <c r="L222" s="1585"/>
      <c r="M222" s="1585"/>
      <c r="N222" s="1585"/>
      <c r="O222" s="1585"/>
      <c r="P222" s="1585"/>
      <c r="Q222" s="955"/>
    </row>
    <row r="223" spans="1:31" ht="11.45" customHeight="1">
      <c r="A223" s="3112" t="s">
        <v>4713</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4.1"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2999"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999" t="s">
        <v>4604</v>
      </c>
      <c r="Q229" s="561"/>
    </row>
    <row r="230" spans="1:32" ht="11.45" customHeight="1">
      <c r="A230" s="48"/>
      <c r="B230" s="68" t="s">
        <v>1750</v>
      </c>
      <c r="C230" s="53" t="s">
        <v>1946</v>
      </c>
      <c r="E230" s="53"/>
      <c r="F230" s="53"/>
      <c r="G230" s="53"/>
      <c r="H230" s="53"/>
      <c r="I230" s="43"/>
      <c r="J230" s="68" t="s">
        <v>1498</v>
      </c>
      <c r="K230" s="3130" t="s">
        <v>537</v>
      </c>
      <c r="L230" s="3142"/>
      <c r="Q230" s="562"/>
    </row>
    <row r="231" spans="1:32" ht="11.45" customHeight="1">
      <c r="A231" s="48"/>
      <c r="B231" s="68" t="s">
        <v>1751</v>
      </c>
      <c r="C231" s="956" t="s">
        <v>2741</v>
      </c>
      <c r="E231" s="956"/>
      <c r="F231" s="956"/>
      <c r="G231" s="956"/>
      <c r="H231" s="956"/>
      <c r="I231" s="43"/>
      <c r="J231" s="68" t="s">
        <v>1499</v>
      </c>
      <c r="K231" s="3163" t="s">
        <v>4649</v>
      </c>
      <c r="L231" s="3164"/>
      <c r="M231" s="3165" t="s">
        <v>2742</v>
      </c>
      <c r="N231" s="3166"/>
      <c r="O231" s="3166"/>
      <c r="P231" s="3167"/>
      <c r="Q231" s="562"/>
    </row>
    <row r="232" spans="1:32" ht="11.45" customHeight="1">
      <c r="A232" s="48"/>
      <c r="B232" s="68" t="s">
        <v>1752</v>
      </c>
      <c r="C232" s="956" t="s">
        <v>563</v>
      </c>
      <c r="E232" s="956"/>
      <c r="F232" s="956"/>
      <c r="G232" s="956"/>
      <c r="H232" s="956"/>
      <c r="I232" s="43"/>
      <c r="J232" s="68" t="s">
        <v>1500</v>
      </c>
      <c r="K232" s="3145" t="s">
        <v>4605</v>
      </c>
      <c r="L232" s="3146"/>
      <c r="M232" s="3147"/>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4604</v>
      </c>
      <c r="Q233" s="559"/>
    </row>
    <row r="234" spans="1:32" ht="11.1" customHeight="1">
      <c r="A234" s="48"/>
      <c r="B234" s="53" t="s">
        <v>3607</v>
      </c>
      <c r="D234" s="53"/>
      <c r="E234" s="53"/>
      <c r="F234" s="53"/>
      <c r="G234" s="53"/>
      <c r="H234" s="53"/>
      <c r="I234" s="53"/>
      <c r="J234" s="53"/>
      <c r="K234" s="43"/>
      <c r="L234" s="43"/>
      <c r="M234" s="43"/>
      <c r="N234" s="43"/>
      <c r="O234" s="43"/>
      <c r="P234" s="1941" t="s">
        <v>2</v>
      </c>
      <c r="Q234" s="1941"/>
    </row>
    <row r="235" spans="1:32" ht="11.1"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8" t="s">
        <v>1671</v>
      </c>
      <c r="D236" s="3169"/>
      <c r="E236" s="3169"/>
      <c r="F236" s="3169"/>
      <c r="G236" s="3170"/>
      <c r="H236" s="568"/>
      <c r="I236" s="569"/>
      <c r="J236" s="68" t="s">
        <v>1752</v>
      </c>
      <c r="K236" s="3168" t="s">
        <v>4229</v>
      </c>
      <c r="L236" s="3169"/>
      <c r="M236" s="3169"/>
      <c r="N236" s="3169"/>
      <c r="O236" s="3170"/>
      <c r="P236" s="561"/>
      <c r="Q236" s="569"/>
      <c r="AE236" s="55"/>
      <c r="AF236" s="55"/>
    </row>
    <row r="237" spans="1:32" s="44" customFormat="1" ht="11.45" customHeight="1">
      <c r="A237" s="52"/>
      <c r="B237" s="68" t="s">
        <v>1751</v>
      </c>
      <c r="C237" s="3171" t="s">
        <v>597</v>
      </c>
      <c r="D237" s="3172"/>
      <c r="E237" s="3172"/>
      <c r="F237" s="3172"/>
      <c r="G237" s="3173"/>
      <c r="H237" s="570"/>
      <c r="I237" s="571"/>
      <c r="J237" s="68" t="s">
        <v>2381</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4604</v>
      </c>
      <c r="Q238" s="561"/>
    </row>
    <row r="239" spans="1:32" ht="11.45" customHeight="1">
      <c r="A239" s="48"/>
      <c r="B239" s="68" t="s">
        <v>1750</v>
      </c>
      <c r="C239" s="53" t="s">
        <v>3488</v>
      </c>
      <c r="E239" s="53"/>
      <c r="F239" s="53"/>
      <c r="L239" s="34"/>
      <c r="M239" s="34"/>
      <c r="O239" s="68" t="s">
        <v>1750</v>
      </c>
      <c r="P239" s="2934" t="s">
        <v>3011</v>
      </c>
      <c r="Q239" s="562"/>
    </row>
    <row r="240" spans="1:32" ht="11.45" customHeight="1">
      <c r="B240" s="68" t="s">
        <v>1751</v>
      </c>
      <c r="C240" s="956" t="s">
        <v>2826</v>
      </c>
      <c r="E240" s="956"/>
      <c r="F240" s="956"/>
      <c r="L240" s="34"/>
      <c r="M240" s="34"/>
      <c r="O240" s="68" t="s">
        <v>1751</v>
      </c>
      <c r="P240" s="2934" t="s">
        <v>3011</v>
      </c>
      <c r="Q240" s="562"/>
    </row>
    <row r="241" spans="1:31" ht="11.45" customHeight="1">
      <c r="B241" s="68" t="s">
        <v>1752</v>
      </c>
      <c r="C241" s="956" t="s">
        <v>2827</v>
      </c>
      <c r="E241" s="956"/>
      <c r="F241" s="956"/>
      <c r="G241" s="956"/>
      <c r="H241" s="956"/>
      <c r="I241" s="43"/>
      <c r="J241" s="34"/>
      <c r="K241" s="43"/>
      <c r="L241" s="34"/>
      <c r="M241" s="34"/>
      <c r="O241" s="68" t="s">
        <v>1752</v>
      </c>
      <c r="P241" s="2934" t="s">
        <v>3011</v>
      </c>
      <c r="Q241" s="562"/>
    </row>
    <row r="242" spans="1:31" ht="11.45" customHeight="1">
      <c r="A242" s="48"/>
      <c r="B242" s="68" t="s">
        <v>2381</v>
      </c>
      <c r="C242" s="956" t="s">
        <v>2828</v>
      </c>
      <c r="E242" s="956"/>
      <c r="F242" s="956"/>
      <c r="G242" s="956"/>
      <c r="H242" s="956"/>
      <c r="I242" s="43"/>
      <c r="J242" s="34"/>
      <c r="K242" s="43"/>
      <c r="L242" s="34"/>
      <c r="M242" s="34"/>
      <c r="O242" s="68" t="s">
        <v>2381</v>
      </c>
      <c r="P242" s="2934" t="s">
        <v>3011</v>
      </c>
      <c r="Q242" s="562"/>
    </row>
    <row r="243" spans="1:31" ht="11.45" customHeight="1">
      <c r="A243" s="48"/>
      <c r="B243" s="68" t="s">
        <v>1561</v>
      </c>
      <c r="C243" s="956" t="s">
        <v>2829</v>
      </c>
      <c r="E243" s="956"/>
      <c r="F243" s="956"/>
      <c r="G243" s="956"/>
      <c r="H243" s="956"/>
      <c r="I243" s="43"/>
      <c r="J243" s="34"/>
      <c r="K243" s="43"/>
      <c r="L243" s="34"/>
      <c r="M243" s="34"/>
      <c r="O243" s="68" t="s">
        <v>1561</v>
      </c>
      <c r="P243" s="2934" t="s">
        <v>3011</v>
      </c>
      <c r="Q243" s="562"/>
    </row>
    <row r="244" spans="1:31" ht="11.45" customHeight="1">
      <c r="A244" s="48"/>
      <c r="B244" s="484" t="s">
        <v>1562</v>
      </c>
      <c r="C244" s="53" t="s">
        <v>783</v>
      </c>
      <c r="E244" s="53"/>
      <c r="F244" s="53"/>
      <c r="G244" s="53"/>
      <c r="H244" s="53"/>
      <c r="I244" s="43"/>
      <c r="J244" s="34"/>
      <c r="K244" s="43"/>
      <c r="L244" s="34"/>
      <c r="M244" s="34"/>
      <c r="O244" s="484" t="s">
        <v>2817</v>
      </c>
      <c r="P244" s="2934" t="s">
        <v>3011</v>
      </c>
      <c r="Q244" s="562"/>
    </row>
    <row r="245" spans="1:31" ht="11.45" customHeight="1">
      <c r="A245" s="48"/>
      <c r="B245" s="68"/>
      <c r="C245" s="53" t="s">
        <v>1501</v>
      </c>
      <c r="E245" s="53"/>
      <c r="F245" s="53"/>
      <c r="G245" s="53"/>
      <c r="H245" s="53"/>
      <c r="I245" s="43"/>
      <c r="J245" s="34"/>
      <c r="K245" s="43"/>
      <c r="L245" s="34"/>
      <c r="M245" s="34"/>
      <c r="O245" s="484" t="s">
        <v>2818</v>
      </c>
      <c r="P245" s="2927" t="s">
        <v>3014</v>
      </c>
      <c r="Q245" s="563"/>
    </row>
    <row r="246" spans="1:31" ht="12" customHeight="1">
      <c r="A246" s="48" t="s">
        <v>2131</v>
      </c>
      <c r="B246" s="53" t="s">
        <v>3688</v>
      </c>
      <c r="C246" s="53"/>
      <c r="E246" s="53"/>
      <c r="F246" s="53"/>
      <c r="G246" s="53"/>
      <c r="H246" s="53"/>
      <c r="I246" s="53"/>
      <c r="J246" s="53"/>
      <c r="K246" s="43"/>
      <c r="L246" s="53"/>
      <c r="M246" s="53"/>
      <c r="O246" s="484" t="s">
        <v>2131</v>
      </c>
      <c r="P246" s="2928" t="s">
        <v>979</v>
      </c>
      <c r="Q246" s="561"/>
    </row>
    <row r="247" spans="1:31" ht="11.45" customHeight="1">
      <c r="B247" s="68" t="s">
        <v>1750</v>
      </c>
      <c r="C247" s="40" t="s">
        <v>1267</v>
      </c>
      <c r="E247" s="43"/>
      <c r="F247" s="43"/>
      <c r="G247" s="40"/>
      <c r="H247" s="956"/>
      <c r="I247" s="43"/>
      <c r="J247" s="956"/>
      <c r="K247" s="43"/>
      <c r="L247" s="956"/>
      <c r="M247" s="956"/>
      <c r="O247" s="68" t="s">
        <v>1750</v>
      </c>
      <c r="P247" s="2934" t="s">
        <v>3014</v>
      </c>
      <c r="Q247" s="562"/>
    </row>
    <row r="248" spans="1:31" ht="11.45" customHeight="1">
      <c r="B248" s="68" t="s">
        <v>1751</v>
      </c>
      <c r="C248" s="37" t="s">
        <v>3937</v>
      </c>
      <c r="E248" s="43"/>
      <c r="F248" s="43"/>
      <c r="G248" s="956"/>
      <c r="H248" s="956"/>
      <c r="I248" s="43"/>
      <c r="J248" s="956"/>
      <c r="K248" s="43"/>
      <c r="L248" s="956"/>
      <c r="M248" s="956"/>
      <c r="O248" s="68" t="s">
        <v>1751</v>
      </c>
      <c r="P248" s="2927" t="s">
        <v>3014</v>
      </c>
      <c r="Q248" s="563"/>
    </row>
    <row r="249" spans="1:31" ht="11.25" customHeight="1">
      <c r="B249" s="145" t="s">
        <v>3780</v>
      </c>
      <c r="D249" s="145"/>
      <c r="E249" s="145"/>
      <c r="F249" s="145"/>
      <c r="G249" s="145"/>
      <c r="H249" s="41"/>
      <c r="I249" s="1589"/>
      <c r="J249" s="1589"/>
      <c r="K249" s="1589"/>
      <c r="L249" s="1585"/>
      <c r="M249" s="1585"/>
      <c r="N249" s="1585"/>
      <c r="O249" s="1585"/>
      <c r="P249" s="1585"/>
      <c r="Q249" s="955"/>
    </row>
    <row r="250" spans="1:31" ht="11.45" customHeight="1">
      <c r="A250" s="3112" t="s">
        <v>4714</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4.1"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5.0999999999999996" customHeight="1">
      <c r="L255" s="1939"/>
      <c r="M255" s="1940"/>
      <c r="N255" s="56"/>
    </row>
    <row r="256" spans="1:31" ht="11.45" customHeight="1">
      <c r="A256" s="48" t="s">
        <v>1999</v>
      </c>
      <c r="B256" s="53" t="s">
        <v>1280</v>
      </c>
      <c r="D256" s="43"/>
      <c r="E256" s="53"/>
      <c r="F256" s="53"/>
      <c r="J256" s="484" t="s">
        <v>1999</v>
      </c>
      <c r="K256" s="3127" t="s">
        <v>1784</v>
      </c>
      <c r="L256" s="3128"/>
      <c r="M256" s="3128"/>
      <c r="N256" s="3128"/>
      <c r="O256" s="3129"/>
      <c r="P256" s="1933" t="s">
        <v>1784</v>
      </c>
      <c r="Q256" s="1934"/>
    </row>
    <row r="257" spans="1:32" ht="11.45" customHeight="1">
      <c r="A257" s="48" t="s">
        <v>2001</v>
      </c>
      <c r="B257" s="53" t="s">
        <v>2830</v>
      </c>
      <c r="D257" s="53"/>
      <c r="E257" s="53"/>
      <c r="F257" s="53"/>
      <c r="J257" s="484" t="s">
        <v>2001</v>
      </c>
      <c r="K257" s="3174"/>
      <c r="L257" s="3175"/>
      <c r="M257" s="3175"/>
      <c r="N257" s="3175"/>
      <c r="O257" s="3176"/>
      <c r="P257" s="1935"/>
      <c r="Q257" s="1936"/>
    </row>
    <row r="258" spans="1:32" s="152" customFormat="1" ht="11.45" customHeight="1">
      <c r="A258" s="48"/>
      <c r="B258" s="53" t="s">
        <v>1960</v>
      </c>
      <c r="D258" s="53"/>
      <c r="E258" s="53"/>
      <c r="F258" s="53"/>
      <c r="K258" s="3145"/>
      <c r="L258" s="3146"/>
      <c r="M258" s="3146"/>
      <c r="N258" s="3146"/>
      <c r="O258" s="3147"/>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3787</v>
      </c>
      <c r="D260" s="53"/>
      <c r="E260" s="53"/>
      <c r="F260" s="53"/>
      <c r="M260" s="37"/>
      <c r="N260" s="1091"/>
      <c r="O260" s="484" t="s">
        <v>757</v>
      </c>
      <c r="P260" s="2928"/>
      <c r="Q260" s="561"/>
      <c r="AE260" s="488"/>
      <c r="AF260" s="488"/>
    </row>
    <row r="261" spans="1:32" s="152" customFormat="1" ht="11.45" customHeight="1">
      <c r="A261" s="48"/>
      <c r="B261" s="53" t="s">
        <v>3786</v>
      </c>
      <c r="D261" s="53"/>
      <c r="E261" s="53"/>
      <c r="F261" s="53"/>
      <c r="K261" s="3127"/>
      <c r="L261" s="3128"/>
      <c r="M261" s="3128"/>
      <c r="N261" s="3128"/>
      <c r="O261" s="3129"/>
      <c r="P261" s="1931"/>
      <c r="Q261" s="1932"/>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892" t="s">
        <v>3788</v>
      </c>
      <c r="C263" s="1892"/>
      <c r="D263" s="1892"/>
      <c r="E263" s="1892"/>
      <c r="F263" s="1892"/>
      <c r="G263" s="1892"/>
      <c r="H263" s="446" t="s">
        <v>4165</v>
      </c>
      <c r="K263" s="97"/>
      <c r="M263" s="37"/>
      <c r="N263" s="1091"/>
      <c r="O263" s="68" t="s">
        <v>1750</v>
      </c>
      <c r="P263" s="2934"/>
      <c r="Q263" s="562"/>
      <c r="AE263" s="488"/>
      <c r="AF263" s="488"/>
    </row>
    <row r="264" spans="1:32" s="152" customFormat="1" ht="11.45" customHeight="1">
      <c r="A264" s="48"/>
      <c r="B264" s="1892"/>
      <c r="C264" s="1892"/>
      <c r="D264" s="1892"/>
      <c r="E264" s="1892"/>
      <c r="F264" s="1892"/>
      <c r="G264" s="1892"/>
      <c r="H264" s="56" t="s">
        <v>4166</v>
      </c>
      <c r="K264" s="97"/>
      <c r="M264" s="37"/>
      <c r="N264" s="1091"/>
      <c r="O264" s="68" t="s">
        <v>1751</v>
      </c>
      <c r="P264" s="2934"/>
      <c r="Q264" s="562"/>
      <c r="AE264" s="488"/>
      <c r="AF264" s="488"/>
    </row>
    <row r="265" spans="1:32" s="152" customFormat="1" ht="11.45" customHeight="1">
      <c r="A265" s="48"/>
      <c r="B265" s="53"/>
      <c r="D265" s="53"/>
      <c r="E265" s="53"/>
      <c r="F265" s="53"/>
      <c r="G265" s="53"/>
      <c r="H265" s="56" t="s">
        <v>4167</v>
      </c>
      <c r="K265" s="97"/>
      <c r="M265" s="37"/>
      <c r="N265" s="1091"/>
      <c r="O265" s="68" t="s">
        <v>1752</v>
      </c>
      <c r="P265" s="2934"/>
      <c r="Q265" s="562"/>
      <c r="AE265" s="488"/>
      <c r="AF265" s="488"/>
    </row>
    <row r="266" spans="1:32" s="152" customFormat="1" ht="11.45" customHeight="1">
      <c r="A266" s="48"/>
      <c r="B266" s="53"/>
      <c r="D266" s="53"/>
      <c r="E266" s="53"/>
      <c r="F266" s="53"/>
      <c r="G266" s="53"/>
      <c r="H266" s="56" t="s">
        <v>4168</v>
      </c>
      <c r="K266" s="97"/>
      <c r="M266" s="37"/>
      <c r="N266" s="1091"/>
      <c r="O266" s="484" t="s">
        <v>2381</v>
      </c>
      <c r="P266" s="2927"/>
      <c r="Q266" s="563"/>
      <c r="AE266" s="488"/>
      <c r="AF266" s="488"/>
    </row>
    <row r="267" spans="1:32" s="152" customFormat="1" ht="22.35" customHeight="1">
      <c r="A267" s="146" t="s">
        <v>1748</v>
      </c>
      <c r="B267" s="1892" t="s">
        <v>3939</v>
      </c>
      <c r="C267" s="1892"/>
      <c r="D267" s="1892"/>
      <c r="E267" s="1892"/>
      <c r="F267" s="1892"/>
      <c r="G267" s="1892"/>
      <c r="H267" s="1892"/>
      <c r="I267" s="1892"/>
      <c r="J267" s="1892"/>
      <c r="K267" s="1892"/>
      <c r="L267" s="1892"/>
      <c r="M267" s="1892"/>
      <c r="N267" s="1892"/>
      <c r="O267" s="166" t="s">
        <v>1748</v>
      </c>
      <c r="P267" s="3177"/>
      <c r="Q267" s="1346"/>
      <c r="T267" s="488"/>
      <c r="AE267" s="488"/>
      <c r="AF267" s="488"/>
    </row>
    <row r="268" spans="1:32" ht="11.25" customHeight="1">
      <c r="B268" s="145" t="s">
        <v>3780</v>
      </c>
      <c r="D268" s="145"/>
      <c r="E268" s="145"/>
      <c r="F268" s="145"/>
      <c r="G268" s="145"/>
      <c r="H268" s="41"/>
      <c r="I268" s="1589"/>
      <c r="J268" s="1589"/>
      <c r="K268" s="1589"/>
      <c r="L268" s="1585"/>
      <c r="M268" s="1585"/>
      <c r="N268" s="1585"/>
      <c r="O268" s="1585"/>
      <c r="P268" s="1585"/>
      <c r="Q268" s="955"/>
    </row>
    <row r="269" spans="1:32" ht="13.35" customHeight="1">
      <c r="A269" s="3112" t="s">
        <v>4606</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1.1" customHeight="1">
      <c r="B270" s="141" t="s">
        <v>1880</v>
      </c>
      <c r="C270" s="142"/>
      <c r="D270" s="1592"/>
      <c r="E270" s="1592"/>
      <c r="F270" s="1592"/>
      <c r="G270" s="1592"/>
      <c r="H270" s="1592"/>
      <c r="I270" s="1592"/>
      <c r="J270" s="1592"/>
      <c r="K270" s="1592"/>
      <c r="L270" s="1592"/>
      <c r="M270" s="1592"/>
      <c r="N270" s="1592"/>
      <c r="O270" s="1592"/>
      <c r="P270" s="1592"/>
      <c r="Q270" s="1592"/>
    </row>
    <row r="271" spans="1:32" ht="13.3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4.1"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3940</v>
      </c>
      <c r="C275" s="1892"/>
      <c r="D275" s="1892"/>
      <c r="E275" s="1892"/>
      <c r="F275" s="1892"/>
      <c r="G275" s="1892"/>
      <c r="H275" s="1892"/>
      <c r="I275" s="1892"/>
      <c r="J275" s="1892"/>
      <c r="K275" s="1892"/>
      <c r="L275" s="1892"/>
      <c r="M275" s="1892"/>
      <c r="N275" s="1892"/>
      <c r="O275" s="166" t="s">
        <v>1999</v>
      </c>
      <c r="P275" s="3070"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927" t="s">
        <v>3011</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927"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928"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927"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927" t="s">
        <v>3011</v>
      </c>
      <c r="Q280" s="563"/>
      <c r="AE280" s="488"/>
      <c r="AF280" s="488"/>
    </row>
    <row r="281" spans="1:32" ht="11.25" customHeight="1">
      <c r="B281" s="145" t="s">
        <v>3780</v>
      </c>
      <c r="D281" s="145"/>
      <c r="E281" s="145"/>
      <c r="F281" s="145"/>
      <c r="G281" s="145"/>
      <c r="H281" s="41"/>
      <c r="I281" s="1589"/>
      <c r="J281" s="1589"/>
      <c r="K281" s="1589"/>
      <c r="L281" s="1585"/>
      <c r="M281" s="1585"/>
      <c r="N281" s="1585"/>
      <c r="O281" s="1585"/>
      <c r="P281" s="1585"/>
      <c r="Q281" s="955"/>
    </row>
    <row r="282" spans="1:32" ht="13.35" customHeight="1">
      <c r="A282" s="3112" t="s">
        <v>4607</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35" customHeight="1">
      <c r="A284" s="1894"/>
      <c r="B284" s="1895"/>
      <c r="C284" s="1895"/>
      <c r="D284" s="1895"/>
      <c r="E284" s="1895"/>
      <c r="F284" s="1895"/>
      <c r="G284" s="1895"/>
      <c r="H284" s="1895"/>
      <c r="I284" s="1895"/>
      <c r="J284" s="1895"/>
      <c r="K284" s="1895"/>
      <c r="L284" s="1895"/>
      <c r="M284" s="1895"/>
      <c r="N284" s="1895"/>
      <c r="O284" s="1895"/>
      <c r="P284" s="1895"/>
      <c r="Q284" s="1896"/>
    </row>
    <row r="285" spans="1:32" ht="14.1" customHeight="1">
      <c r="A285" s="1586" t="s">
        <v>4151</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0" t="s">
        <v>4604</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3" t="s">
        <v>4604</v>
      </c>
      <c r="Q288" s="1282"/>
      <c r="AE288" s="489"/>
      <c r="AF288" s="489"/>
    </row>
    <row r="289" spans="1:33" ht="11.25" customHeight="1">
      <c r="B289" s="145" t="s">
        <v>3780</v>
      </c>
      <c r="D289" s="145"/>
      <c r="E289" s="145"/>
      <c r="F289" s="145"/>
      <c r="G289" s="145"/>
      <c r="H289" s="41"/>
      <c r="I289" s="1589"/>
      <c r="J289" s="1589"/>
      <c r="K289" s="1589"/>
      <c r="L289" s="1585"/>
      <c r="M289" s="1585"/>
      <c r="N289" s="1585"/>
      <c r="O289" s="1585"/>
      <c r="P289" s="1585"/>
      <c r="Q289" s="955"/>
    </row>
    <row r="290" spans="1:33" ht="13.35" customHeight="1">
      <c r="A290" s="3112" t="s">
        <v>4608</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35" customHeight="1">
      <c r="A292" s="1894"/>
      <c r="B292" s="1895"/>
      <c r="C292" s="1895"/>
      <c r="D292" s="1895"/>
      <c r="E292" s="1895"/>
      <c r="F292" s="1895"/>
      <c r="G292" s="1895"/>
      <c r="H292" s="1895"/>
      <c r="I292" s="1895"/>
      <c r="J292" s="1895"/>
      <c r="K292" s="1895"/>
      <c r="L292" s="1895"/>
      <c r="M292" s="1895"/>
      <c r="N292" s="1895"/>
      <c r="O292" s="1895"/>
      <c r="P292" s="1895"/>
      <c r="Q292" s="1896"/>
    </row>
    <row r="293" spans="1:33" ht="14.1" customHeight="1">
      <c r="A293" s="1586" t="s">
        <v>4152</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4171</v>
      </c>
    </row>
    <row r="295" spans="1:33" s="152" customFormat="1" ht="44.25" customHeight="1">
      <c r="A295" s="146"/>
      <c r="B295" s="154" t="s">
        <v>1750</v>
      </c>
      <c r="C295" s="1892" t="s">
        <v>3942</v>
      </c>
      <c r="D295" s="1892"/>
      <c r="E295" s="1892"/>
      <c r="F295" s="1892"/>
      <c r="G295" s="1892"/>
      <c r="H295" s="1892"/>
      <c r="I295" s="1892"/>
      <c r="J295" s="1892"/>
      <c r="K295" s="1892"/>
      <c r="L295" s="1892"/>
      <c r="M295" s="1892"/>
      <c r="N295" s="1892"/>
      <c r="O295" s="166" t="s">
        <v>2744</v>
      </c>
      <c r="P295" s="3070" t="s">
        <v>3011</v>
      </c>
      <c r="Q295" s="1261"/>
      <c r="AE295" s="488"/>
      <c r="AF295" s="488"/>
    </row>
    <row r="296" spans="1:33" s="429" customFormat="1" ht="12" customHeight="1">
      <c r="A296" s="146"/>
      <c r="B296" s="154" t="s">
        <v>1751</v>
      </c>
      <c r="C296" s="1892" t="s">
        <v>3943</v>
      </c>
      <c r="D296" s="1892"/>
      <c r="E296" s="1892"/>
      <c r="F296" s="1892"/>
      <c r="G296" s="1892"/>
      <c r="H296" s="1892"/>
      <c r="I296" s="1892"/>
      <c r="J296" s="1892"/>
      <c r="K296" s="1892"/>
      <c r="L296" s="1892"/>
      <c r="M296" s="1892"/>
      <c r="N296" s="1892"/>
      <c r="O296" s="154" t="s">
        <v>1751</v>
      </c>
      <c r="P296" s="3150" t="s">
        <v>3011</v>
      </c>
      <c r="Q296" s="564"/>
      <c r="AE296" s="489"/>
      <c r="AF296" s="489"/>
    </row>
    <row r="297" spans="1:33" s="429" customFormat="1" ht="21.75" customHeight="1">
      <c r="A297" s="146"/>
      <c r="B297" s="166" t="s">
        <v>1752</v>
      </c>
      <c r="C297" s="1892" t="s">
        <v>3941</v>
      </c>
      <c r="D297" s="1892"/>
      <c r="E297" s="1892"/>
      <c r="F297" s="1892"/>
      <c r="G297" s="1892"/>
      <c r="H297" s="1892"/>
      <c r="I297" s="1892"/>
      <c r="J297" s="1892"/>
      <c r="K297" s="1892"/>
      <c r="L297" s="1892"/>
      <c r="M297" s="1892"/>
      <c r="N297" s="1892"/>
      <c r="O297" s="166" t="s">
        <v>1752</v>
      </c>
      <c r="P297" s="3093"/>
      <c r="Q297" s="1282"/>
      <c r="AE297" s="489"/>
      <c r="AF297" s="489"/>
    </row>
    <row r="298" spans="1:33" s="97" customFormat="1" ht="12.75" customHeight="1">
      <c r="A298" s="15" t="s">
        <v>2001</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3777</v>
      </c>
      <c r="D299" s="1892"/>
      <c r="E299" s="1892"/>
      <c r="F299" s="1892"/>
      <c r="G299" s="1892"/>
      <c r="H299" s="1892"/>
      <c r="I299" s="144"/>
      <c r="J299" s="1901" t="s">
        <v>3822</v>
      </c>
      <c r="K299" s="1902"/>
      <c r="L299" s="1902"/>
      <c r="M299" s="1903" t="s">
        <v>3790</v>
      </c>
      <c r="N299" s="1903"/>
      <c r="AE299" s="490"/>
      <c r="AF299" s="490"/>
    </row>
    <row r="300" spans="1:33" s="305" customFormat="1" ht="10.5" customHeight="1">
      <c r="A300" s="317"/>
      <c r="C300" s="1892"/>
      <c r="D300" s="1892"/>
      <c r="E300" s="1892"/>
      <c r="F300" s="1892"/>
      <c r="G300" s="1892"/>
      <c r="H300" s="1892"/>
      <c r="I300" s="1571"/>
      <c r="J300" s="1902"/>
      <c r="K300" s="1902"/>
      <c r="L300" s="1902"/>
      <c r="M300" s="37" t="s">
        <v>3791</v>
      </c>
      <c r="N300" s="1589" t="s">
        <v>3821</v>
      </c>
      <c r="P300" s="315"/>
    </row>
    <row r="301" spans="1:33" s="305" customFormat="1" ht="13.35" customHeight="1">
      <c r="A301" s="317"/>
      <c r="C301" s="1892"/>
      <c r="D301" s="1892"/>
      <c r="E301" s="1892"/>
      <c r="F301" s="1892"/>
      <c r="G301" s="1892"/>
      <c r="H301" s="1892"/>
      <c r="I301" s="53" t="s">
        <v>4172</v>
      </c>
      <c r="K301" s="3178">
        <v>3</v>
      </c>
      <c r="L301" s="1086" t="str">
        <f>IF(K301&lt;M301,"Check!!!","")</f>
        <v/>
      </c>
      <c r="M301" s="1087">
        <f>ROUNDUP('Part VI-Revenues &amp; Expenses'!$O$62*'Part VIII-Threshold Criteria'!N301,0)</f>
        <v>3</v>
      </c>
      <c r="N301" s="1092">
        <f>'DCA Underwriting Assumptions'!$Q$136</f>
        <v>0.05</v>
      </c>
      <c r="O301" s="484" t="s">
        <v>3664</v>
      </c>
      <c r="P301" s="299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3778</v>
      </c>
      <c r="D303" s="1892"/>
      <c r="E303" s="1892"/>
      <c r="F303" s="1892"/>
      <c r="G303" s="1892"/>
      <c r="H303" s="1892"/>
      <c r="I303" s="938" t="s">
        <v>4173</v>
      </c>
      <c r="J303" s="305"/>
      <c r="K303" s="3178">
        <v>2</v>
      </c>
      <c r="L303" s="1086" t="str">
        <f>IF(K303&lt;M303,"Check!!!","")</f>
        <v/>
      </c>
      <c r="M303" s="1087">
        <f>ROUNDUP(K301*'Part VIII-Threshold Criteria'!N303,0)</f>
        <v>2</v>
      </c>
      <c r="N303" s="1092">
        <f>'DCA Underwriting Assumptions'!$Q$137</f>
        <v>0.4</v>
      </c>
      <c r="O303" s="484" t="s">
        <v>2133</v>
      </c>
      <c r="P303" s="299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3779</v>
      </c>
      <c r="D305" s="1892"/>
      <c r="E305" s="1892"/>
      <c r="F305" s="1892"/>
      <c r="G305" s="1892"/>
      <c r="H305" s="1892"/>
      <c r="I305" s="53" t="s">
        <v>4174</v>
      </c>
      <c r="J305" s="305"/>
      <c r="K305" s="3178">
        <v>2</v>
      </c>
      <c r="L305" s="1086" t="str">
        <f>IF(K305&lt;M305,"Check!!!","")</f>
        <v/>
      </c>
      <c r="M305" s="1087">
        <f>ROUNDUP('Part VI-Revenues &amp; Expenses'!$O$62*'Part VIII-Threshold Criteria'!N305,0)</f>
        <v>2</v>
      </c>
      <c r="N305" s="1092">
        <f>'DCA Underwriting Assumptions'!$Q$138</f>
        <v>0.02</v>
      </c>
      <c r="O305" s="484" t="s">
        <v>1751</v>
      </c>
      <c r="P305" s="299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3666</v>
      </c>
      <c r="C309" s="1893"/>
      <c r="D309" s="1893"/>
      <c r="E309" s="1893"/>
      <c r="F309" s="1893"/>
      <c r="G309" s="1893"/>
      <c r="H309" s="1893"/>
      <c r="I309" s="1893"/>
      <c r="J309" s="1893"/>
      <c r="K309" s="1893"/>
      <c r="L309" s="1893"/>
      <c r="M309" s="1893"/>
      <c r="N309" s="1893"/>
      <c r="O309" s="166" t="s">
        <v>757</v>
      </c>
      <c r="P309" s="3066" t="s">
        <v>3011</v>
      </c>
      <c r="Q309" s="1262"/>
      <c r="AE309" s="490"/>
      <c r="AF309" s="490"/>
    </row>
    <row r="310" spans="1:33" s="97" customFormat="1" ht="11.25" customHeight="1">
      <c r="B310" s="405" t="s">
        <v>3667</v>
      </c>
      <c r="D310" s="405"/>
      <c r="E310" s="405"/>
      <c r="F310" s="405"/>
      <c r="G310" s="405"/>
      <c r="H310" s="405"/>
      <c r="I310" s="405" t="s">
        <v>3789</v>
      </c>
      <c r="J310" s="405"/>
      <c r="K310" s="405"/>
      <c r="L310" s="3179" t="s">
        <v>4610</v>
      </c>
      <c r="M310" s="3180"/>
      <c r="N310" s="3181"/>
      <c r="O310" s="405"/>
      <c r="P310" s="405"/>
      <c r="Q310" s="405"/>
      <c r="R310" s="405"/>
      <c r="AE310" s="490"/>
      <c r="AF310" s="490"/>
    </row>
    <row r="311" spans="1:33" s="429" customFormat="1" ht="44.25" customHeight="1">
      <c r="B311" s="154" t="s">
        <v>1750</v>
      </c>
      <c r="C311" s="1892" t="s">
        <v>3665</v>
      </c>
      <c r="D311" s="1892"/>
      <c r="E311" s="1892"/>
      <c r="F311" s="1892"/>
      <c r="G311" s="1892"/>
      <c r="H311" s="1892"/>
      <c r="I311" s="1892"/>
      <c r="J311" s="1892"/>
      <c r="K311" s="1892"/>
      <c r="L311" s="1892"/>
      <c r="M311" s="1892"/>
      <c r="N311" s="1892"/>
      <c r="O311" s="166" t="s">
        <v>3670</v>
      </c>
      <c r="P311" s="3070" t="s">
        <v>3011</v>
      </c>
      <c r="Q311" s="1261"/>
      <c r="AE311" s="489"/>
      <c r="AF311" s="489"/>
    </row>
    <row r="312" spans="1:33" s="429" customFormat="1" ht="11.25" customHeight="1">
      <c r="B312" s="154" t="s">
        <v>1751</v>
      </c>
      <c r="C312" s="1892" t="s">
        <v>3710</v>
      </c>
      <c r="D312" s="1892"/>
      <c r="E312" s="1892"/>
      <c r="F312" s="1892"/>
      <c r="G312" s="1892"/>
      <c r="H312" s="1892"/>
      <c r="I312" s="1892"/>
      <c r="J312" s="1892"/>
      <c r="K312" s="1892"/>
      <c r="L312" s="1892"/>
      <c r="M312" s="1892"/>
      <c r="N312" s="1892"/>
      <c r="O312" s="166" t="s">
        <v>3671</v>
      </c>
      <c r="P312" s="3150" t="s">
        <v>3011</v>
      </c>
      <c r="Q312" s="564"/>
      <c r="AE312" s="489"/>
      <c r="AF312" s="489"/>
    </row>
    <row r="313" spans="1:33" s="429" customFormat="1" ht="34.5" customHeight="1">
      <c r="B313" s="166" t="s">
        <v>1752</v>
      </c>
      <c r="C313" s="1892" t="s">
        <v>3668</v>
      </c>
      <c r="D313" s="1892"/>
      <c r="E313" s="1892"/>
      <c r="F313" s="1892"/>
      <c r="G313" s="1892"/>
      <c r="H313" s="1892"/>
      <c r="I313" s="1892"/>
      <c r="J313" s="1892"/>
      <c r="K313" s="1892"/>
      <c r="L313" s="1892"/>
      <c r="M313" s="1892"/>
      <c r="N313" s="1892"/>
      <c r="O313" s="166" t="s">
        <v>3672</v>
      </c>
      <c r="P313" s="3150" t="s">
        <v>3011</v>
      </c>
      <c r="Q313" s="564"/>
      <c r="AE313" s="489"/>
      <c r="AF313" s="489"/>
    </row>
    <row r="314" spans="1:33" s="429" customFormat="1" ht="32.25" customHeight="1">
      <c r="B314" s="166" t="s">
        <v>2381</v>
      </c>
      <c r="C314" s="1892" t="s">
        <v>3669</v>
      </c>
      <c r="D314" s="1892"/>
      <c r="E314" s="1892"/>
      <c r="F314" s="1892"/>
      <c r="G314" s="1892"/>
      <c r="H314" s="1892"/>
      <c r="I314" s="1892"/>
      <c r="J314" s="1892"/>
      <c r="K314" s="1892"/>
      <c r="L314" s="1892"/>
      <c r="M314" s="1892"/>
      <c r="N314" s="1892"/>
      <c r="O314" s="166" t="s">
        <v>3673</v>
      </c>
      <c r="P314" s="3093" t="s">
        <v>3011</v>
      </c>
      <c r="Q314" s="1282"/>
      <c r="AE314" s="489"/>
      <c r="AF314" s="489"/>
    </row>
    <row r="315" spans="1:33" ht="11.25" customHeight="1">
      <c r="B315" s="145" t="s">
        <v>3780</v>
      </c>
      <c r="D315" s="145"/>
      <c r="E315" s="145"/>
      <c r="F315" s="145"/>
      <c r="G315" s="145"/>
      <c r="H315" s="41"/>
      <c r="I315" s="1589"/>
      <c r="J315" s="1589"/>
      <c r="K315" s="1589"/>
      <c r="L315" s="1585"/>
      <c r="M315" s="1585"/>
      <c r="N315" s="1585"/>
      <c r="O315" s="1585"/>
      <c r="P315" s="1585"/>
      <c r="Q315" s="955"/>
    </row>
    <row r="316" spans="1:33" ht="32.25" customHeight="1">
      <c r="A316" s="3112" t="s">
        <v>4609</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4.1" customHeight="1">
      <c r="A319" s="1586" t="s">
        <v>4150</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8" t="s">
        <v>3014</v>
      </c>
      <c r="Q320" s="561"/>
    </row>
    <row r="321" spans="1:256 1523:1523" ht="12" customHeight="1">
      <c r="B321" s="932" t="s">
        <v>2227</v>
      </c>
      <c r="C321" s="932"/>
      <c r="D321" s="932"/>
      <c r="E321" s="932"/>
      <c r="F321" s="932"/>
      <c r="G321" s="932"/>
      <c r="H321" s="932"/>
      <c r="I321" s="932"/>
      <c r="J321" s="932"/>
      <c r="K321" s="932"/>
      <c r="L321" s="932"/>
      <c r="P321" s="2927"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2"/>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3" t="s">
        <v>3945</v>
      </c>
      <c r="H325" s="3184"/>
      <c r="I325" s="3184"/>
      <c r="J325" s="3184"/>
      <c r="K325" s="3184"/>
      <c r="L325" s="3184"/>
      <c r="M325" s="3184"/>
      <c r="N325" s="3185"/>
      <c r="O325" s="224" t="s">
        <v>1750</v>
      </c>
      <c r="P325" s="3070" t="s">
        <v>3011</v>
      </c>
      <c r="Q325" s="1261"/>
      <c r="BFO325" s="152" t="s">
        <v>2745</v>
      </c>
    </row>
    <row r="326" spans="1:256 1523:1523" ht="23.25" customHeight="1">
      <c r="B326" s="220" t="s">
        <v>1751</v>
      </c>
      <c r="C326" s="1892" t="s">
        <v>1142</v>
      </c>
      <c r="D326" s="1892"/>
      <c r="E326" s="1892"/>
      <c r="F326" s="1899"/>
      <c r="G326" s="3171" t="s">
        <v>3792</v>
      </c>
      <c r="H326" s="3186"/>
      <c r="I326" s="3186"/>
      <c r="J326" s="3186"/>
      <c r="K326" s="3186"/>
      <c r="L326" s="3186"/>
      <c r="M326" s="3186"/>
      <c r="N326" s="3187"/>
      <c r="O326" s="224" t="s">
        <v>1751</v>
      </c>
      <c r="P326" s="3093"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8"/>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89"/>
      <c r="J332" s="1589"/>
      <c r="K332" s="1589"/>
      <c r="L332" s="1585"/>
      <c r="M332" s="1585"/>
      <c r="N332" s="1585"/>
      <c r="O332" s="1585"/>
      <c r="P332" s="1585"/>
      <c r="Q332" s="955"/>
    </row>
    <row r="333" spans="1:256 1523:1523" ht="11.45" customHeight="1">
      <c r="A333" s="3112" t="s">
        <v>4611</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4.1" customHeight="1">
      <c r="A336" s="1586" t="s">
        <v>4153</v>
      </c>
      <c r="B336" s="1586" t="s">
        <v>4192</v>
      </c>
      <c r="C336" s="1586"/>
      <c r="D336" s="1592"/>
      <c r="E336" s="1592"/>
      <c r="F336" s="1592"/>
      <c r="G336" s="1592"/>
      <c r="H336" s="1592"/>
      <c r="O336" s="136" t="s">
        <v>1881</v>
      </c>
      <c r="P336" s="1897"/>
      <c r="Q336" s="1904"/>
    </row>
    <row r="337" spans="1:31" ht="11.45" customHeight="1">
      <c r="A337" s="48" t="s">
        <v>1999</v>
      </c>
      <c r="B337" s="56" t="s">
        <v>3947</v>
      </c>
      <c r="O337" s="166" t="s">
        <v>1999</v>
      </c>
      <c r="P337" s="2998" t="s">
        <v>3011</v>
      </c>
      <c r="Q337" s="560"/>
    </row>
    <row r="338" spans="1:31" ht="11.45" customHeight="1">
      <c r="A338" s="146" t="s">
        <v>2001</v>
      </c>
      <c r="B338" s="56" t="s">
        <v>4137</v>
      </c>
      <c r="O338" s="166" t="s">
        <v>2001</v>
      </c>
      <c r="P338" s="2928" t="s">
        <v>3011</v>
      </c>
      <c r="Q338" s="561"/>
    </row>
    <row r="339" spans="1:31" ht="11.45" customHeight="1">
      <c r="A339" s="146" t="s">
        <v>757</v>
      </c>
      <c r="B339" s="149" t="s">
        <v>2366</v>
      </c>
      <c r="O339" s="166" t="s">
        <v>757</v>
      </c>
      <c r="P339" s="2934" t="s">
        <v>3014</v>
      </c>
      <c r="Q339" s="562"/>
    </row>
    <row r="340" spans="1:31" ht="11.45" customHeight="1">
      <c r="A340" s="48" t="s">
        <v>2131</v>
      </c>
      <c r="B340" s="56" t="s">
        <v>3871</v>
      </c>
      <c r="O340" s="484" t="s">
        <v>2131</v>
      </c>
      <c r="P340" s="2927" t="s">
        <v>3014</v>
      </c>
      <c r="Q340" s="563"/>
    </row>
    <row r="341" spans="1:31" ht="11.45" customHeight="1">
      <c r="A341" s="146" t="s">
        <v>1748</v>
      </c>
      <c r="B341" s="56" t="s">
        <v>2903</v>
      </c>
      <c r="N341" s="166" t="s">
        <v>1748</v>
      </c>
      <c r="O341" s="3188" t="s">
        <v>3866</v>
      </c>
      <c r="P341" s="3189"/>
      <c r="Q341" s="3190"/>
    </row>
    <row r="342" spans="1:31" ht="11.45" customHeight="1">
      <c r="A342" s="146" t="s">
        <v>1749</v>
      </c>
      <c r="B342" s="425" t="s">
        <v>2367</v>
      </c>
      <c r="N342" s="166" t="s">
        <v>1749</v>
      </c>
      <c r="O342" s="1923" t="s">
        <v>2904</v>
      </c>
      <c r="P342" s="1924"/>
      <c r="Q342" s="1925"/>
    </row>
    <row r="343" spans="1:31" ht="11.25" customHeight="1">
      <c r="B343" s="145" t="s">
        <v>3780</v>
      </c>
      <c r="D343" s="145"/>
      <c r="E343" s="145"/>
      <c r="F343" s="145"/>
      <c r="G343" s="145"/>
      <c r="H343" s="41"/>
      <c r="I343" s="1589"/>
      <c r="J343" s="1589"/>
      <c r="K343" s="1589"/>
      <c r="L343" s="1585"/>
      <c r="M343" s="1585"/>
      <c r="N343" s="1585"/>
      <c r="O343" s="1585"/>
      <c r="P343" s="1585"/>
      <c r="Q343" s="955"/>
    </row>
    <row r="344" spans="1:31" ht="80.25" customHeight="1">
      <c r="A344" s="3112" t="s">
        <v>4717</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35" customHeight="1">
      <c r="A346" s="1894"/>
      <c r="B346" s="1895"/>
      <c r="C346" s="1895"/>
      <c r="D346" s="1895"/>
      <c r="E346" s="1895"/>
      <c r="F346" s="1895"/>
      <c r="G346" s="1895"/>
      <c r="H346" s="1895"/>
      <c r="I346" s="1895"/>
      <c r="J346" s="1895"/>
      <c r="K346" s="1895"/>
      <c r="L346" s="1895"/>
      <c r="M346" s="1895"/>
      <c r="N346" s="1895"/>
      <c r="O346" s="1895"/>
      <c r="P346" s="1895"/>
      <c r="Q346" s="1896"/>
    </row>
    <row r="347" spans="1:31" ht="14.1" customHeight="1">
      <c r="A347" s="1586" t="s">
        <v>4154</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3682</v>
      </c>
      <c r="D348" s="144"/>
      <c r="E348" s="144"/>
      <c r="F348" s="144"/>
      <c r="G348" s="144"/>
      <c r="H348" s="144"/>
      <c r="I348" s="144"/>
      <c r="J348" s="144"/>
      <c r="K348" s="144"/>
      <c r="L348" s="144"/>
      <c r="M348" s="144"/>
      <c r="N348" s="144"/>
      <c r="O348" s="166" t="s">
        <v>1999</v>
      </c>
      <c r="P348" s="2928"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934" t="s">
        <v>3014</v>
      </c>
      <c r="Q349" s="562"/>
    </row>
    <row r="350" spans="1:31" ht="22.5" customHeight="1">
      <c r="A350" s="146" t="s">
        <v>757</v>
      </c>
      <c r="B350" s="1892" t="s">
        <v>4138</v>
      </c>
      <c r="C350" s="1892"/>
      <c r="D350" s="1892"/>
      <c r="E350" s="1892"/>
      <c r="F350" s="1892"/>
      <c r="G350" s="1892"/>
      <c r="H350" s="1892"/>
      <c r="I350" s="1892"/>
      <c r="J350" s="1892"/>
      <c r="K350" s="1892"/>
      <c r="L350" s="1892"/>
      <c r="M350" s="1892"/>
      <c r="N350" s="1892"/>
      <c r="O350" s="166" t="s">
        <v>757</v>
      </c>
      <c r="P350" s="2927" t="s">
        <v>3011</v>
      </c>
      <c r="Q350" s="563"/>
    </row>
    <row r="351" spans="1:31" ht="11.25" customHeight="1">
      <c r="B351" s="145" t="s">
        <v>3780</v>
      </c>
      <c r="D351" s="145"/>
      <c r="E351" s="145"/>
      <c r="F351" s="145"/>
      <c r="G351" s="145"/>
      <c r="H351" s="41"/>
      <c r="I351" s="1589"/>
      <c r="J351" s="1589"/>
      <c r="K351" s="1589"/>
      <c r="L351" s="1585"/>
      <c r="M351" s="1585"/>
      <c r="N351" s="1585"/>
      <c r="O351" s="1585"/>
      <c r="P351" s="1585"/>
      <c r="Q351" s="955"/>
    </row>
    <row r="352" spans="1:31" ht="57" customHeight="1">
      <c r="A352" s="3112" t="s">
        <v>4650</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4.1" customHeight="1">
      <c r="A356" s="1586" t="s">
        <v>4157</v>
      </c>
      <c r="B356" s="4" t="s">
        <v>4124</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4125</v>
      </c>
      <c r="D357" s="155"/>
      <c r="E357" s="155"/>
      <c r="F357" s="155"/>
      <c r="G357" s="155"/>
      <c r="H357" s="484" t="s">
        <v>1999</v>
      </c>
      <c r="I357" s="3127"/>
      <c r="J357" s="3128"/>
      <c r="K357" s="3128"/>
      <c r="L357" s="3128"/>
      <c r="M357" s="3128"/>
      <c r="N357" s="3128"/>
      <c r="O357" s="3128"/>
      <c r="P357" s="3129"/>
      <c r="Q357" s="559"/>
    </row>
    <row r="358" spans="1:32" ht="10.5" customHeight="1">
      <c r="A358" s="146" t="s">
        <v>2001</v>
      </c>
      <c r="B358" s="139" t="s">
        <v>4126</v>
      </c>
      <c r="D358" s="155"/>
      <c r="E358" s="155"/>
      <c r="F358" s="155"/>
      <c r="G358" s="155"/>
      <c r="H358" s="166" t="s">
        <v>2001</v>
      </c>
      <c r="I358" s="3127"/>
      <c r="J358" s="3128"/>
      <c r="K358" s="3128"/>
      <c r="L358" s="3128"/>
      <c r="M358" s="3128"/>
      <c r="N358" s="3128"/>
      <c r="O358" s="3128"/>
      <c r="P358" s="3129"/>
      <c r="Q358" s="559"/>
    </row>
    <row r="359" spans="1:32" ht="21.75" customHeight="1">
      <c r="A359" s="146" t="s">
        <v>757</v>
      </c>
      <c r="B359" s="1920" t="s">
        <v>4116</v>
      </c>
      <c r="C359" s="1920"/>
      <c r="D359" s="1920"/>
      <c r="E359" s="1920"/>
      <c r="F359" s="1920"/>
      <c r="G359" s="1920"/>
      <c r="H359" s="1920"/>
      <c r="I359" s="1920"/>
      <c r="J359" s="1920"/>
      <c r="K359" s="1920"/>
      <c r="L359" s="1920"/>
      <c r="M359" s="1920"/>
      <c r="N359" s="1920"/>
      <c r="O359" s="166" t="s">
        <v>757</v>
      </c>
      <c r="P359" s="3101"/>
      <c r="Q359" s="1261"/>
    </row>
    <row r="360" spans="1:32" ht="21.75" customHeight="1">
      <c r="A360" s="146" t="s">
        <v>2131</v>
      </c>
      <c r="B360" s="1892" t="s">
        <v>4117</v>
      </c>
      <c r="C360" s="1892"/>
      <c r="D360" s="1892"/>
      <c r="E360" s="1892"/>
      <c r="F360" s="1892"/>
      <c r="G360" s="1892"/>
      <c r="H360" s="1892"/>
      <c r="I360" s="1892"/>
      <c r="J360" s="1892"/>
      <c r="K360" s="1892"/>
      <c r="L360" s="1892"/>
      <c r="M360" s="1892"/>
      <c r="N360" s="1892"/>
      <c r="O360" s="484" t="s">
        <v>2131</v>
      </c>
      <c r="P360" s="3150"/>
      <c r="Q360" s="564"/>
    </row>
    <row r="361" spans="1:32" ht="10.5" customHeight="1">
      <c r="A361" s="146" t="s">
        <v>1748</v>
      </c>
      <c r="B361" s="53" t="s">
        <v>4118</v>
      </c>
      <c r="D361" s="53"/>
      <c r="E361" s="53"/>
      <c r="F361" s="53"/>
      <c r="G361" s="53"/>
      <c r="H361" s="53"/>
      <c r="I361" s="53"/>
      <c r="J361" s="53"/>
      <c r="K361" s="53"/>
      <c r="L361" s="53"/>
      <c r="M361" s="53"/>
      <c r="O361" s="166" t="s">
        <v>1748</v>
      </c>
      <c r="P361" s="2934"/>
      <c r="Q361" s="562"/>
    </row>
    <row r="362" spans="1:32" s="137" customFormat="1" ht="21.75" customHeight="1">
      <c r="A362" s="146" t="s">
        <v>1749</v>
      </c>
      <c r="B362" s="1892" t="s">
        <v>4119</v>
      </c>
      <c r="C362" s="1892"/>
      <c r="D362" s="1892"/>
      <c r="E362" s="1892"/>
      <c r="F362" s="1892"/>
      <c r="G362" s="1892"/>
      <c r="H362" s="1892"/>
      <c r="I362" s="1892"/>
      <c r="J362" s="1892"/>
      <c r="K362" s="1892"/>
      <c r="L362" s="1892"/>
      <c r="M362" s="1892"/>
      <c r="N362" s="1892"/>
      <c r="O362" s="166" t="s">
        <v>1749</v>
      </c>
      <c r="P362" s="3191"/>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3070"/>
      <c r="Q363" s="1261"/>
      <c r="AE363" s="487"/>
      <c r="AF363" s="487"/>
    </row>
    <row r="364" spans="1:32" s="137" customFormat="1" ht="10.5" customHeight="1">
      <c r="C364" s="932" t="s">
        <v>3860</v>
      </c>
      <c r="E364" s="1592"/>
      <c r="F364" s="1592"/>
      <c r="G364" s="1592"/>
      <c r="H364" s="1592"/>
      <c r="I364" s="1592"/>
      <c r="J364" s="1592"/>
      <c r="K364" s="1592"/>
      <c r="L364" s="1592"/>
      <c r="M364" s="1592"/>
      <c r="N364" s="1592"/>
      <c r="P364" s="3093"/>
      <c r="Q364" s="1282"/>
      <c r="AE364" s="487"/>
      <c r="AF364" s="487"/>
    </row>
    <row r="365" spans="1:32" ht="21.75" customHeight="1">
      <c r="A365" s="146" t="s">
        <v>3392</v>
      </c>
      <c r="B365" s="1892" t="s">
        <v>4121</v>
      </c>
      <c r="C365" s="1892"/>
      <c r="D365" s="1892"/>
      <c r="E365" s="1892"/>
      <c r="F365" s="1892"/>
      <c r="G365" s="1892"/>
      <c r="H365" s="1892"/>
      <c r="I365" s="1892"/>
      <c r="J365" s="1892"/>
      <c r="K365" s="1892"/>
      <c r="L365" s="1892"/>
      <c r="M365" s="1892"/>
      <c r="N365" s="1892"/>
      <c r="O365" s="166" t="s">
        <v>3392</v>
      </c>
      <c r="P365" s="3070"/>
      <c r="Q365" s="1261"/>
    </row>
    <row r="366" spans="1:32" ht="33" customHeight="1">
      <c r="A366" s="146" t="s">
        <v>622</v>
      </c>
      <c r="B366" s="1892" t="s">
        <v>4122</v>
      </c>
      <c r="C366" s="1892"/>
      <c r="D366" s="1892"/>
      <c r="E366" s="1892"/>
      <c r="F366" s="1892"/>
      <c r="G366" s="1892"/>
      <c r="H366" s="1892"/>
      <c r="I366" s="1892"/>
      <c r="J366" s="1892"/>
      <c r="K366" s="1892"/>
      <c r="L366" s="1892"/>
      <c r="M366" s="1892"/>
      <c r="N366" s="1892"/>
      <c r="O366" s="166" t="s">
        <v>622</v>
      </c>
      <c r="P366" s="3093"/>
      <c r="Q366" s="1282"/>
    </row>
    <row r="367" spans="1:32" ht="10.5" customHeight="1">
      <c r="B367" s="145" t="s">
        <v>3780</v>
      </c>
      <c r="D367" s="145"/>
      <c r="E367" s="145"/>
      <c r="F367" s="145"/>
      <c r="G367" s="145"/>
      <c r="H367" s="41"/>
      <c r="I367" s="1589"/>
      <c r="J367" s="1589"/>
      <c r="K367" s="1589"/>
      <c r="L367" s="1585"/>
      <c r="M367" s="1585"/>
      <c r="N367" s="1585"/>
      <c r="O367" s="1585"/>
      <c r="P367" s="1585"/>
      <c r="Q367" s="955"/>
    </row>
    <row r="368" spans="1:32" ht="31.5" customHeight="1">
      <c r="A368" s="3112" t="s">
        <v>4612</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4.1" customHeight="1">
      <c r="A372" s="1586" t="s">
        <v>4158</v>
      </c>
      <c r="B372" s="4" t="s">
        <v>3948</v>
      </c>
      <c r="C372" s="4"/>
      <c r="D372" s="4"/>
      <c r="E372" s="4"/>
      <c r="F372" s="4"/>
      <c r="G372" s="4"/>
      <c r="H372" s="1592"/>
      <c r="I372" s="1592"/>
      <c r="J372" s="1592"/>
      <c r="O372" s="136" t="s">
        <v>1881</v>
      </c>
      <c r="P372" s="1897"/>
      <c r="Q372" s="1904"/>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4175</v>
      </c>
      <c r="D374" s="1921"/>
      <c r="E374" s="1921"/>
      <c r="F374" s="1922"/>
      <c r="G374" s="3127"/>
      <c r="H374" s="3128"/>
      <c r="I374" s="3129"/>
      <c r="J374" s="1589" t="s">
        <v>3957</v>
      </c>
      <c r="K374" s="3127"/>
      <c r="L374" s="3128"/>
      <c r="M374" s="3129"/>
      <c r="N374" s="1907" t="s">
        <v>3949</v>
      </c>
      <c r="O374" s="1908"/>
      <c r="P374" s="3192"/>
      <c r="Q374" s="3193"/>
      <c r="AE374" s="51"/>
      <c r="AF374" s="51"/>
    </row>
    <row r="375" spans="1:32" s="43" customFormat="1" ht="10.5" customHeight="1">
      <c r="B375" s="37" t="s">
        <v>1751</v>
      </c>
      <c r="C375" s="53" t="s">
        <v>3951</v>
      </c>
      <c r="I375" s="484" t="s">
        <v>1751</v>
      </c>
      <c r="J375" s="3194"/>
      <c r="K375" s="3195"/>
      <c r="AE375" s="51"/>
      <c r="AF375" s="51"/>
    </row>
    <row r="376" spans="1:32" s="43" customFormat="1" ht="10.5" customHeight="1">
      <c r="A376" s="48"/>
      <c r="B376" s="37" t="s">
        <v>1752</v>
      </c>
      <c r="C376" s="53" t="s">
        <v>3952</v>
      </c>
      <c r="D376" s="47"/>
      <c r="E376" s="138"/>
      <c r="F376" s="1911" t="str">
        <f>'Part I-Project Information'!K40</f>
        <v>Urban</v>
      </c>
      <c r="G376" s="1912"/>
      <c r="H376" s="1594" t="s">
        <v>3953</v>
      </c>
      <c r="I376" s="138"/>
      <c r="J376" s="138"/>
      <c r="K376" s="138"/>
      <c r="L376" s="138"/>
      <c r="M376" s="138"/>
      <c r="N376" s="138"/>
      <c r="O376" s="484" t="s">
        <v>1752</v>
      </c>
      <c r="P376" s="2928"/>
      <c r="Q376" s="561"/>
      <c r="AE376" s="51"/>
      <c r="AF376" s="51"/>
    </row>
    <row r="377" spans="1:32" s="43" customFormat="1" ht="10.5" customHeight="1">
      <c r="A377" s="48"/>
      <c r="B377" s="37" t="s">
        <v>2381</v>
      </c>
      <c r="C377" s="53" t="s">
        <v>3954</v>
      </c>
      <c r="E377" s="138"/>
      <c r="F377" s="138"/>
      <c r="G377" s="138"/>
      <c r="H377" s="138"/>
      <c r="I377" s="138"/>
      <c r="J377" s="3196"/>
      <c r="K377" s="3197"/>
      <c r="L377" s="1913"/>
      <c r="M377" s="1914"/>
      <c r="N377" s="53" t="s">
        <v>3964</v>
      </c>
      <c r="O377" s="484"/>
      <c r="P377" s="2934"/>
      <c r="Q377" s="562"/>
      <c r="AE377" s="51"/>
      <c r="AF377" s="51"/>
    </row>
    <row r="378" spans="1:32" s="43" customFormat="1" ht="10.5" customHeight="1">
      <c r="A378" s="48"/>
      <c r="B378" s="37" t="s">
        <v>1561</v>
      </c>
      <c r="C378" s="53" t="s">
        <v>3955</v>
      </c>
      <c r="E378" s="53"/>
      <c r="F378" s="1909">
        <f>'Part IV-A-Uses of Funds'!J173</f>
        <v>772998</v>
      </c>
      <c r="G378" s="1910"/>
      <c r="H378" s="53" t="s">
        <v>3956</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3958</v>
      </c>
      <c r="E379" s="53"/>
      <c r="F379" s="53"/>
      <c r="G379" s="53"/>
      <c r="H379" s="53" t="s">
        <v>3618</v>
      </c>
      <c r="I379" s="53"/>
      <c r="J379" s="3196"/>
      <c r="K379" s="3197"/>
      <c r="L379" s="53" t="s">
        <v>3959</v>
      </c>
      <c r="M379" s="1913"/>
      <c r="N379" s="1914"/>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19" t="s">
        <v>3966</v>
      </c>
      <c r="K382" s="1919"/>
      <c r="L382" s="1919"/>
      <c r="M382" s="1919"/>
      <c r="N382" s="1917" t="s">
        <v>3963</v>
      </c>
      <c r="O382" s="1917"/>
      <c r="P382" s="138"/>
      <c r="Q382" s="138"/>
      <c r="R382" s="138"/>
      <c r="AE382" s="51"/>
      <c r="AF382" s="51"/>
    </row>
    <row r="383" spans="1:32" s="43" customFormat="1" ht="10.5" customHeight="1">
      <c r="B383" s="37" t="s">
        <v>1750</v>
      </c>
      <c r="C383" s="956" t="s">
        <v>3962</v>
      </c>
      <c r="E383" s="1594"/>
      <c r="F383" s="1594"/>
      <c r="G383" s="1594"/>
      <c r="H383" s="1594"/>
      <c r="J383" s="3198"/>
      <c r="K383" s="3199"/>
      <c r="L383" s="1915"/>
      <c r="M383" s="1916"/>
      <c r="N383" s="1208" t="str">
        <f>IF(J383="","",J377/J383)</f>
        <v/>
      </c>
      <c r="O383" s="1209" t="str">
        <f>IF(L383="","",L377/L383)</f>
        <v/>
      </c>
      <c r="P383" s="2928"/>
      <c r="Q383" s="561"/>
      <c r="AE383" s="51"/>
      <c r="AF383" s="51"/>
    </row>
    <row r="384" spans="1:32" s="43" customFormat="1" ht="10.5" customHeight="1">
      <c r="B384" s="37" t="s">
        <v>1751</v>
      </c>
      <c r="C384" s="53" t="s">
        <v>3965</v>
      </c>
      <c r="E384" s="138"/>
      <c r="F384" s="138"/>
      <c r="G384" s="138"/>
      <c r="H384" s="138"/>
      <c r="N384" s="138"/>
      <c r="O384" s="484" t="s">
        <v>1751</v>
      </c>
      <c r="P384" s="3200"/>
      <c r="Q384" s="1454"/>
      <c r="AE384" s="51"/>
      <c r="AF384" s="51"/>
    </row>
    <row r="385" spans="1:32" s="43" customFormat="1" ht="10.5" customHeight="1">
      <c r="B385" s="37" t="s">
        <v>1752</v>
      </c>
      <c r="C385" s="53" t="s">
        <v>3967</v>
      </c>
      <c r="E385" s="138"/>
      <c r="F385" s="138"/>
      <c r="G385" s="138"/>
      <c r="H385" s="138"/>
      <c r="M385" s="138"/>
      <c r="N385" s="138"/>
      <c r="O385" s="484" t="s">
        <v>1752</v>
      </c>
      <c r="P385" s="2927"/>
      <c r="Q385" s="563"/>
      <c r="AE385" s="51"/>
      <c r="AF385" s="51"/>
    </row>
    <row r="386" spans="1:32" ht="10.5" customHeight="1">
      <c r="B386" s="145" t="s">
        <v>3780</v>
      </c>
      <c r="D386" s="145"/>
      <c r="E386" s="145"/>
      <c r="F386" s="145"/>
      <c r="G386" s="145"/>
      <c r="H386" s="41"/>
      <c r="I386" s="1589"/>
      <c r="J386" s="1589"/>
      <c r="K386" s="1589"/>
      <c r="L386" s="1585"/>
      <c r="M386" s="1585"/>
      <c r="N386" s="1585"/>
      <c r="O386" s="1585"/>
      <c r="P386" s="1585"/>
      <c r="Q386" s="955"/>
    </row>
    <row r="387" spans="1:32" ht="31.5" customHeight="1">
      <c r="A387" s="3112" t="s">
        <v>4613</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4.1" customHeight="1">
      <c r="A392" s="1586" t="s">
        <v>4159</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1"/>
      <c r="F393" s="3202"/>
      <c r="G393" s="3202"/>
      <c r="H393" s="3202"/>
      <c r="I393" s="3203"/>
      <c r="J393" s="1907" t="s">
        <v>2688</v>
      </c>
      <c r="K393" s="1986"/>
      <c r="L393" s="1908"/>
      <c r="M393" s="3201"/>
      <c r="N393" s="3202"/>
      <c r="O393" s="3202"/>
      <c r="P393" s="3202"/>
      <c r="Q393" s="3203"/>
    </row>
    <row r="394" spans="1:32" ht="11.45" customHeight="1">
      <c r="A394" s="48" t="s">
        <v>2001</v>
      </c>
      <c r="B394" s="53" t="s">
        <v>3487</v>
      </c>
      <c r="D394" s="53"/>
      <c r="E394" s="53"/>
      <c r="F394" s="53"/>
      <c r="G394" s="53"/>
      <c r="H394" s="53"/>
      <c r="I394" s="53"/>
      <c r="J394" s="53"/>
      <c r="K394" s="53"/>
      <c r="L394" s="956"/>
      <c r="M394" s="956"/>
      <c r="O394" s="484" t="s">
        <v>2001</v>
      </c>
      <c r="P394" s="2928"/>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50"/>
      <c r="Q395" s="564"/>
    </row>
    <row r="396" spans="1:32">
      <c r="A396" s="48" t="s">
        <v>2131</v>
      </c>
      <c r="B396" s="56" t="s">
        <v>3725</v>
      </c>
      <c r="G396" s="1594"/>
      <c r="H396" s="1594"/>
      <c r="I396" s="1594"/>
      <c r="J396" s="956" t="s">
        <v>3726</v>
      </c>
      <c r="L396" s="1594"/>
      <c r="M396" s="1987">
        <f>'Part III-Sources of Funds'!E11</f>
        <v>0</v>
      </c>
      <c r="N396" s="1988"/>
      <c r="O396" s="484" t="s">
        <v>2131</v>
      </c>
      <c r="P396" s="2927"/>
      <c r="Q396" s="563"/>
    </row>
    <row r="397" spans="1:32" ht="11.25" customHeight="1">
      <c r="B397" s="145" t="s">
        <v>3780</v>
      </c>
      <c r="D397" s="145"/>
      <c r="E397" s="145"/>
      <c r="F397" s="145"/>
      <c r="G397" s="145"/>
      <c r="H397" s="41"/>
      <c r="I397" s="1589"/>
      <c r="J397" s="1589"/>
      <c r="K397" s="1589"/>
      <c r="L397" s="1585"/>
      <c r="M397" s="1585"/>
      <c r="N397" s="1585"/>
      <c r="O397" s="1585"/>
      <c r="P397" s="1585"/>
      <c r="Q397" s="955"/>
    </row>
    <row r="398" spans="1:32" ht="11.45" customHeight="1">
      <c r="A398" s="3112" t="s">
        <v>4614</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4.1" customHeight="1">
      <c r="A402" s="1586" t="s">
        <v>4160</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8" t="s">
        <v>3014</v>
      </c>
      <c r="Q403" s="561"/>
    </row>
    <row r="404" spans="1:31" ht="12" customHeight="1">
      <c r="A404" s="48" t="s">
        <v>2001</v>
      </c>
      <c r="B404" s="53" t="s">
        <v>3608</v>
      </c>
      <c r="D404" s="957"/>
      <c r="E404" s="957"/>
      <c r="O404" s="484" t="s">
        <v>2001</v>
      </c>
      <c r="P404" s="2934" t="s">
        <v>3014</v>
      </c>
      <c r="Q404" s="562"/>
    </row>
    <row r="405" spans="1:31" ht="12" customHeight="1">
      <c r="A405" s="48" t="s">
        <v>757</v>
      </c>
      <c r="B405" s="53" t="s">
        <v>4123</v>
      </c>
      <c r="D405" s="957"/>
      <c r="E405" s="957"/>
      <c r="O405" s="484" t="s">
        <v>757</v>
      </c>
      <c r="P405" s="2934" t="s">
        <v>3014</v>
      </c>
      <c r="Q405" s="562"/>
    </row>
    <row r="406" spans="1:31" ht="12" customHeight="1">
      <c r="A406" s="48" t="s">
        <v>2131</v>
      </c>
      <c r="B406" s="53" t="s">
        <v>3609</v>
      </c>
      <c r="E406" s="144"/>
      <c r="O406" s="484" t="s">
        <v>2131</v>
      </c>
      <c r="P406" s="2934" t="s">
        <v>3014</v>
      </c>
      <c r="Q406" s="562"/>
    </row>
    <row r="407" spans="1:31" ht="12" customHeight="1">
      <c r="A407" s="48" t="s">
        <v>1748</v>
      </c>
      <c r="B407" s="53" t="s">
        <v>2095</v>
      </c>
      <c r="E407" s="144"/>
      <c r="G407" s="484" t="s">
        <v>1748</v>
      </c>
      <c r="H407" s="3204"/>
      <c r="I407" s="3205"/>
      <c r="J407" s="3205"/>
      <c r="K407" s="3205"/>
      <c r="L407" s="3205"/>
      <c r="M407" s="3205"/>
      <c r="N407" s="3205"/>
      <c r="O407" s="3206"/>
      <c r="P407" s="2927" t="s">
        <v>3014</v>
      </c>
      <c r="Q407" s="563"/>
    </row>
    <row r="408" spans="1:31" ht="11.25" customHeight="1">
      <c r="B408" s="145" t="s">
        <v>3780</v>
      </c>
      <c r="D408" s="145"/>
      <c r="E408" s="145"/>
      <c r="F408" s="145"/>
      <c r="G408" s="145"/>
      <c r="H408" s="41"/>
      <c r="I408" s="1589"/>
      <c r="J408" s="1589"/>
      <c r="K408" s="1589"/>
      <c r="L408" s="1585"/>
      <c r="M408" s="1585"/>
      <c r="N408" s="1585"/>
      <c r="O408" s="1585"/>
      <c r="P408" s="1585"/>
      <c r="Q408" s="955"/>
    </row>
    <row r="409" spans="1:31" ht="11.45" customHeight="1">
      <c r="A409" s="3112" t="s">
        <v>4615</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4.1" customHeight="1">
      <c r="A413" s="1586" t="s">
        <v>4161</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8"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7"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8"/>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4" t="s">
        <v>3014</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7"/>
      <c r="H421" s="572"/>
      <c r="J421" s="139" t="s">
        <v>2221</v>
      </c>
      <c r="K421" s="956"/>
      <c r="N421" s="3207"/>
      <c r="O421" s="572"/>
    </row>
    <row r="422" spans="1:32" ht="12" customHeight="1">
      <c r="A422" s="48"/>
      <c r="B422" s="139" t="s">
        <v>2219</v>
      </c>
      <c r="C422" s="37"/>
      <c r="E422" s="43"/>
      <c r="F422" s="956"/>
      <c r="G422" s="3208"/>
      <c r="H422" s="573"/>
      <c r="J422" s="139" t="s">
        <v>2222</v>
      </c>
      <c r="K422" s="956"/>
      <c r="N422" s="3209"/>
      <c r="O422" s="574"/>
    </row>
    <row r="423" spans="1:32" ht="12" customHeight="1">
      <c r="A423" s="48"/>
      <c r="B423" s="139" t="s">
        <v>2220</v>
      </c>
      <c r="C423" s="37"/>
      <c r="E423" s="43"/>
      <c r="F423" s="956"/>
      <c r="G423" s="320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0"/>
      <c r="O426" s="3211"/>
      <c r="P426" s="3211"/>
      <c r="Q426" s="3212"/>
    </row>
    <row r="427" spans="1:32" ht="12" customHeight="1">
      <c r="B427" s="145" t="s">
        <v>3780</v>
      </c>
      <c r="D427" s="145"/>
      <c r="E427" s="145"/>
      <c r="F427" s="145"/>
      <c r="G427" s="145"/>
      <c r="H427" s="41"/>
      <c r="I427" s="1589"/>
      <c r="J427" s="1589"/>
      <c r="K427" s="1589"/>
      <c r="P427" s="1585"/>
      <c r="Q427" s="955"/>
    </row>
    <row r="428" spans="1:32" ht="12" customHeight="1">
      <c r="A428" s="3112" t="s">
        <v>4616</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4.1" customHeight="1">
      <c r="A432" s="1586" t="s">
        <v>4162</v>
      </c>
      <c r="B432" s="4" t="s">
        <v>2834</v>
      </c>
      <c r="C432" s="4"/>
      <c r="D432" s="89"/>
      <c r="E432" s="1592"/>
      <c r="F432" s="1592"/>
      <c r="G432" s="1592"/>
      <c r="H432" s="1592"/>
      <c r="O432" s="136" t="s">
        <v>1881</v>
      </c>
      <c r="P432" s="1897"/>
      <c r="Q432" s="1904"/>
    </row>
    <row r="433" spans="1:32" ht="14.1" customHeight="1">
      <c r="B433" s="89" t="s">
        <v>3968</v>
      </c>
      <c r="C433" s="4"/>
      <c r="D433" s="89"/>
      <c r="E433" s="1592"/>
      <c r="F433" s="1592"/>
      <c r="G433" s="1592"/>
      <c r="H433" s="1592"/>
    </row>
    <row r="434" spans="1:32" s="137" customFormat="1" ht="21.75" customHeight="1">
      <c r="A434" s="146" t="s">
        <v>1999</v>
      </c>
      <c r="B434" s="1893" t="s">
        <v>3971</v>
      </c>
      <c r="C434" s="1893"/>
      <c r="D434" s="1893"/>
      <c r="E434" s="1893"/>
      <c r="F434" s="1893"/>
      <c r="G434" s="1893"/>
      <c r="H434" s="1893"/>
      <c r="I434" s="1893"/>
      <c r="J434" s="1893"/>
      <c r="K434" s="1893"/>
      <c r="L434" s="1893"/>
      <c r="M434" s="1893"/>
      <c r="N434" s="1893"/>
      <c r="O434" s="166" t="s">
        <v>1999</v>
      </c>
      <c r="P434" s="3070" t="s">
        <v>4604</v>
      </c>
      <c r="Q434" s="1261"/>
      <c r="AE434" s="487"/>
      <c r="AF434" s="487"/>
    </row>
    <row r="435" spans="1:32" s="137" customFormat="1" ht="22.5" customHeight="1">
      <c r="A435" s="146" t="s">
        <v>2001</v>
      </c>
      <c r="B435" s="1893" t="s">
        <v>3969</v>
      </c>
      <c r="C435" s="1893"/>
      <c r="D435" s="1893"/>
      <c r="E435" s="1893"/>
      <c r="F435" s="1893"/>
      <c r="G435" s="1893"/>
      <c r="H435" s="1893"/>
      <c r="I435" s="1893"/>
      <c r="J435" s="1893"/>
      <c r="K435" s="1893"/>
      <c r="L435" s="1893"/>
      <c r="M435" s="1893"/>
      <c r="N435" s="1893"/>
      <c r="O435" s="166" t="s">
        <v>2001</v>
      </c>
      <c r="P435" s="3150" t="s">
        <v>4604</v>
      </c>
      <c r="Q435" s="564"/>
      <c r="AE435" s="487"/>
      <c r="AF435" s="487"/>
    </row>
    <row r="436" spans="1:32" s="137" customFormat="1" ht="22.5" customHeight="1">
      <c r="B436" s="1893" t="s">
        <v>3970</v>
      </c>
      <c r="C436" s="1893"/>
      <c r="D436" s="1893"/>
      <c r="E436" s="1893"/>
      <c r="F436" s="1893"/>
      <c r="G436" s="1893"/>
      <c r="H436" s="1893"/>
      <c r="I436" s="1893"/>
      <c r="J436" s="1893"/>
      <c r="K436" s="1893"/>
      <c r="L436" s="1893"/>
      <c r="M436" s="1893"/>
      <c r="N436" s="1893"/>
      <c r="O436" s="166" t="s">
        <v>1750</v>
      </c>
      <c r="P436" s="3150" t="s">
        <v>4604</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50" t="s">
        <v>4604</v>
      </c>
      <c r="Q437" s="564"/>
      <c r="AE437" s="487"/>
      <c r="AF437" s="487"/>
    </row>
    <row r="438" spans="1:32" s="137" customFormat="1" ht="36" customHeight="1">
      <c r="B438" s="1893" t="s">
        <v>3973</v>
      </c>
      <c r="C438" s="1893"/>
      <c r="D438" s="1893"/>
      <c r="E438" s="1893"/>
      <c r="F438" s="1893"/>
      <c r="G438" s="1893"/>
      <c r="H438" s="1893"/>
      <c r="I438" s="1893"/>
      <c r="J438" s="1893"/>
      <c r="K438" s="1893"/>
      <c r="L438" s="1893"/>
      <c r="M438" s="1893"/>
      <c r="N438" s="1893"/>
      <c r="O438" s="166" t="s">
        <v>1752</v>
      </c>
      <c r="P438" s="3150" t="s">
        <v>4604</v>
      </c>
      <c r="Q438" s="564"/>
      <c r="AE438" s="487"/>
      <c r="AF438" s="487"/>
    </row>
    <row r="439" spans="1:32" s="137" customFormat="1" ht="22.5" customHeight="1">
      <c r="B439" s="1893" t="s">
        <v>3974</v>
      </c>
      <c r="C439" s="1893"/>
      <c r="D439" s="1893"/>
      <c r="E439" s="1893"/>
      <c r="F439" s="1893"/>
      <c r="G439" s="1893"/>
      <c r="H439" s="1893"/>
      <c r="I439" s="1893"/>
      <c r="J439" s="1893"/>
      <c r="K439" s="1893"/>
      <c r="L439" s="1893"/>
      <c r="M439" s="1893"/>
      <c r="N439" s="1893"/>
      <c r="O439" s="166" t="s">
        <v>2381</v>
      </c>
      <c r="P439" s="3150" t="s">
        <v>4604</v>
      </c>
      <c r="Q439" s="564"/>
      <c r="AE439" s="487"/>
      <c r="AF439" s="487"/>
    </row>
    <row r="440" spans="1:32" s="137" customFormat="1" ht="22.5" customHeight="1">
      <c r="A440" s="146" t="s">
        <v>757</v>
      </c>
      <c r="B440" s="1893" t="s">
        <v>3975</v>
      </c>
      <c r="C440" s="1893"/>
      <c r="D440" s="1893"/>
      <c r="E440" s="1893"/>
      <c r="F440" s="1893"/>
      <c r="G440" s="1893"/>
      <c r="H440" s="1893"/>
      <c r="I440" s="1893"/>
      <c r="J440" s="1893"/>
      <c r="K440" s="1893"/>
      <c r="L440" s="1893"/>
      <c r="M440" s="1893"/>
      <c r="N440" s="1893"/>
      <c r="O440" s="166" t="s">
        <v>757</v>
      </c>
      <c r="P440" s="3150" t="s">
        <v>4604</v>
      </c>
      <c r="Q440" s="564"/>
      <c r="AE440" s="487"/>
      <c r="AF440" s="487"/>
    </row>
    <row r="441" spans="1:32" s="137" customFormat="1" ht="22.5" customHeight="1">
      <c r="A441" s="146" t="s">
        <v>2131</v>
      </c>
      <c r="B441" s="1893" t="s">
        <v>3976</v>
      </c>
      <c r="C441" s="1893"/>
      <c r="D441" s="1893"/>
      <c r="E441" s="1893"/>
      <c r="F441" s="1893"/>
      <c r="G441" s="1893"/>
      <c r="H441" s="1893"/>
      <c r="I441" s="1893"/>
      <c r="J441" s="1893"/>
      <c r="K441" s="1893"/>
      <c r="L441" s="1893"/>
      <c r="M441" s="1893"/>
      <c r="N441" s="1893"/>
      <c r="O441" s="166" t="s">
        <v>2131</v>
      </c>
      <c r="P441" s="3150" t="s">
        <v>4604</v>
      </c>
      <c r="Q441" s="564"/>
      <c r="AE441" s="487"/>
      <c r="AF441" s="487"/>
    </row>
    <row r="442" spans="1:32" s="137" customFormat="1" ht="21.75" customHeight="1">
      <c r="A442" s="146" t="s">
        <v>1748</v>
      </c>
      <c r="B442" s="1893" t="s">
        <v>3977</v>
      </c>
      <c r="C442" s="1893"/>
      <c r="D442" s="1893"/>
      <c r="E442" s="1893"/>
      <c r="F442" s="1893"/>
      <c r="G442" s="1893"/>
      <c r="H442" s="1893"/>
      <c r="I442" s="1893"/>
      <c r="J442" s="1893"/>
      <c r="K442" s="1893"/>
      <c r="L442" s="1893"/>
      <c r="M442" s="1893"/>
      <c r="N442" s="1893"/>
      <c r="O442" s="166" t="s">
        <v>1748</v>
      </c>
      <c r="P442" s="3150" t="s">
        <v>4604</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3" t="s">
        <v>4604</v>
      </c>
      <c r="Q443" s="1282"/>
      <c r="AE443" s="489"/>
      <c r="AF443" s="489"/>
    </row>
    <row r="444" spans="1:32" ht="11.25" customHeight="1">
      <c r="B444" s="145" t="s">
        <v>3780</v>
      </c>
      <c r="D444" s="145"/>
      <c r="E444" s="145"/>
      <c r="F444" s="145"/>
      <c r="G444" s="145"/>
      <c r="H444" s="41"/>
      <c r="I444" s="1589"/>
      <c r="J444" s="1589"/>
      <c r="K444" s="1589"/>
      <c r="L444" s="1585"/>
      <c r="M444" s="1585"/>
      <c r="N444" s="1585"/>
      <c r="O444" s="1585"/>
      <c r="P444" s="1585"/>
      <c r="Q444" s="955"/>
    </row>
    <row r="445" spans="1:32" ht="22.5" customHeight="1">
      <c r="A445" s="3112" t="s">
        <v>4617</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4.1" customHeight="1">
      <c r="A449" s="1586" t="s">
        <v>4163</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3780</v>
      </c>
      <c r="D450" s="145"/>
      <c r="E450" s="145"/>
      <c r="F450" s="145"/>
      <c r="G450" s="145"/>
      <c r="H450" s="41"/>
      <c r="I450" s="1589"/>
      <c r="J450" s="1589"/>
      <c r="K450" s="1589"/>
      <c r="L450" s="1585"/>
      <c r="M450" s="1585"/>
      <c r="N450" s="1585"/>
      <c r="O450" s="1585"/>
      <c r="P450" s="1585"/>
      <c r="Q450" s="955"/>
    </row>
    <row r="451" spans="1:32" ht="22.5" customHeight="1">
      <c r="A451" s="3112" t="s">
        <v>4618</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L/WDNruH5bkpNlD3Epf8Zidn7G4O8J90MhzBDQHuXL6a7mAS1NsXDm+VyzEVzpyigveu4FAXCRqgMp2Fmrgniw==" saltValue="phw3U2cPeTqQdNcPqADWl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J98:L98"/>
    <mergeCell ref="O98:Q98"/>
    <mergeCell ref="J99:L99"/>
    <mergeCell ref="O99:Q99"/>
    <mergeCell ref="B103:O103"/>
    <mergeCell ref="B102:O102"/>
    <mergeCell ref="C118:N118"/>
    <mergeCell ref="C136:Q136"/>
    <mergeCell ref="C154:Q154"/>
    <mergeCell ref="L130:P130"/>
    <mergeCell ref="L133:P133"/>
    <mergeCell ref="B161:L161"/>
    <mergeCell ref="N161:O161"/>
    <mergeCell ref="P161:Q161"/>
    <mergeCell ref="E98:G98"/>
    <mergeCell ref="E99:G99"/>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7"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42578125" style="28" customWidth="1"/>
    <col min="6" max="6" width="9.140625" style="28" customWidth="1"/>
    <col min="7" max="9" width="11.5703125" style="28" customWidth="1"/>
    <col min="10" max="10" width="9.42578125" style="28" customWidth="1"/>
    <col min="11" max="11" width="11.5703125" style="28" customWidth="1"/>
    <col min="12" max="12" width="14.85546875" style="28" customWidth="1"/>
    <col min="13" max="13" width="6.5703125" style="28" customWidth="1"/>
    <col min="14" max="14" width="2.570312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4.1" customHeight="1">
      <c r="A1" s="1737" t="str">
        <f>CONCATENATE("PART NINE - SCORING CRITERIA","  -  ",'Part I-Project Information'!$O$6," ",'Part I-Project Information'!$F$34,", ",'Part I-Project Information'!F38,", ",'Part I-Project Information'!J39," County")</f>
        <v>PART NINE - SCORING CRITERIA  -  2018-041 Pointe North Village III, Albany, Dougherty County</v>
      </c>
      <c r="B1" s="1738"/>
      <c r="C1" s="1738"/>
      <c r="D1" s="1738"/>
      <c r="E1" s="1738"/>
      <c r="F1" s="1738"/>
      <c r="G1" s="1738"/>
      <c r="H1" s="1738"/>
      <c r="I1" s="1738"/>
      <c r="J1" s="1738"/>
      <c r="K1" s="1738"/>
      <c r="L1" s="1738"/>
      <c r="M1" s="1738"/>
      <c r="N1" s="1738"/>
      <c r="O1" s="1738"/>
      <c r="P1" s="1739"/>
    </row>
    <row r="2" spans="1:22" s="36" customFormat="1" ht="4.3499999999999996" customHeight="1">
      <c r="A2" s="37"/>
      <c r="B2" s="37"/>
      <c r="C2" s="38"/>
      <c r="D2" s="37"/>
      <c r="E2" s="37"/>
      <c r="F2" s="37"/>
      <c r="G2" s="37"/>
      <c r="H2" s="37"/>
      <c r="I2" s="37"/>
      <c r="J2" s="37"/>
      <c r="K2" s="37"/>
      <c r="L2" s="37"/>
      <c r="M2" s="39"/>
      <c r="N2" s="75"/>
      <c r="O2" s="1584"/>
      <c r="P2" s="1584"/>
    </row>
    <row r="3" spans="1:22" s="43" customFormat="1" ht="12" customHeight="1">
      <c r="A3" s="2125" t="s">
        <v>4139</v>
      </c>
      <c r="B3" s="2125"/>
      <c r="C3" s="2125"/>
      <c r="D3" s="2125"/>
      <c r="E3" s="2125"/>
      <c r="F3" s="2125"/>
      <c r="G3" s="2125"/>
      <c r="H3" s="2125"/>
      <c r="I3" s="2125"/>
      <c r="J3" s="2125"/>
      <c r="K3" s="2125"/>
      <c r="L3" s="2125"/>
      <c r="M3" s="1269" t="s">
        <v>2235</v>
      </c>
      <c r="N3" s="76"/>
      <c r="O3" s="86" t="s">
        <v>2234</v>
      </c>
      <c r="P3" s="1270" t="s">
        <v>258</v>
      </c>
    </row>
    <row r="4" spans="1:22" s="45" customFormat="1" ht="12" customHeight="1">
      <c r="A4" s="2125"/>
      <c r="B4" s="2125"/>
      <c r="C4" s="2125"/>
      <c r="D4" s="2125"/>
      <c r="E4" s="2125"/>
      <c r="F4" s="2125"/>
      <c r="G4" s="2125"/>
      <c r="H4" s="2125"/>
      <c r="I4" s="2125"/>
      <c r="J4" s="2125"/>
      <c r="K4" s="2125"/>
      <c r="L4" s="2125"/>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3674</v>
      </c>
      <c r="M10" s="6"/>
      <c r="N10" s="67" t="s">
        <v>1999</v>
      </c>
      <c r="O10" s="2921"/>
      <c r="P10" s="1254">
        <f>F15</f>
        <v>0</v>
      </c>
    </row>
    <row r="11" spans="1:22" s="44" customFormat="1" ht="11.25" customHeight="1">
      <c r="A11" s="185"/>
      <c r="C11" s="113" t="s">
        <v>2129</v>
      </c>
      <c r="D11" s="49"/>
      <c r="E11" s="49"/>
      <c r="F11" s="1593"/>
      <c r="H11" s="179" t="s">
        <v>2783</v>
      </c>
      <c r="J11" s="50"/>
      <c r="M11" s="6">
        <v>1</v>
      </c>
      <c r="N11" s="67"/>
      <c r="O11" s="2922"/>
      <c r="P11" s="1298">
        <f>J15</f>
        <v>0</v>
      </c>
    </row>
    <row r="12" spans="1:22" s="43" customFormat="1" ht="11.25" customHeight="1">
      <c r="A12" s="185" t="s">
        <v>2001</v>
      </c>
      <c r="B12" s="172" t="s">
        <v>734</v>
      </c>
      <c r="D12" s="49"/>
      <c r="E12" s="49"/>
      <c r="F12" s="1593"/>
      <c r="H12" s="179" t="s">
        <v>2747</v>
      </c>
      <c r="J12" s="50"/>
      <c r="M12" s="6"/>
      <c r="N12" s="67" t="s">
        <v>2001</v>
      </c>
      <c r="O12" s="2921"/>
      <c r="P12" s="1254">
        <f>O15</f>
        <v>0</v>
      </c>
    </row>
    <row r="13" spans="1:22" s="43" customFormat="1" ht="11.1" customHeight="1">
      <c r="A13" s="69"/>
      <c r="C13" s="113" t="s">
        <v>4194</v>
      </c>
      <c r="D13" s="53"/>
      <c r="E13" s="53"/>
      <c r="F13" s="53"/>
      <c r="G13" s="69"/>
      <c r="H13" s="179" t="s">
        <v>2747</v>
      </c>
      <c r="I13" s="69"/>
      <c r="J13" s="69"/>
      <c r="K13" s="69"/>
      <c r="L13" s="69"/>
      <c r="M13" s="69"/>
      <c r="N13" s="69"/>
      <c r="O13" s="2923"/>
      <c r="P13" s="1255">
        <f>+O29</f>
        <v>0</v>
      </c>
      <c r="R13" s="463"/>
      <c r="S13" s="163"/>
    </row>
    <row r="14" spans="1:22" s="43" customFormat="1" ht="11.1" customHeight="1">
      <c r="A14" s="2163" t="s">
        <v>3872</v>
      </c>
      <c r="B14" s="2163"/>
      <c r="C14" s="2163"/>
      <c r="D14" s="2163"/>
      <c r="E14" s="2163"/>
      <c r="F14" s="1589" t="s">
        <v>4197</v>
      </c>
      <c r="J14" s="1589" t="s">
        <v>4197</v>
      </c>
      <c r="K14" s="1589"/>
      <c r="O14" s="2167" t="s">
        <v>4197</v>
      </c>
      <c r="P14" s="2167"/>
      <c r="R14" s="463"/>
      <c r="S14" s="163"/>
    </row>
    <row r="15" spans="1:22" s="43" customFormat="1" ht="11.25" customHeight="1">
      <c r="A15" s="2147"/>
      <c r="B15" s="2147"/>
      <c r="C15" s="2147"/>
      <c r="D15" s="2147"/>
      <c r="E15" s="2147"/>
      <c r="F15" s="79">
        <f>SUM(F16:F27)</f>
        <v>0</v>
      </c>
      <c r="G15" s="2164" t="s">
        <v>3610</v>
      </c>
      <c r="H15" s="2165"/>
      <c r="I15" s="2166"/>
      <c r="J15" s="79">
        <f>SUM(J16:J27)</f>
        <v>0</v>
      </c>
      <c r="K15" s="2168" t="s">
        <v>3394</v>
      </c>
      <c r="L15" s="2169"/>
      <c r="M15" s="2169"/>
      <c r="N15" s="2170"/>
      <c r="O15" s="2136">
        <f>SUM(O16:O27)</f>
        <v>0</v>
      </c>
      <c r="P15" s="2137"/>
      <c r="Q15" s="463"/>
      <c r="R15" s="163"/>
    </row>
    <row r="16" spans="1:22" s="43" customFormat="1" ht="24.75" customHeight="1">
      <c r="A16" s="2156">
        <v>1</v>
      </c>
      <c r="B16" s="2157"/>
      <c r="C16" s="2157"/>
      <c r="D16" s="2157"/>
      <c r="E16" s="2158"/>
      <c r="F16" s="935"/>
      <c r="G16" s="2156">
        <v>1</v>
      </c>
      <c r="H16" s="2157"/>
      <c r="I16" s="2158"/>
      <c r="J16" s="939" t="s">
        <v>1746</v>
      </c>
      <c r="K16" s="2159">
        <v>1</v>
      </c>
      <c r="L16" s="2160"/>
      <c r="M16" s="2160"/>
      <c r="N16" s="2160"/>
      <c r="O16" s="2161" t="s">
        <v>1746</v>
      </c>
      <c r="P16" s="2162"/>
      <c r="Q16" s="461" t="s">
        <v>1266</v>
      </c>
      <c r="R16" s="163"/>
    </row>
    <row r="17" spans="1:19" s="43" customFormat="1" ht="24.75" customHeight="1">
      <c r="A17" s="2143">
        <v>2</v>
      </c>
      <c r="B17" s="2144"/>
      <c r="C17" s="2144"/>
      <c r="D17" s="2144"/>
      <c r="E17" s="2145"/>
      <c r="F17" s="936"/>
      <c r="G17" s="2143">
        <v>2</v>
      </c>
      <c r="H17" s="2144"/>
      <c r="I17" s="2145"/>
      <c r="J17" s="936"/>
      <c r="K17" s="2123">
        <v>2</v>
      </c>
      <c r="L17" s="2124"/>
      <c r="M17" s="2124"/>
      <c r="N17" s="2124"/>
      <c r="O17" s="2141"/>
      <c r="P17" s="2142"/>
      <c r="Q17" s="462"/>
      <c r="R17" s="163"/>
    </row>
    <row r="18" spans="1:19" s="43" customFormat="1" ht="24.75" customHeight="1">
      <c r="A18" s="2143">
        <v>3</v>
      </c>
      <c r="B18" s="2144"/>
      <c r="C18" s="2144"/>
      <c r="D18" s="2144"/>
      <c r="E18" s="2145"/>
      <c r="F18" s="936"/>
      <c r="G18" s="2143">
        <v>3</v>
      </c>
      <c r="H18" s="2144"/>
      <c r="I18" s="2145"/>
      <c r="J18" s="1313" t="s">
        <v>2925</v>
      </c>
      <c r="K18" s="2123">
        <v>3</v>
      </c>
      <c r="L18" s="2124"/>
      <c r="M18" s="2124"/>
      <c r="N18" s="2124"/>
      <c r="O18" s="2174" t="s">
        <v>2925</v>
      </c>
      <c r="P18" s="2175"/>
      <c r="Q18" s="462"/>
      <c r="R18" s="163"/>
    </row>
    <row r="19" spans="1:19" s="43" customFormat="1" ht="24.75" customHeight="1">
      <c r="A19" s="2143">
        <v>4</v>
      </c>
      <c r="B19" s="2144"/>
      <c r="C19" s="2144"/>
      <c r="D19" s="2144"/>
      <c r="E19" s="2145"/>
      <c r="F19" s="936"/>
      <c r="G19" s="2143">
        <v>4</v>
      </c>
      <c r="H19" s="2144"/>
      <c r="I19" s="2145"/>
      <c r="J19" s="936"/>
      <c r="K19" s="2123">
        <v>4</v>
      </c>
      <c r="L19" s="2124"/>
      <c r="M19" s="2124"/>
      <c r="N19" s="2124"/>
      <c r="O19" s="2174" t="s">
        <v>2925</v>
      </c>
      <c r="P19" s="2175"/>
      <c r="Q19" s="462"/>
      <c r="R19" s="163"/>
    </row>
    <row r="20" spans="1:19" s="43" customFormat="1" ht="24.75" customHeight="1">
      <c r="A20" s="2143">
        <v>5</v>
      </c>
      <c r="B20" s="2144"/>
      <c r="C20" s="2144"/>
      <c r="D20" s="2144"/>
      <c r="E20" s="2145"/>
      <c r="F20" s="936"/>
      <c r="G20" s="2143">
        <v>5</v>
      </c>
      <c r="H20" s="2144"/>
      <c r="I20" s="2145"/>
      <c r="J20" s="1313" t="s">
        <v>3611</v>
      </c>
      <c r="K20" s="2123">
        <v>5</v>
      </c>
      <c r="L20" s="2124"/>
      <c r="M20" s="2124"/>
      <c r="N20" s="2124"/>
      <c r="O20" s="2141"/>
      <c r="P20" s="2142"/>
      <c r="Q20" s="163"/>
      <c r="R20" s="163"/>
    </row>
    <row r="21" spans="1:19" s="43" customFormat="1" ht="24.75" customHeight="1">
      <c r="A21" s="2143">
        <v>6</v>
      </c>
      <c r="B21" s="2144"/>
      <c r="C21" s="2144"/>
      <c r="D21" s="2144"/>
      <c r="E21" s="2145"/>
      <c r="F21" s="936"/>
      <c r="G21" s="2143">
        <v>6</v>
      </c>
      <c r="H21" s="2144"/>
      <c r="I21" s="2145"/>
      <c r="J21" s="936"/>
      <c r="K21" s="2123">
        <v>6</v>
      </c>
      <c r="L21" s="2124"/>
      <c r="M21" s="2124"/>
      <c r="N21" s="2124"/>
      <c r="O21" s="2141"/>
      <c r="P21" s="2142"/>
      <c r="Q21" s="163"/>
      <c r="R21" s="163"/>
    </row>
    <row r="22" spans="1:19" s="43" customFormat="1" ht="24.75" customHeight="1">
      <c r="A22" s="2143">
        <v>7</v>
      </c>
      <c r="B22" s="2144"/>
      <c r="C22" s="2144"/>
      <c r="D22" s="2144"/>
      <c r="E22" s="2145"/>
      <c r="F22" s="936"/>
      <c r="G22" s="2143">
        <v>7</v>
      </c>
      <c r="H22" s="2144"/>
      <c r="I22" s="2145"/>
      <c r="J22" s="1313" t="s">
        <v>3612</v>
      </c>
      <c r="K22" s="2123">
        <v>7</v>
      </c>
      <c r="L22" s="2124"/>
      <c r="M22" s="2124"/>
      <c r="N22" s="2124"/>
      <c r="O22" s="2141"/>
      <c r="P22" s="2142"/>
      <c r="Q22" s="163"/>
      <c r="R22" s="163"/>
    </row>
    <row r="23" spans="1:19" s="43" customFormat="1" ht="24.75" customHeight="1">
      <c r="A23" s="2143">
        <v>8</v>
      </c>
      <c r="B23" s="2144"/>
      <c r="C23" s="2144"/>
      <c r="D23" s="2144"/>
      <c r="E23" s="2145"/>
      <c r="F23" s="936"/>
      <c r="G23" s="2143">
        <v>8</v>
      </c>
      <c r="H23" s="2144"/>
      <c r="I23" s="2145"/>
      <c r="J23" s="936"/>
      <c r="K23" s="2123">
        <v>8</v>
      </c>
      <c r="L23" s="2124"/>
      <c r="M23" s="2124"/>
      <c r="N23" s="2124"/>
      <c r="O23" s="2141"/>
      <c r="P23" s="2142"/>
      <c r="Q23" s="163"/>
      <c r="R23" s="163"/>
    </row>
    <row r="24" spans="1:19" s="43" customFormat="1" ht="11.25" customHeight="1">
      <c r="A24" s="2143">
        <v>9</v>
      </c>
      <c r="B24" s="2144"/>
      <c r="C24" s="2144"/>
      <c r="D24" s="2144"/>
      <c r="E24" s="2145"/>
      <c r="F24" s="936"/>
      <c r="G24" s="2143">
        <v>9</v>
      </c>
      <c r="H24" s="2144"/>
      <c r="I24" s="2145"/>
      <c r="J24" s="1313" t="s">
        <v>3613</v>
      </c>
      <c r="K24" s="2123">
        <v>9</v>
      </c>
      <c r="L24" s="2124"/>
      <c r="M24" s="2124"/>
      <c r="N24" s="2124"/>
      <c r="O24" s="2141"/>
      <c r="P24" s="2142"/>
      <c r="Q24" s="163"/>
      <c r="R24" s="163"/>
    </row>
    <row r="25" spans="1:19" s="43" customFormat="1" ht="11.25" customHeight="1">
      <c r="A25" s="2143">
        <v>10</v>
      </c>
      <c r="B25" s="2144"/>
      <c r="C25" s="2144"/>
      <c r="D25" s="2144"/>
      <c r="E25" s="2145"/>
      <c r="F25" s="936"/>
      <c r="G25" s="2143">
        <v>10</v>
      </c>
      <c r="H25" s="2144"/>
      <c r="I25" s="2145"/>
      <c r="J25" s="936"/>
      <c r="K25" s="2123">
        <v>10</v>
      </c>
      <c r="L25" s="2124"/>
      <c r="M25" s="2124"/>
      <c r="N25" s="2124"/>
      <c r="O25" s="2141"/>
      <c r="P25" s="2142"/>
      <c r="Q25" s="163"/>
      <c r="R25" s="163"/>
    </row>
    <row r="26" spans="1:19" s="43" customFormat="1" ht="11.25" customHeight="1">
      <c r="A26" s="2143">
        <v>11</v>
      </c>
      <c r="B26" s="2144"/>
      <c r="C26" s="2144"/>
      <c r="D26" s="2144"/>
      <c r="E26" s="2145"/>
      <c r="F26" s="936"/>
      <c r="G26" s="2143">
        <v>11</v>
      </c>
      <c r="H26" s="2144"/>
      <c r="I26" s="2145"/>
      <c r="J26" s="1313" t="s">
        <v>3614</v>
      </c>
      <c r="K26" s="2143">
        <v>11</v>
      </c>
      <c r="L26" s="2144"/>
      <c r="M26" s="2144"/>
      <c r="N26" s="2145"/>
      <c r="O26" s="2141"/>
      <c r="P26" s="2142"/>
      <c r="Q26" s="163"/>
      <c r="R26" s="163"/>
    </row>
    <row r="27" spans="1:19" s="43" customFormat="1" ht="11.25" customHeight="1">
      <c r="A27" s="2153">
        <v>12</v>
      </c>
      <c r="B27" s="2154"/>
      <c r="C27" s="2154"/>
      <c r="D27" s="2154"/>
      <c r="E27" s="2155"/>
      <c r="F27" s="937"/>
      <c r="G27" s="2153">
        <v>12</v>
      </c>
      <c r="H27" s="2154"/>
      <c r="I27" s="2155"/>
      <c r="J27" s="937"/>
      <c r="K27" s="2153">
        <v>12</v>
      </c>
      <c r="L27" s="2154"/>
      <c r="M27" s="2154"/>
      <c r="N27" s="2155"/>
      <c r="O27" s="2151"/>
      <c r="P27" s="2152"/>
    </row>
    <row r="28" spans="1:19" s="44" customFormat="1" ht="11.25" customHeight="1">
      <c r="B28" s="1333"/>
      <c r="C28" s="1333"/>
      <c r="D28" s="1333"/>
      <c r="E28" s="2146" t="s">
        <v>4226</v>
      </c>
      <c r="F28" s="2148" t="s">
        <v>4539</v>
      </c>
      <c r="G28" s="2148"/>
      <c r="H28" s="2148"/>
      <c r="I28" s="2148"/>
      <c r="J28" s="2148"/>
      <c r="K28" s="2148"/>
      <c r="L28" s="2148"/>
      <c r="M28" s="2148"/>
      <c r="N28" s="2148"/>
      <c r="O28" s="2148"/>
      <c r="P28" s="2148"/>
      <c r="Q28" s="112"/>
      <c r="R28" s="391"/>
    </row>
    <row r="29" spans="1:19" s="43" customFormat="1" ht="10.5" customHeight="1">
      <c r="A29" s="303" t="s">
        <v>4198</v>
      </c>
      <c r="B29" s="1316" t="s">
        <v>4199</v>
      </c>
      <c r="C29" s="1316"/>
      <c r="D29" s="1316"/>
      <c r="E29" s="2147"/>
      <c r="F29" s="2149" t="s">
        <v>4225</v>
      </c>
      <c r="G29" s="2149"/>
      <c r="H29" s="2149"/>
      <c r="I29" s="2149"/>
      <c r="J29" s="2149"/>
      <c r="K29" s="2149"/>
      <c r="L29" s="2149"/>
      <c r="M29" s="2149"/>
      <c r="N29" s="2150"/>
      <c r="O29" s="2136">
        <f>SUM(O30:O41)</f>
        <v>0</v>
      </c>
      <c r="P29" s="2137"/>
      <c r="Q29" s="463"/>
      <c r="R29" s="163"/>
    </row>
    <row r="30" spans="1:19" s="43" customFormat="1" ht="10.5" customHeight="1">
      <c r="A30" s="1299" t="s">
        <v>750</v>
      </c>
      <c r="B30" s="1300" t="s">
        <v>4200</v>
      </c>
      <c r="C30" s="1301"/>
      <c r="D30" s="1302"/>
      <c r="E30" s="1358">
        <f>$O$57</f>
        <v>10</v>
      </c>
      <c r="F30" s="2094" t="str">
        <f>$A$63</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.5 miles of six (6) desirable activities/characteristics thereby qualifying the Applicant for twelve (12) points AND
The proposed project site is located within 1.5 miles of six (6) desirable activities/characteristics thereby qualifying the Applicant for six (6) points.  
The Applicant is not aware of any Undesirable/Inefficient Site Activities/Characteristics located within 1/4 mile of the proposed site therefore no points should be deducted for Undesirable/Inefficient Site Activities/Characteristics.
Therefore, the Applicant is eligible for 18 points which exceed the allowable 10 points available in this section.  Therefore the Applicant has met the criteria for and is eligible for the 10 points noted in this section.</v>
      </c>
      <c r="G30" s="2095"/>
      <c r="H30" s="2095"/>
      <c r="I30" s="2095"/>
      <c r="J30" s="2095"/>
      <c r="K30" s="2095"/>
      <c r="L30" s="2095"/>
      <c r="M30" s="2095"/>
      <c r="N30" s="2096"/>
      <c r="O30" s="2172" t="s">
        <v>1746</v>
      </c>
      <c r="P30" s="2173"/>
      <c r="Q30" s="461"/>
      <c r="R30" s="163"/>
    </row>
    <row r="31" spans="1:19" s="43" customFormat="1" ht="10.5" customHeight="1">
      <c r="A31" s="1303" t="s">
        <v>1807</v>
      </c>
      <c r="B31" s="1033" t="s">
        <v>4201</v>
      </c>
      <c r="C31" s="1188"/>
      <c r="D31" s="1304"/>
      <c r="E31" s="1359">
        <f>$O$94</f>
        <v>3</v>
      </c>
      <c r="F31" s="2097" t="str">
        <f>$A$107</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Pointe North Village III is 216.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G31" s="2098"/>
      <c r="H31" s="2098"/>
      <c r="I31" s="2098"/>
      <c r="J31" s="2098"/>
      <c r="K31" s="2098"/>
      <c r="L31" s="2098"/>
      <c r="M31" s="2098"/>
      <c r="N31" s="2099"/>
      <c r="O31" s="2127"/>
      <c r="P31" s="2128"/>
      <c r="Q31" s="2204" t="str">
        <f>IF(OR($A$63="",$A$107="",$A$290="",$A$185="",$A$224="",$A$266="",$A$312="",$A$342="",$A$358="",$A$392="",$A$410="",$A$429=""),"Some Applicant Scoring Justification boxes are empty! Check to see if points claimed.","")</f>
        <v/>
      </c>
      <c r="R31" s="2205"/>
      <c r="S31" s="2205"/>
    </row>
    <row r="32" spans="1:19" s="43" customFormat="1" ht="10.5" customHeight="1">
      <c r="A32" s="1303" t="s">
        <v>780</v>
      </c>
      <c r="B32" s="1033" t="s">
        <v>4202</v>
      </c>
      <c r="C32" s="1188"/>
      <c r="D32" s="1304"/>
      <c r="E32" s="1359">
        <f>$O$153</f>
        <v>3</v>
      </c>
      <c r="F32" s="2097" t="str">
        <f>$A$185</f>
        <v xml:space="preserve">A. QUALITY EDUCATION AREAS
The proposed development site is located in the attendance zone of one (1) school that has an above-average CCRPI score.  The average of the CCRPI scores for the three successive years of 2014-2016 for Merry Acres Middle School is 73.83 as Merry Acres Middle School achieved CCRPI Scores of 78.7 in 2014, 75.4 in 2015 and 67.4 in 2016.   This average of the 2014-2016 CCRPI Scores for Merry Acres Middle School of 73.83 exceeds the state average of 72.1.  The 2018 QAP allows the Applicant to use the average of 2014-2016 data in determining if the school exceeds the Above-Average CCRPI Score.  Therefore the Applicant is eligible for one (1) point as Pointe North Village III is located in the attendance of one school that achieved above-average CCRPI scores for the three successive years of 2014-2016.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10,637 jobs (using 2015 data as allowed by the 2018 QAP) within a 2-mile radius as noted on the Copy of the report from the Census Bureau’s “OnTheMap” website. The report was generated using the nearest address used in the Application.  That address is;
2713 Pointe North Blvd
Albany, GA 31721
</v>
      </c>
      <c r="G32" s="2098"/>
      <c r="H32" s="2098"/>
      <c r="I32" s="2098"/>
      <c r="J32" s="2098"/>
      <c r="K32" s="2098"/>
      <c r="L32" s="2098"/>
      <c r="M32" s="2098"/>
      <c r="N32" s="2099"/>
      <c r="O32" s="2134" t="s">
        <v>2925</v>
      </c>
      <c r="P32" s="2135"/>
      <c r="Q32" s="2204"/>
      <c r="R32" s="2205"/>
      <c r="S32" s="2205"/>
    </row>
    <row r="33" spans="1:19" s="43" customFormat="1" ht="10.5" customHeight="1">
      <c r="A33" s="1303" t="s">
        <v>294</v>
      </c>
      <c r="B33" s="1033" t="s">
        <v>4203</v>
      </c>
      <c r="C33" s="1188"/>
      <c r="D33" s="1304"/>
      <c r="E33" s="1432">
        <f>$O$189</f>
        <v>0</v>
      </c>
      <c r="F33" s="2102" t="str">
        <f>$A$224</f>
        <v>Not Applicable - The Applicant is not claiming points in this section.</v>
      </c>
      <c r="G33" s="2103"/>
      <c r="H33" s="2103"/>
      <c r="I33" s="2103"/>
      <c r="J33" s="2103"/>
      <c r="K33" s="2103"/>
      <c r="L33" s="2103"/>
      <c r="M33" s="2103"/>
      <c r="N33" s="2104"/>
      <c r="O33" s="2134" t="s">
        <v>2925</v>
      </c>
      <c r="P33" s="2135"/>
      <c r="Q33" s="2204"/>
      <c r="R33" s="2205"/>
      <c r="S33" s="2205"/>
    </row>
    <row r="34" spans="1:19" s="43" customFormat="1" ht="10.5" customHeight="1">
      <c r="A34" s="1309" t="s">
        <v>428</v>
      </c>
      <c r="B34" s="1310" t="s">
        <v>4204</v>
      </c>
      <c r="C34" s="1311"/>
      <c r="D34" s="1312"/>
      <c r="E34" s="1360" t="s">
        <v>1746</v>
      </c>
      <c r="F34" s="2131" t="str">
        <f>$A$266</f>
        <v>Not Applicable - The Applicant is not claiming points in this section.</v>
      </c>
      <c r="G34" s="2132"/>
      <c r="H34" s="2132"/>
      <c r="I34" s="2132"/>
      <c r="J34" s="2132"/>
      <c r="K34" s="2132"/>
      <c r="L34" s="2132"/>
      <c r="M34" s="2132"/>
      <c r="N34" s="2133"/>
      <c r="O34" s="2127"/>
      <c r="P34" s="2128"/>
      <c r="Q34" s="2204"/>
      <c r="R34" s="2205"/>
      <c r="S34" s="2205"/>
    </row>
    <row r="35" spans="1:19" s="43" customFormat="1" ht="10.5" customHeight="1">
      <c r="A35" s="1303" t="s">
        <v>365</v>
      </c>
      <c r="B35" s="1033" t="s">
        <v>3818</v>
      </c>
      <c r="C35" s="1188"/>
      <c r="D35" s="1304"/>
      <c r="E35" s="1359">
        <f>$O$286</f>
        <v>0</v>
      </c>
      <c r="F35" s="2097" t="str">
        <f>$A$290</f>
        <v>Not Applicable - The Applicant is not claiming points in this section.</v>
      </c>
      <c r="G35" s="2098"/>
      <c r="H35" s="2098"/>
      <c r="I35" s="2098"/>
      <c r="J35" s="2098"/>
      <c r="K35" s="2098"/>
      <c r="L35" s="2098"/>
      <c r="M35" s="2098"/>
      <c r="N35" s="2099"/>
      <c r="O35" s="2127"/>
      <c r="P35" s="2128"/>
      <c r="Q35" s="2204"/>
      <c r="R35" s="2205"/>
      <c r="S35" s="2205"/>
    </row>
    <row r="36" spans="1:19" s="43" customFormat="1" ht="10.5" customHeight="1">
      <c r="A36" s="1303" t="s">
        <v>2267</v>
      </c>
      <c r="B36" s="1033" t="s">
        <v>4205</v>
      </c>
      <c r="C36" s="1188"/>
      <c r="D36" s="1304"/>
      <c r="E36" s="1360">
        <f>$O$337</f>
        <v>0</v>
      </c>
      <c r="F36" s="2097" t="str">
        <f>$A$342</f>
        <v>The Applicant is NOT claiming the Priority point for this Application.</v>
      </c>
      <c r="G36" s="2098"/>
      <c r="H36" s="2098"/>
      <c r="I36" s="2098"/>
      <c r="J36" s="2098"/>
      <c r="K36" s="2098"/>
      <c r="L36" s="2098"/>
      <c r="M36" s="2098"/>
      <c r="N36" s="2099"/>
      <c r="O36" s="2127"/>
      <c r="P36" s="2128"/>
      <c r="Q36" s="2204"/>
      <c r="R36" s="2205"/>
      <c r="S36" s="2205"/>
    </row>
    <row r="37" spans="1:19" s="43" customFormat="1" ht="10.5" customHeight="1">
      <c r="A37" s="1303" t="s">
        <v>4515</v>
      </c>
      <c r="B37" s="1033" t="s">
        <v>4516</v>
      </c>
      <c r="C37" s="1188"/>
      <c r="D37" s="1304"/>
      <c r="E37" s="1360">
        <f>$O$294</f>
        <v>3</v>
      </c>
      <c r="F37" s="2102" t="str">
        <f>$A$312</f>
        <v>Per the 2018 QAP, any developments within a 1-mile radius of a transit hub, (as defined in Scoring Section IV. Transportation Options, A. Transit-Oriented Development) that received an award of 9% credits in the last the last six (6) DCA competitive funding cycles are not included in the analysis of previous competitive funding cycles.  There are two (2) developments (Pointe North Senior Village, 2013-034 and Pointe North Village II, 2015-043) that received awards in the last six (6) DCA competitive funding cycles that are within a 1-mile radius of a transit hub.  Per the QAP, these two (2) developments are not included in the analysis of previous competitive funding cycles.  Furthermore, the subject site itself is within a one mile radius of the transit hub.  See documentation in Tab 44.
When these two (2) developments are removed from the analysis of previous competitive funding cycles, the proposed development site not within a 1-mile radius of a 9% Georgia Housing Credit development that has received an award in the last six (6) DCA competitive funding cycles.  Therefore, the Applicant is eligible for three (3) points under Previous Projects-Flexible Pool.</v>
      </c>
      <c r="G37" s="2103"/>
      <c r="H37" s="2103"/>
      <c r="I37" s="2103"/>
      <c r="J37" s="2103"/>
      <c r="K37" s="2103"/>
      <c r="L37" s="2103"/>
      <c r="M37" s="2103"/>
      <c r="N37" s="2104"/>
      <c r="O37" s="2127"/>
      <c r="P37" s="2128"/>
      <c r="Q37" s="2204"/>
      <c r="R37" s="2205"/>
      <c r="S37" s="2205"/>
    </row>
    <row r="38" spans="1:19" s="43" customFormat="1" ht="10.5" customHeight="1">
      <c r="A38" s="1309" t="s">
        <v>4151</v>
      </c>
      <c r="B38" s="1310" t="s">
        <v>4206</v>
      </c>
      <c r="C38" s="1311"/>
      <c r="D38" s="1312"/>
      <c r="E38" s="1431">
        <f>$O$346</f>
        <v>0</v>
      </c>
      <c r="F38" s="2131" t="str">
        <f>$A$358</f>
        <v>Not Applicable-The proposed development did not receive a letter from a designated Georgia Initiative for Community Housing Community nor is it located in a Designated Military Zone.</v>
      </c>
      <c r="G38" s="2132"/>
      <c r="H38" s="2132"/>
      <c r="I38" s="2132"/>
      <c r="J38" s="2132"/>
      <c r="K38" s="2132"/>
      <c r="L38" s="2132"/>
      <c r="M38" s="2132"/>
      <c r="N38" s="2133"/>
      <c r="O38" s="2127"/>
      <c r="P38" s="2128"/>
      <c r="Q38" s="2204"/>
      <c r="R38" s="2205"/>
      <c r="S38" s="2205"/>
    </row>
    <row r="39" spans="1:19" s="43" customFormat="1" ht="10.5" customHeight="1">
      <c r="A39" s="1303" t="s">
        <v>4152</v>
      </c>
      <c r="B39" s="1033" t="s">
        <v>4207</v>
      </c>
      <c r="C39" s="1188"/>
      <c r="D39" s="1304"/>
      <c r="E39" s="1359">
        <f>$O$362</f>
        <v>0</v>
      </c>
      <c r="F39" s="2097" t="str">
        <f>$A$392</f>
        <v>Not Applicable - The Applicant is not claiming points in this section.</v>
      </c>
      <c r="G39" s="2098"/>
      <c r="H39" s="2098"/>
      <c r="I39" s="2098"/>
      <c r="J39" s="2098"/>
      <c r="K39" s="2098"/>
      <c r="L39" s="2098"/>
      <c r="M39" s="2098"/>
      <c r="N39" s="2099"/>
      <c r="O39" s="2127"/>
      <c r="P39" s="2128"/>
      <c r="Q39" s="2204"/>
      <c r="R39" s="2205"/>
      <c r="S39" s="2205"/>
    </row>
    <row r="40" spans="1:19" s="43" customFormat="1" ht="10.5" customHeight="1">
      <c r="A40" s="1303" t="s">
        <v>4150</v>
      </c>
      <c r="B40" s="1033" t="s">
        <v>4208</v>
      </c>
      <c r="C40" s="1188"/>
      <c r="D40" s="1304"/>
      <c r="E40" s="1359">
        <f>$O$396</f>
        <v>2</v>
      </c>
      <c r="F40" s="2097" t="str">
        <f>$A$410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40" s="2098"/>
      <c r="H40" s="2098"/>
      <c r="I40" s="2098"/>
      <c r="J40" s="2098"/>
      <c r="K40" s="2098"/>
      <c r="L40" s="2098"/>
      <c r="M40" s="2098"/>
      <c r="N40" s="2099"/>
      <c r="O40" s="2127"/>
      <c r="P40" s="2128"/>
      <c r="Q40" s="2204"/>
      <c r="R40" s="2205"/>
      <c r="S40" s="2205"/>
    </row>
    <row r="41" spans="1:19" s="43" customFormat="1" ht="10.5" customHeight="1">
      <c r="A41" s="1305" t="s">
        <v>4153</v>
      </c>
      <c r="B41" s="1306" t="s">
        <v>4209</v>
      </c>
      <c r="C41" s="1307"/>
      <c r="D41" s="1308"/>
      <c r="E41" s="1361">
        <f>$O$414</f>
        <v>0</v>
      </c>
      <c r="F41" s="2138" t="str">
        <f>$A$429</f>
        <v>Not Applicable - The Applicant is not claiming points in this section.</v>
      </c>
      <c r="G41" s="2139"/>
      <c r="H41" s="2139"/>
      <c r="I41" s="2139"/>
      <c r="J41" s="2139"/>
      <c r="K41" s="2139"/>
      <c r="L41" s="2139"/>
      <c r="M41" s="2139"/>
      <c r="N41" s="2140"/>
      <c r="O41" s="2129"/>
      <c r="P41" s="2130"/>
      <c r="Q41" s="2204"/>
      <c r="R41" s="2205"/>
      <c r="S41" s="2205"/>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00" t="s">
        <v>3616</v>
      </c>
      <c r="I45" s="2100"/>
      <c r="J45" s="966">
        <f>'Part VI-Revenues &amp; Expenses'!$O$60</f>
        <v>54</v>
      </c>
      <c r="K45" s="965"/>
      <c r="M45" s="941"/>
      <c r="N45" s="7"/>
      <c r="Q45" s="7"/>
      <c r="R45" s="391"/>
    </row>
    <row r="46" spans="1:19" s="105" customFormat="1" ht="13.5" customHeight="1">
      <c r="A46" s="143"/>
      <c r="B46" s="2101" t="s">
        <v>3617</v>
      </c>
      <c r="C46" s="2101"/>
      <c r="D46" s="2101"/>
      <c r="E46" s="2101"/>
      <c r="F46" s="2101"/>
      <c r="G46" s="934"/>
      <c r="H46" s="1093" t="s">
        <v>3618</v>
      </c>
      <c r="I46" s="1093" t="s">
        <v>3619</v>
      </c>
      <c r="J46" s="934"/>
      <c r="K46" s="1919" t="s">
        <v>3396</v>
      </c>
      <c r="L46" s="1919"/>
      <c r="M46" s="941"/>
      <c r="N46" s="7"/>
      <c r="Q46" s="7"/>
      <c r="R46" s="391"/>
    </row>
    <row r="47" spans="1:19" s="105" customFormat="1" ht="13.5" customHeight="1">
      <c r="B47" s="2101"/>
      <c r="C47" s="2101"/>
      <c r="D47" s="2101"/>
      <c r="E47" s="2101"/>
      <c r="F47" s="2101"/>
      <c r="G47" s="1917" t="s">
        <v>3743</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5">
        <v>12</v>
      </c>
      <c r="I49" s="1348"/>
      <c r="K49" s="1094">
        <f>IF(OR('Part VI-Revenues &amp; Expenses'!$O$60="", 'Part VI-Revenues &amp; Expenses'!$O$60=0),0,H49/'Part VI-Revenues &amp; Expenses'!$O$60)</f>
        <v>0.22222222222222221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1917" t="s">
        <v>3678</v>
      </c>
      <c r="I51" s="1917"/>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927"/>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4146</v>
      </c>
      <c r="D57" s="42"/>
      <c r="I57" s="1866" t="s">
        <v>3796</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928" t="s">
        <v>3011</v>
      </c>
      <c r="P59" s="561"/>
    </row>
    <row r="60" spans="1:18" s="44" customFormat="1" ht="12" customHeight="1">
      <c r="A60" s="143" t="s">
        <v>1999</v>
      </c>
      <c r="B60" s="172" t="s">
        <v>1888</v>
      </c>
      <c r="C60" s="4"/>
      <c r="D60" s="4"/>
      <c r="F60" s="307"/>
      <c r="G60" s="179" t="s">
        <v>2736</v>
      </c>
      <c r="I60" s="2125" t="s">
        <v>4228</v>
      </c>
      <c r="J60" s="2125"/>
      <c r="K60" s="2125"/>
      <c r="L60" s="2125"/>
      <c r="M60" s="75">
        <v>10</v>
      </c>
      <c r="N60" s="181" t="s">
        <v>1999</v>
      </c>
      <c r="O60" s="2929">
        <v>10</v>
      </c>
      <c r="P60" s="1076"/>
      <c r="Q60" s="1090" t="str">
        <f>IF(OR($O60=$M60,$O60=0,$O60=""),"","*CHECK!*")</f>
        <v/>
      </c>
      <c r="R60" s="1244" t="s">
        <v>2724</v>
      </c>
    </row>
    <row r="61" spans="1:18" s="44" customFormat="1" ht="12.6" customHeight="1">
      <c r="A61" s="143" t="s">
        <v>2001</v>
      </c>
      <c r="B61" s="172" t="s">
        <v>3873</v>
      </c>
      <c r="D61" s="42"/>
      <c r="F61" s="407"/>
      <c r="G61" s="179" t="s">
        <v>4024</v>
      </c>
      <c r="I61" s="2125"/>
      <c r="J61" s="2125"/>
      <c r="K61" s="2125"/>
      <c r="L61" s="2125"/>
      <c r="M61" s="1589" t="s">
        <v>1250</v>
      </c>
      <c r="N61" s="484" t="s">
        <v>2001</v>
      </c>
      <c r="O61" s="2930">
        <v>0</v>
      </c>
      <c r="P61" s="1218"/>
      <c r="R61" s="1244" t="s">
        <v>2724</v>
      </c>
    </row>
    <row r="62" spans="1:18" s="44" customFormat="1" ht="11.25" customHeight="1" thickBot="1">
      <c r="A62" s="43"/>
      <c r="B62" s="1332" t="s">
        <v>3781</v>
      </c>
      <c r="C62" s="43"/>
      <c r="D62" s="49"/>
      <c r="E62" s="49"/>
      <c r="F62" s="49"/>
      <c r="G62" s="49"/>
      <c r="H62" s="37"/>
      <c r="I62" s="2126"/>
      <c r="J62" s="2126"/>
      <c r="K62" s="2126"/>
      <c r="L62" s="2126"/>
      <c r="M62" s="47"/>
      <c r="N62" s="63"/>
      <c r="O62" s="3"/>
      <c r="P62" s="1587"/>
    </row>
    <row r="63" spans="1:18" s="44" customFormat="1" ht="94.5" customHeight="1" thickTop="1" thickBot="1">
      <c r="A63" s="2931" t="s">
        <v>4659</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5</v>
      </c>
      <c r="P67" s="1194">
        <f>IF($J$68="Flexible",MIN($M67,MAX(P80,P84)),IF(AND($J$68="Rural",P89&gt;0),MIN($M89,P89),0))</f>
        <v>0</v>
      </c>
      <c r="Q67" s="112" t="s">
        <v>443</v>
      </c>
      <c r="R67" s="1985" t="s">
        <v>4136</v>
      </c>
      <c r="S67" s="1985"/>
      <c r="T67" s="1985"/>
      <c r="U67" s="1985"/>
    </row>
    <row r="68" spans="1:21" s="44" customFormat="1" ht="17.25" customHeight="1">
      <c r="A68" s="158"/>
      <c r="B68" s="113" t="s">
        <v>3995</v>
      </c>
      <c r="D68" s="42"/>
      <c r="H68" s="172" t="s">
        <v>2812</v>
      </c>
      <c r="I68" s="539"/>
      <c r="J68" s="537" t="str">
        <f>'Part I-Project Information'!$H$100</f>
        <v>Flexible</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928" t="s">
        <v>3011</v>
      </c>
      <c r="P69" s="561"/>
      <c r="Q69" s="112"/>
      <c r="R69" s="1985"/>
      <c r="S69" s="1985"/>
      <c r="T69" s="1985"/>
      <c r="U69" s="1985"/>
    </row>
    <row r="70" spans="1:21" s="44" customFormat="1" ht="11.25" customHeight="1">
      <c r="A70" s="158"/>
      <c r="B70" s="499" t="s">
        <v>2004</v>
      </c>
      <c r="C70" s="56" t="s">
        <v>3993</v>
      </c>
      <c r="D70" s="42"/>
      <c r="H70" s="46"/>
      <c r="I70" s="50"/>
      <c r="J70" s="49"/>
      <c r="K70" s="49"/>
      <c r="N70" s="484"/>
      <c r="O70" s="2934" t="s">
        <v>3011</v>
      </c>
      <c r="P70" s="562"/>
      <c r="Q70" s="112"/>
      <c r="R70" s="1985"/>
      <c r="S70" s="1985"/>
      <c r="T70" s="1985"/>
      <c r="U70" s="1985"/>
    </row>
    <row r="71" spans="1:21" s="44" customFormat="1" ht="11.25" customHeight="1">
      <c r="A71" s="158"/>
      <c r="B71" s="499" t="s">
        <v>2551</v>
      </c>
      <c r="C71" s="56" t="s">
        <v>3994</v>
      </c>
      <c r="D71" s="42"/>
      <c r="H71" s="46"/>
      <c r="I71" s="50"/>
      <c r="J71" s="49"/>
      <c r="K71" s="49"/>
      <c r="N71" s="484"/>
      <c r="O71" s="2927"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4002</v>
      </c>
      <c r="D73" s="42"/>
      <c r="F73" s="2191" t="s">
        <v>3744</v>
      </c>
      <c r="G73" s="2191"/>
      <c r="H73" s="2191"/>
      <c r="I73" s="2191"/>
      <c r="J73" s="2191" t="s">
        <v>3745</v>
      </c>
      <c r="K73" s="2191"/>
      <c r="L73" s="2191"/>
      <c r="M73" s="2191"/>
      <c r="N73" s="484"/>
      <c r="O73" s="2199" t="s">
        <v>4143</v>
      </c>
      <c r="P73" s="2200"/>
      <c r="Q73" s="112"/>
      <c r="R73" s="1985"/>
      <c r="S73" s="1985"/>
      <c r="T73" s="1985"/>
      <c r="U73" s="1985"/>
    </row>
    <row r="74" spans="1:21" s="44" customFormat="1" ht="12.75" customHeight="1">
      <c r="A74" s="158"/>
      <c r="C74" s="512" t="s">
        <v>4001</v>
      </c>
      <c r="D74" s="649"/>
      <c r="E74" s="278"/>
      <c r="F74" s="2935">
        <v>31.617764000000001</v>
      </c>
      <c r="G74" s="2936"/>
      <c r="H74" s="2202"/>
      <c r="I74" s="2203"/>
      <c r="J74" s="2935">
        <v>-84.226490999999996</v>
      </c>
      <c r="K74" s="2936"/>
      <c r="L74" s="2202"/>
      <c r="M74" s="2203"/>
      <c r="N74" s="484"/>
      <c r="Q74" s="112"/>
      <c r="R74" s="1985"/>
      <c r="S74" s="1985"/>
      <c r="T74" s="1985"/>
      <c r="U74" s="1985"/>
    </row>
    <row r="75" spans="1:21" s="44" customFormat="1" ht="12.75" customHeight="1">
      <c r="B75" s="1187"/>
      <c r="D75" s="1272" t="s">
        <v>4003</v>
      </c>
      <c r="E75" s="278"/>
      <c r="F75" s="2937">
        <v>31.616329</v>
      </c>
      <c r="G75" s="2938"/>
      <c r="H75" s="2111"/>
      <c r="I75" s="2112"/>
      <c r="J75" s="2937">
        <v>-84.216037999999998</v>
      </c>
      <c r="K75" s="2938"/>
      <c r="L75" s="2111"/>
      <c r="M75" s="2112"/>
      <c r="N75" s="484"/>
      <c r="O75" s="2939">
        <v>0.8</v>
      </c>
      <c r="P75" s="1281"/>
      <c r="Q75" s="112"/>
      <c r="R75" s="1985"/>
      <c r="S75" s="1985"/>
      <c r="T75" s="1985"/>
      <c r="U75" s="1985"/>
    </row>
    <row r="76" spans="1:21" s="44" customFormat="1" ht="12.75" customHeight="1">
      <c r="A76" s="2206" t="s">
        <v>4193</v>
      </c>
      <c r="B76" s="2206"/>
      <c r="C76" s="512" t="s">
        <v>4144</v>
      </c>
      <c r="D76" s="649"/>
      <c r="E76" s="278"/>
      <c r="F76" s="2940">
        <v>31.617764000000001</v>
      </c>
      <c r="G76" s="2941"/>
      <c r="H76" s="2113"/>
      <c r="I76" s="2114"/>
      <c r="J76" s="2940">
        <v>-84.226490999999996</v>
      </c>
      <c r="K76" s="2941"/>
      <c r="L76" s="2113"/>
      <c r="M76" s="2114"/>
      <c r="N76" s="484"/>
      <c r="O76" s="2942"/>
      <c r="P76" s="1280"/>
      <c r="Q76" s="112"/>
      <c r="R76" s="1985"/>
      <c r="S76" s="1985"/>
      <c r="T76" s="1985"/>
      <c r="U76" s="1985"/>
    </row>
    <row r="77" spans="1:21" s="44" customFormat="1" ht="12.75" customHeight="1">
      <c r="A77" s="2206"/>
      <c r="B77" s="2206"/>
      <c r="D77" s="1272" t="s">
        <v>4142</v>
      </c>
      <c r="E77" s="278"/>
      <c r="F77" s="2943">
        <v>31.619319000000001</v>
      </c>
      <c r="G77" s="2944"/>
      <c r="H77" s="2189"/>
      <c r="I77" s="2190"/>
      <c r="J77" s="2943">
        <v>-84.226579000000001</v>
      </c>
      <c r="K77" s="2944"/>
      <c r="L77" s="2189"/>
      <c r="M77" s="2190"/>
      <c r="N77" s="484"/>
      <c r="O77" s="2945">
        <v>0.1</v>
      </c>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3782</v>
      </c>
      <c r="M79" s="1584"/>
      <c r="N79" s="1584"/>
      <c r="O79" s="1584"/>
      <c r="P79" s="1584"/>
      <c r="Q79" s="112"/>
      <c r="R79" s="1219"/>
      <c r="S79" s="1219"/>
      <c r="T79" s="1219"/>
      <c r="U79" s="1219"/>
    </row>
    <row r="80" spans="1:21" s="44" customFormat="1" ht="12.6" customHeight="1">
      <c r="A80" s="148" t="s">
        <v>1999</v>
      </c>
      <c r="B80" s="172" t="s">
        <v>3774</v>
      </c>
      <c r="D80" s="42"/>
      <c r="F80" s="46" t="s">
        <v>3886</v>
      </c>
      <c r="I80" s="2201" t="s">
        <v>4140</v>
      </c>
      <c r="J80" s="2201"/>
      <c r="K80" s="2201"/>
      <c r="L80" s="2201"/>
      <c r="M80" s="1584">
        <v>6</v>
      </c>
      <c r="N80" s="404" t="s">
        <v>1999</v>
      </c>
      <c r="O80" s="1088">
        <f>IF($J$68="Flexible",MIN($M80,O81+O82+O83),0)</f>
        <v>5</v>
      </c>
      <c r="P80" s="1088">
        <f>IF($J$68="Flexible",MIN($M80,P81+P82+P83),0)</f>
        <v>0</v>
      </c>
      <c r="Q80" s="112"/>
    </row>
    <row r="81" spans="1:18" s="427" customFormat="1" ht="23.25" customHeight="1">
      <c r="B81" s="456" t="s">
        <v>2002</v>
      </c>
      <c r="C81" s="1893" t="s">
        <v>3996</v>
      </c>
      <c r="D81" s="1893"/>
      <c r="E81" s="1893"/>
      <c r="F81" s="1893"/>
      <c r="G81" s="1893"/>
      <c r="H81" s="1893"/>
      <c r="I81" s="2201"/>
      <c r="J81" s="2201"/>
      <c r="K81" s="2201"/>
      <c r="L81" s="2201"/>
      <c r="M81" s="534">
        <v>5</v>
      </c>
      <c r="N81" s="499" t="s">
        <v>2002</v>
      </c>
      <c r="O81" s="2946"/>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201"/>
      <c r="J82" s="2201"/>
      <c r="K82" s="2201"/>
      <c r="L82" s="2201"/>
      <c r="M82" s="534">
        <v>4</v>
      </c>
      <c r="N82" s="499" t="s">
        <v>2004</v>
      </c>
      <c r="O82" s="2929">
        <v>4</v>
      </c>
      <c r="P82" s="1076"/>
      <c r="Q82" s="1090" t="str">
        <f t="shared" ref="Q82:Q83" si="0">IF(OR($O82=$M82,$O82=0,$O82=""),"","*CHECK!*")</f>
        <v/>
      </c>
      <c r="R82" s="1244" t="s">
        <v>2724</v>
      </c>
    </row>
    <row r="83" spans="1:18" s="427" customFormat="1" ht="12" customHeight="1">
      <c r="B83" s="456" t="s">
        <v>2551</v>
      </c>
      <c r="C83" s="405" t="s">
        <v>3775</v>
      </c>
      <c r="D83" s="405"/>
      <c r="E83" s="405"/>
      <c r="F83" s="405"/>
      <c r="G83" s="484" t="s">
        <v>4141</v>
      </c>
      <c r="H83" s="1278" t="str">
        <f>'Part I-Project Information'!$H$78</f>
        <v>Family</v>
      </c>
      <c r="I83" s="2947" t="s">
        <v>4653</v>
      </c>
      <c r="J83" s="2948"/>
      <c r="K83" s="2948"/>
      <c r="L83" s="2949" t="s">
        <v>4654</v>
      </c>
      <c r="M83" s="534">
        <v>1</v>
      </c>
      <c r="N83" s="499" t="s">
        <v>2551</v>
      </c>
      <c r="O83" s="2930">
        <v>1</v>
      </c>
      <c r="P83" s="1218"/>
      <c r="Q83" s="1090" t="str">
        <f t="shared" si="0"/>
        <v/>
      </c>
      <c r="R83" s="1244" t="s">
        <v>2724</v>
      </c>
    </row>
    <row r="84" spans="1:18" s="427" customFormat="1" ht="12" customHeight="1">
      <c r="A84" s="148" t="s">
        <v>2001</v>
      </c>
      <c r="B84" s="1243" t="s">
        <v>3776</v>
      </c>
      <c r="C84" s="677"/>
      <c r="D84" s="677"/>
      <c r="E84" s="677"/>
      <c r="F84" s="1213" t="s">
        <v>3885</v>
      </c>
      <c r="I84" s="2950"/>
      <c r="J84" s="2951"/>
      <c r="K84" s="2951"/>
      <c r="L84" s="2952"/>
      <c r="M84" s="1034">
        <v>3</v>
      </c>
      <c r="N84" s="166" t="s">
        <v>2001</v>
      </c>
      <c r="O84" s="1088">
        <f>IF($J$68="Flexible",MIN($M84,O85+O86+O87),0)</f>
        <v>0</v>
      </c>
      <c r="P84" s="1088">
        <f>IF($J$68="Flexible",MIN($M84,P85+P86+P87),0)</f>
        <v>0</v>
      </c>
      <c r="Q84" s="535"/>
      <c r="R84" s="403"/>
    </row>
    <row r="85" spans="1:18" s="427" customFormat="1" ht="12" customHeight="1">
      <c r="A85" s="143"/>
      <c r="B85" s="456" t="s">
        <v>2002</v>
      </c>
      <c r="C85" s="2064" t="s">
        <v>3998</v>
      </c>
      <c r="D85" s="2064"/>
      <c r="E85" s="2064"/>
      <c r="F85" s="2064"/>
      <c r="G85" s="2064"/>
      <c r="H85" s="2185"/>
      <c r="I85" s="2953" t="s">
        <v>4655</v>
      </c>
      <c r="J85" s="2954"/>
      <c r="K85" s="2954"/>
      <c r="L85" s="2955"/>
      <c r="M85" s="534">
        <v>3</v>
      </c>
      <c r="N85" s="499" t="s">
        <v>2002</v>
      </c>
      <c r="O85" s="2946"/>
      <c r="P85" s="913"/>
      <c r="Q85" s="1090" t="str">
        <f>IF(OR($O85=$M85,$O85=0,$O85=""),"","*CHECK!*")</f>
        <v/>
      </c>
      <c r="R85" s="1244" t="s">
        <v>2724</v>
      </c>
    </row>
    <row r="86" spans="1:18" s="44" customFormat="1" ht="12" customHeight="1">
      <c r="A86" s="1214" t="s">
        <v>1365</v>
      </c>
      <c r="B86" s="456" t="s">
        <v>2004</v>
      </c>
      <c r="C86" s="2064" t="s">
        <v>3999</v>
      </c>
      <c r="D86" s="2064"/>
      <c r="E86" s="2064"/>
      <c r="F86" s="2064"/>
      <c r="G86" s="2064"/>
      <c r="H86" s="2185"/>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893" t="s">
        <v>4000</v>
      </c>
      <c r="D87" s="1893"/>
      <c r="E87" s="1893"/>
      <c r="F87" s="1893"/>
      <c r="G87" s="1893"/>
      <c r="H87" s="1899"/>
      <c r="I87" s="2953" t="s">
        <v>4656</v>
      </c>
      <c r="J87" s="2954"/>
      <c r="K87" s="2954"/>
      <c r="L87" s="2955"/>
      <c r="M87" s="534">
        <v>1</v>
      </c>
      <c r="N87" s="499" t="s">
        <v>2551</v>
      </c>
      <c r="O87" s="2930"/>
      <c r="P87" s="1218"/>
      <c r="Q87" s="1090" t="str">
        <f t="shared" si="1"/>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962"/>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93" t="s">
        <v>4008</v>
      </c>
      <c r="C95" s="2193"/>
      <c r="D95" s="2193"/>
      <c r="E95" s="2193"/>
      <c r="F95" s="2193"/>
      <c r="G95" s="2193"/>
      <c r="H95" s="2193"/>
      <c r="O95" s="2188" t="str">
        <f>IF(OR(AND(P102&gt;0,P103&gt;0),AND(P103&gt;0,P104&gt;0),AND(P102&gt;0,P104&gt;0)),"Choose A, B, or C.  See instructions.",IF(AND(P104&gt;0,P105&gt;0),"Choose A or B when choosing D.  See instructions.",""))</f>
        <v/>
      </c>
      <c r="P95" s="2188"/>
      <c r="Q95" s="112"/>
    </row>
    <row r="96" spans="1:18" s="1190" customFormat="1" ht="12.6" customHeight="1">
      <c r="B96" s="2193"/>
      <c r="C96" s="2193"/>
      <c r="D96" s="2193"/>
      <c r="E96" s="2193"/>
      <c r="F96" s="2193"/>
      <c r="G96" s="2193"/>
      <c r="H96" s="2193"/>
      <c r="I96" s="2963" t="s">
        <v>4006</v>
      </c>
      <c r="J96" s="2964"/>
      <c r="K96" s="2964"/>
      <c r="L96" s="2965"/>
      <c r="O96" s="2120"/>
      <c r="P96" s="2120"/>
    </row>
    <row r="97" spans="1:18" s="44" customFormat="1" ht="13.5" customHeight="1">
      <c r="B97" s="172" t="s">
        <v>2812</v>
      </c>
      <c r="G97" s="42"/>
      <c r="H97" s="42"/>
      <c r="I97" s="1215" t="str">
        <f>'Part I-Project Information'!$H$100</f>
        <v>Flexible</v>
      </c>
      <c r="K97" s="28"/>
      <c r="M97" s="1584"/>
      <c r="N97" s="410"/>
      <c r="O97" s="2120"/>
      <c r="P97" s="2120"/>
    </row>
    <row r="98" spans="1:18" s="44" customFormat="1" ht="13.5" customHeight="1">
      <c r="B98" s="172" t="s">
        <v>4005</v>
      </c>
      <c r="G98" s="42"/>
      <c r="H98" s="42"/>
      <c r="I98" s="654"/>
      <c r="K98" s="28"/>
      <c r="M98" s="1584"/>
      <c r="N98" s="410"/>
      <c r="O98" s="2120"/>
      <c r="P98" s="2120"/>
    </row>
    <row r="99" spans="1:18" s="1190" customFormat="1" ht="13.5" customHeight="1">
      <c r="C99" s="1186" t="s">
        <v>4010</v>
      </c>
      <c r="I99" s="2966">
        <v>200</v>
      </c>
      <c r="J99" s="555"/>
      <c r="K99" s="403"/>
      <c r="O99" s="2120"/>
      <c r="P99" s="2120"/>
    </row>
    <row r="100" spans="1:18" s="1190" customFormat="1" ht="13.5" customHeight="1">
      <c r="C100" s="1186" t="s">
        <v>4011</v>
      </c>
      <c r="I100" s="2967">
        <v>216</v>
      </c>
      <c r="J100" s="557"/>
      <c r="K100" s="403"/>
      <c r="O100" s="2186" t="s">
        <v>4019</v>
      </c>
      <c r="P100" s="2186"/>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3903</v>
      </c>
      <c r="D102" s="34"/>
      <c r="K102" s="2187" t="str">
        <f>IF(OR(AND(O102&gt;0,O103&gt;0),AND(O103&gt;0,O104&gt;0),AND(O102&gt;0,O104&gt;0)),"Choose A, B, or C.  See instructions.",IF(AND(O104&gt;0,O105&gt;0),"Choose A or B when choosing D.  See instructions.",""))</f>
        <v/>
      </c>
      <c r="L102" s="2187"/>
      <c r="M102" s="534">
        <v>2</v>
      </c>
      <c r="N102" s="484" t="s">
        <v>1999</v>
      </c>
      <c r="O102" s="2946"/>
      <c r="P102" s="913"/>
      <c r="Q102" s="1090" t="str">
        <f>IF(OR($O102=$M102,$O102=0,$O102=""),"","*CHECK!*")</f>
        <v/>
      </c>
      <c r="R102" s="1244" t="s">
        <v>2724</v>
      </c>
    </row>
    <row r="103" spans="1:18" ht="11.45" customHeight="1">
      <c r="A103" s="143" t="s">
        <v>2001</v>
      </c>
      <c r="B103" s="184" t="s">
        <v>312</v>
      </c>
      <c r="D103" s="34"/>
      <c r="E103" s="34"/>
      <c r="K103" s="2187"/>
      <c r="L103" s="2187"/>
      <c r="M103" s="534">
        <v>1</v>
      </c>
      <c r="N103" s="484" t="s">
        <v>2001</v>
      </c>
      <c r="O103" s="2929"/>
      <c r="P103" s="1076"/>
      <c r="Q103" s="1090" t="str">
        <f t="shared" ref="Q103:Q105" si="2">IF(OR($O103=$M103,$O103=0,$O103=""),"","*CHECK!*")</f>
        <v/>
      </c>
      <c r="R103" s="1244" t="s">
        <v>2724</v>
      </c>
    </row>
    <row r="104" spans="1:18" ht="11.45" customHeight="1">
      <c r="A104" s="143" t="s">
        <v>757</v>
      </c>
      <c r="B104" s="184" t="s">
        <v>3904</v>
      </c>
      <c r="D104" s="34"/>
      <c r="E104" s="34"/>
      <c r="F104" s="34"/>
      <c r="K104" s="2187"/>
      <c r="L104" s="2187"/>
      <c r="M104" s="534">
        <v>3</v>
      </c>
      <c r="N104" s="484" t="s">
        <v>757</v>
      </c>
      <c r="O104" s="2929">
        <v>3</v>
      </c>
      <c r="P104" s="1076"/>
      <c r="Q104" s="1090" t="str">
        <f t="shared" si="2"/>
        <v/>
      </c>
      <c r="R104" s="1244" t="s">
        <v>2724</v>
      </c>
    </row>
    <row r="105" spans="1:18" ht="11.45" customHeight="1">
      <c r="A105" s="143" t="s">
        <v>2131</v>
      </c>
      <c r="B105" s="184" t="s">
        <v>3805</v>
      </c>
      <c r="D105" s="34"/>
      <c r="E105" s="34"/>
      <c r="F105" s="139" t="s">
        <v>4021</v>
      </c>
      <c r="J105" s="2968" t="s">
        <v>4020</v>
      </c>
      <c r="K105" s="2187"/>
      <c r="L105" s="2187"/>
      <c r="M105" s="534">
        <v>1</v>
      </c>
      <c r="N105" s="484" t="s">
        <v>2131</v>
      </c>
      <c r="O105" s="2930"/>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4"/>
    </row>
    <row r="107" spans="1:18" s="44" customFormat="1" ht="67.5" customHeight="1" thickTop="1" thickBot="1">
      <c r="A107" s="2969" t="s">
        <v>4718</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083"/>
      <c r="B109" s="2084"/>
      <c r="C109" s="2084"/>
      <c r="D109" s="2084"/>
      <c r="E109" s="2084"/>
      <c r="F109" s="2084"/>
      <c r="G109" s="2084"/>
      <c r="H109" s="2084"/>
      <c r="I109" s="2084"/>
      <c r="J109" s="2084"/>
      <c r="K109" s="2084"/>
      <c r="L109" s="2084"/>
      <c r="M109" s="2084"/>
      <c r="N109" s="2084"/>
      <c r="O109" s="2084"/>
      <c r="P109" s="208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4022</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4023</v>
      </c>
      <c r="C113" s="95"/>
      <c r="D113" s="119"/>
      <c r="E113" s="430" t="s">
        <v>4148</v>
      </c>
      <c r="G113" s="116"/>
      <c r="I113" s="484" t="s">
        <v>4141</v>
      </c>
      <c r="J113" s="1278" t="str">
        <f>'Part I-Project Information'!$H$78</f>
        <v>Family</v>
      </c>
      <c r="K113" s="42"/>
      <c r="L113" s="391" t="str">
        <f>IF(OR($O113=$M113,$O113=0,$O113=""),"","* * Check Score! * *")</f>
        <v/>
      </c>
      <c r="M113" s="75">
        <v>3</v>
      </c>
      <c r="N113" s="484" t="s">
        <v>1999</v>
      </c>
      <c r="O113" s="297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4025</v>
      </c>
      <c r="C115" s="95"/>
      <c r="D115" s="1191"/>
      <c r="E115" s="1430" t="s">
        <v>4255</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4178</v>
      </c>
      <c r="C116" s="956"/>
      <c r="D116" s="1352"/>
      <c r="E116" s="1352"/>
      <c r="F116" s="1352"/>
      <c r="H116" s="2973" t="s">
        <v>4619</v>
      </c>
      <c r="I116" s="1352"/>
      <c r="J116" s="1352"/>
      <c r="K116" s="1352"/>
      <c r="L116" s="1352"/>
      <c r="M116" s="1593"/>
      <c r="N116" s="181"/>
      <c r="Q116" s="1169"/>
      <c r="R116" s="1169"/>
      <c r="S116" s="1169"/>
      <c r="T116" s="1169"/>
    </row>
    <row r="117" spans="1:20" s="37" customFormat="1" ht="10.5" customHeight="1">
      <c r="A117" s="65"/>
      <c r="C117" s="1291" t="s">
        <v>4179</v>
      </c>
      <c r="D117" s="2974" t="s">
        <v>4695</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972">
        <v>2</v>
      </c>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977" t="s">
        <v>3011</v>
      </c>
      <c r="P120" s="566"/>
      <c r="Q120" s="1169"/>
      <c r="R120" s="1169"/>
      <c r="S120" s="1169"/>
      <c r="T120" s="1169"/>
    </row>
    <row r="121" spans="1:20" s="105" customFormat="1" ht="10.5" customHeight="1">
      <c r="A121" s="185"/>
      <c r="B121" s="942"/>
      <c r="C121" s="53" t="s">
        <v>4028</v>
      </c>
      <c r="D121" s="179" t="s">
        <v>4149</v>
      </c>
      <c r="F121" s="53"/>
      <c r="G121" s="53"/>
      <c r="H121" s="2978" t="s">
        <v>4696</v>
      </c>
      <c r="I121" s="2978"/>
      <c r="J121" s="2978"/>
      <c r="K121" s="2978"/>
      <c r="L121" s="2978"/>
      <c r="M121" s="2978"/>
      <c r="N121" s="2978"/>
      <c r="O121" s="2978"/>
      <c r="P121" s="2978"/>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3809</v>
      </c>
      <c r="O122" s="2979" t="s">
        <v>3011</v>
      </c>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3"/>
      <c r="N123" s="401" t="s">
        <v>3810</v>
      </c>
      <c r="O123" s="2927" t="s">
        <v>3011</v>
      </c>
      <c r="P123" s="563"/>
      <c r="Q123" s="1169"/>
      <c r="R123" s="1169"/>
      <c r="S123" s="1169"/>
      <c r="T123" s="1169"/>
    </row>
    <row r="124" spans="1:20" s="56" customFormat="1" ht="10.5" customHeight="1">
      <c r="A124" s="65"/>
      <c r="C124" s="56" t="s">
        <v>4176</v>
      </c>
      <c r="D124" s="430"/>
      <c r="E124" s="53"/>
      <c r="F124" s="53"/>
      <c r="G124" s="53"/>
      <c r="H124" s="430"/>
      <c r="J124" s="430"/>
      <c r="L124" s="1902" t="s">
        <v>3846</v>
      </c>
      <c r="M124" s="1902"/>
      <c r="N124" s="1902"/>
      <c r="O124" s="2192" t="s">
        <v>3845</v>
      </c>
      <c r="P124" s="2192"/>
      <c r="Q124" s="53"/>
    </row>
    <row r="125" spans="1:20" s="56" customFormat="1" ht="10.5" customHeight="1">
      <c r="A125" s="65"/>
      <c r="B125" s="390"/>
      <c r="C125" s="2980" t="s">
        <v>4697</v>
      </c>
      <c r="D125" s="2981"/>
      <c r="E125" s="2981"/>
      <c r="F125" s="2981"/>
      <c r="G125" s="2981"/>
      <c r="H125" s="2981"/>
      <c r="I125" s="2981"/>
      <c r="J125" s="2981"/>
      <c r="K125" s="2982"/>
      <c r="L125" s="2983" t="s">
        <v>4699</v>
      </c>
      <c r="M125" s="2983"/>
      <c r="N125" s="2983"/>
      <c r="O125" s="2984">
        <v>15</v>
      </c>
      <c r="P125" s="2984"/>
      <c r="Q125" s="1207" t="str">
        <f>IF(O125&gt;15, "Too much!","")</f>
        <v/>
      </c>
    </row>
    <row r="126" spans="1:20" s="56" customFormat="1" ht="10.5" customHeight="1">
      <c r="A126" s="65"/>
      <c r="B126" s="402"/>
      <c r="C126" s="2985" t="s">
        <v>4698</v>
      </c>
      <c r="D126" s="2986"/>
      <c r="E126" s="2986"/>
      <c r="F126" s="2986"/>
      <c r="G126" s="2986"/>
      <c r="H126" s="2986"/>
      <c r="I126" s="2986"/>
      <c r="J126" s="2986"/>
      <c r="K126" s="2987"/>
      <c r="L126" s="2988" t="s">
        <v>4699</v>
      </c>
      <c r="M126" s="2988"/>
      <c r="N126" s="2988"/>
      <c r="O126" s="2989">
        <v>15</v>
      </c>
      <c r="P126" s="2989"/>
      <c r="Q126" s="1207" t="str">
        <f t="shared" ref="Q126:Q128" si="3">IF(O126&gt;15, "Too much!","")</f>
        <v/>
      </c>
    </row>
    <row r="127" spans="1:20" s="56" customFormat="1" ht="10.5" customHeight="1">
      <c r="A127" s="65"/>
      <c r="B127" s="390"/>
      <c r="C127" s="2985"/>
      <c r="D127" s="2986"/>
      <c r="E127" s="2986"/>
      <c r="F127" s="2986"/>
      <c r="G127" s="2986"/>
      <c r="H127" s="2986"/>
      <c r="I127" s="2986"/>
      <c r="J127" s="2986"/>
      <c r="K127" s="2987"/>
      <c r="L127" s="2988" t="s">
        <v>3728</v>
      </c>
      <c r="M127" s="2988"/>
      <c r="N127" s="2988"/>
      <c r="O127" s="2989"/>
      <c r="P127" s="2989"/>
      <c r="Q127" s="1207" t="str">
        <f t="shared" si="3"/>
        <v/>
      </c>
    </row>
    <row r="128" spans="1:20" s="56" customFormat="1" ht="10.5" customHeight="1">
      <c r="A128" s="65"/>
      <c r="B128" s="401"/>
      <c r="C128" s="2990"/>
      <c r="D128" s="2991"/>
      <c r="E128" s="2991"/>
      <c r="F128" s="2991"/>
      <c r="G128" s="2991"/>
      <c r="H128" s="2991"/>
      <c r="I128" s="2991"/>
      <c r="J128" s="2991"/>
      <c r="K128" s="2992"/>
      <c r="L128" s="2993" t="s">
        <v>3728</v>
      </c>
      <c r="M128" s="2993"/>
      <c r="N128" s="2993"/>
      <c r="O128" s="2994"/>
      <c r="P128" s="2994"/>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3809</v>
      </c>
      <c r="O129" s="2928" t="s">
        <v>3011</v>
      </c>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3810</v>
      </c>
      <c r="O130" s="2927" t="s">
        <v>3011</v>
      </c>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3"/>
      <c r="Q131" s="53"/>
      <c r="R131" s="56"/>
      <c r="S131" s="56"/>
      <c r="T131" s="56"/>
      <c r="U131" s="56"/>
    </row>
    <row r="132" spans="1:21" s="56" customFormat="1" ht="10.5" customHeight="1">
      <c r="A132" s="65"/>
      <c r="B132" s="65"/>
      <c r="C132" s="956" t="s">
        <v>4210</v>
      </c>
      <c r="D132" s="65"/>
      <c r="E132" s="65"/>
      <c r="F132" s="65"/>
      <c r="G132" s="2928" t="s">
        <v>3011</v>
      </c>
      <c r="H132" s="561"/>
      <c r="I132" s="956" t="s">
        <v>4213</v>
      </c>
      <c r="L132" s="65"/>
      <c r="M132" s="65"/>
      <c r="N132" s="65"/>
      <c r="O132" s="2928" t="s">
        <v>3011</v>
      </c>
      <c r="P132" s="561"/>
      <c r="Q132" s="53"/>
    </row>
    <row r="133" spans="1:21" s="56" customFormat="1" ht="10.5" customHeight="1">
      <c r="A133" s="65"/>
      <c r="B133" s="65"/>
      <c r="C133" s="956" t="s">
        <v>4540</v>
      </c>
      <c r="D133" s="65"/>
      <c r="E133" s="65"/>
      <c r="F133" s="65"/>
      <c r="G133" s="2934" t="s">
        <v>3011</v>
      </c>
      <c r="H133" s="562"/>
      <c r="I133" s="53" t="s">
        <v>4214</v>
      </c>
      <c r="L133" s="65"/>
      <c r="M133" s="65"/>
      <c r="N133" s="65"/>
      <c r="O133" s="2934" t="s">
        <v>3011</v>
      </c>
      <c r="P133" s="562"/>
      <c r="Q133" s="53"/>
    </row>
    <row r="134" spans="1:21" s="56" customFormat="1" ht="10.5" customHeight="1">
      <c r="A134" s="65"/>
      <c r="B134" s="65"/>
      <c r="C134" s="956" t="s">
        <v>4212</v>
      </c>
      <c r="D134" s="65"/>
      <c r="E134" s="65"/>
      <c r="F134" s="65"/>
      <c r="G134" s="2934" t="s">
        <v>3011</v>
      </c>
      <c r="H134" s="562"/>
      <c r="I134" s="956" t="s">
        <v>4215</v>
      </c>
      <c r="L134" s="65"/>
      <c r="M134" s="65"/>
      <c r="N134" s="65"/>
      <c r="O134" s="2934" t="s">
        <v>3011</v>
      </c>
      <c r="P134" s="562"/>
      <c r="Q134" s="53"/>
    </row>
    <row r="135" spans="1:21" s="56" customFormat="1" ht="10.5" customHeight="1">
      <c r="A135" s="65"/>
      <c r="B135" s="65"/>
      <c r="C135" s="2995" t="s">
        <v>4700</v>
      </c>
      <c r="D135" s="2996"/>
      <c r="E135" s="2996"/>
      <c r="F135" s="2997"/>
      <c r="G135" s="2927" t="s">
        <v>3011</v>
      </c>
      <c r="H135" s="1292"/>
      <c r="I135" s="2995" t="s">
        <v>4701</v>
      </c>
      <c r="J135" s="2996"/>
      <c r="K135" s="2996"/>
      <c r="L135" s="2996"/>
      <c r="M135" s="2996"/>
      <c r="N135" s="2997"/>
      <c r="O135" s="2927" t="s">
        <v>3011</v>
      </c>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972">
        <v>1</v>
      </c>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3"/>
      <c r="N138" s="53"/>
      <c r="O138" s="2977" t="s">
        <v>4604</v>
      </c>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3809</v>
      </c>
      <c r="O139" s="2979" t="s">
        <v>3011</v>
      </c>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3"/>
      <c r="N140" s="1102" t="s">
        <v>3810</v>
      </c>
      <c r="O140" s="2934" t="s">
        <v>3011</v>
      </c>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3"/>
      <c r="N141" s="401" t="s">
        <v>3811</v>
      </c>
      <c r="O141" s="2934" t="s">
        <v>3011</v>
      </c>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3"/>
      <c r="N142" s="401" t="s">
        <v>3813</v>
      </c>
      <c r="O142" s="2934" t="s">
        <v>3011</v>
      </c>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3"/>
      <c r="N143" s="1102" t="s">
        <v>3814</v>
      </c>
      <c r="O143" s="2927" t="s">
        <v>3011</v>
      </c>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998" t="s">
        <v>3011</v>
      </c>
      <c r="P144" s="560"/>
      <c r="Q144" s="53"/>
    </row>
    <row r="145" spans="1:18" s="56" customFormat="1" ht="10.5" customHeight="1">
      <c r="A145" s="65"/>
      <c r="B145" s="456"/>
      <c r="C145" s="56" t="s">
        <v>3862</v>
      </c>
      <c r="D145" s="430"/>
      <c r="E145" s="53"/>
      <c r="F145" s="53"/>
      <c r="G145" s="56" t="s">
        <v>4182</v>
      </c>
      <c r="H145" s="430"/>
      <c r="M145" s="59"/>
      <c r="N145" s="59"/>
      <c r="O145" s="59"/>
      <c r="P145" s="59"/>
      <c r="Q145" s="53"/>
    </row>
    <row r="146" spans="1:18" s="56" customFormat="1" ht="10.5" customHeight="1">
      <c r="A146" s="65"/>
      <c r="B146" s="390"/>
      <c r="C146" s="2980" t="s">
        <v>4702</v>
      </c>
      <c r="D146" s="2981"/>
      <c r="E146" s="2981"/>
      <c r="F146" s="2982"/>
      <c r="G146" s="2980" t="s">
        <v>4706</v>
      </c>
      <c r="H146" s="2981"/>
      <c r="I146" s="2981"/>
      <c r="J146" s="2981"/>
      <c r="K146" s="2981"/>
      <c r="L146" s="2981"/>
      <c r="M146" s="2981"/>
      <c r="N146" s="2981"/>
      <c r="O146" s="2981"/>
      <c r="P146" s="2982"/>
      <c r="Q146" s="53"/>
    </row>
    <row r="147" spans="1:18" s="56" customFormat="1" ht="10.5" customHeight="1">
      <c r="A147" s="65"/>
      <c r="B147" s="402"/>
      <c r="C147" s="2985" t="s">
        <v>4703</v>
      </c>
      <c r="D147" s="2986"/>
      <c r="E147" s="2986"/>
      <c r="F147" s="2987"/>
      <c r="G147" s="2985" t="s">
        <v>4707</v>
      </c>
      <c r="H147" s="2986"/>
      <c r="I147" s="2986"/>
      <c r="J147" s="2986"/>
      <c r="K147" s="2986"/>
      <c r="L147" s="2986"/>
      <c r="M147" s="2986"/>
      <c r="N147" s="2986"/>
      <c r="O147" s="2986"/>
      <c r="P147" s="2987"/>
      <c r="Q147" s="53"/>
    </row>
    <row r="148" spans="1:18" s="56" customFormat="1" ht="21" customHeight="1">
      <c r="A148" s="2101" t="s">
        <v>4216</v>
      </c>
      <c r="B148" s="2101"/>
      <c r="C148" s="2985" t="s">
        <v>4704</v>
      </c>
      <c r="D148" s="2986"/>
      <c r="E148" s="2986"/>
      <c r="F148" s="2987"/>
      <c r="G148" s="2985" t="s">
        <v>4708</v>
      </c>
      <c r="H148" s="2986"/>
      <c r="I148" s="2986"/>
      <c r="J148" s="2986"/>
      <c r="K148" s="2986"/>
      <c r="L148" s="2986"/>
      <c r="M148" s="2986"/>
      <c r="N148" s="2986"/>
      <c r="O148" s="2986"/>
      <c r="P148" s="2987"/>
      <c r="Q148" s="53"/>
    </row>
    <row r="149" spans="1:18" s="56" customFormat="1" ht="10.5" customHeight="1">
      <c r="A149" s="2101"/>
      <c r="B149" s="2101"/>
      <c r="C149" s="2990" t="s">
        <v>4705</v>
      </c>
      <c r="D149" s="2991"/>
      <c r="E149" s="2991"/>
      <c r="F149" s="2992"/>
      <c r="G149" s="2990" t="s">
        <v>4709</v>
      </c>
      <c r="H149" s="2991"/>
      <c r="I149" s="2991"/>
      <c r="J149" s="2991"/>
      <c r="K149" s="2991"/>
      <c r="L149" s="2991"/>
      <c r="M149" s="2991"/>
      <c r="N149" s="2991"/>
      <c r="O149" s="2991"/>
      <c r="P149" s="2992"/>
      <c r="Q149" s="53"/>
    </row>
    <row r="150" spans="1:18" s="44" customFormat="1" ht="4.5" customHeight="1">
      <c r="A150" s="2184"/>
      <c r="B150" s="2184"/>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99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49" t="s">
        <v>4218</v>
      </c>
      <c r="C158" s="2049"/>
      <c r="D158" s="2049"/>
      <c r="E158" s="53" t="s">
        <v>3853</v>
      </c>
      <c r="F158" s="105"/>
      <c r="G158" s="53"/>
      <c r="H158" s="105"/>
      <c r="I158" s="2974" t="s">
        <v>4651</v>
      </c>
      <c r="J158" s="2975"/>
      <c r="K158" s="2975"/>
      <c r="L158" s="2976"/>
    </row>
    <row r="159" spans="1:18" s="44" customFormat="1" ht="11.25" customHeight="1">
      <c r="A159" s="143"/>
      <c r="B159" s="2049"/>
      <c r="C159" s="2049"/>
      <c r="D159" s="2049"/>
      <c r="E159" s="41" t="s">
        <v>3855</v>
      </c>
      <c r="F159" s="391"/>
      <c r="G159" s="105"/>
      <c r="H159" s="105"/>
      <c r="I159" s="41"/>
      <c r="J159" s="1602"/>
      <c r="K159" s="1602"/>
      <c r="L159" s="1602"/>
      <c r="M159" s="105"/>
      <c r="N159" s="1222"/>
      <c r="O159" s="2999" t="s">
        <v>4620</v>
      </c>
      <c r="P159" s="559"/>
      <c r="Q159" s="138"/>
    </row>
    <row r="160" spans="1:18" s="44" customFormat="1" ht="12" customHeight="1">
      <c r="A160" s="43"/>
      <c r="C160" s="1592"/>
      <c r="D160" s="1592"/>
      <c r="E160" s="53" t="s">
        <v>2924</v>
      </c>
      <c r="F160" s="2198" t="str">
        <f>'Part I-Project Information'!$H$78</f>
        <v>Family</v>
      </c>
      <c r="G160" s="2198"/>
      <c r="I160" s="1592"/>
      <c r="J160" s="1592"/>
      <c r="K160" s="1592"/>
      <c r="L160" s="1592"/>
      <c r="M160" s="1592"/>
      <c r="N160" s="77"/>
      <c r="O160" s="73"/>
      <c r="P160" s="941"/>
    </row>
    <row r="161" spans="1:24" s="44" customFormat="1" ht="13.5" customHeight="1">
      <c r="A161" s="143"/>
      <c r="B161" s="579"/>
      <c r="C161" s="578"/>
      <c r="D161" s="578"/>
      <c r="E161" s="1354"/>
      <c r="H161" s="2195" t="s">
        <v>3851</v>
      </c>
      <c r="I161" s="2106" t="s">
        <v>3897</v>
      </c>
      <c r="J161" s="2107"/>
      <c r="K161" s="2107"/>
      <c r="L161" s="2108"/>
      <c r="M161" s="2105" t="s">
        <v>3850</v>
      </c>
      <c r="N161" s="2105"/>
      <c r="O161" s="2105" t="s">
        <v>3854</v>
      </c>
      <c r="P161" s="2105"/>
      <c r="Q161" s="138"/>
    </row>
    <row r="162" spans="1:24" s="44" customFormat="1" ht="13.5" customHeight="1">
      <c r="A162" s="143"/>
      <c r="B162" s="584" t="s">
        <v>3848</v>
      </c>
      <c r="C162" s="1602"/>
      <c r="D162" s="2197" t="s">
        <v>3852</v>
      </c>
      <c r="E162" s="2197"/>
      <c r="F162" s="2197"/>
      <c r="G162" s="1599" t="s">
        <v>3420</v>
      </c>
      <c r="H162" s="2196"/>
      <c r="I162" s="544">
        <v>2014</v>
      </c>
      <c r="J162" s="544">
        <v>2015</v>
      </c>
      <c r="K162" s="544">
        <v>2016</v>
      </c>
      <c r="L162" s="544">
        <v>2017</v>
      </c>
      <c r="M162" s="2105"/>
      <c r="N162" s="2105"/>
      <c r="O162" s="2105"/>
      <c r="P162" s="2105"/>
      <c r="Q162" s="2171" t="s">
        <v>3849</v>
      </c>
      <c r="R162" s="2171"/>
    </row>
    <row r="163" spans="1:24" s="44" customFormat="1" ht="13.5" customHeight="1">
      <c r="A163" s="390" t="s">
        <v>2451</v>
      </c>
      <c r="B163" s="626" t="s">
        <v>4043</v>
      </c>
      <c r="D163" s="3000"/>
      <c r="E163" s="3001"/>
      <c r="F163" s="3002"/>
      <c r="G163" s="3003"/>
      <c r="H163" s="3004"/>
      <c r="I163" s="3005"/>
      <c r="J163" s="3006"/>
      <c r="K163" s="3006"/>
      <c r="L163" s="3007"/>
      <c r="M163" s="2009" t="str">
        <f>IF(I163+J163+K163+L163=0,"",AVERAGE(I163,J163,K163,L163))</f>
        <v/>
      </c>
      <c r="N163" s="2010"/>
      <c r="O163" s="662" t="str">
        <f>IF(M163="","",IF(M163&gt;Q163,"Yes",IF(M163&lt;Q163,"No","")))</f>
        <v/>
      </c>
      <c r="Q163" s="2076">
        <v>73.400000000000006</v>
      </c>
      <c r="R163" s="2077"/>
      <c r="S163" s="55"/>
    </row>
    <row r="164" spans="1:24" s="44" customFormat="1" ht="13.5" customHeight="1">
      <c r="A164" s="402" t="s">
        <v>2452</v>
      </c>
      <c r="B164" s="626" t="s">
        <v>4217</v>
      </c>
      <c r="D164" s="3008" t="s">
        <v>4652</v>
      </c>
      <c r="E164" s="3009"/>
      <c r="F164" s="3010"/>
      <c r="G164" s="3011" t="s">
        <v>4621</v>
      </c>
      <c r="H164" s="3012" t="s">
        <v>3014</v>
      </c>
      <c r="I164" s="3013">
        <v>78.7</v>
      </c>
      <c r="J164" s="3014">
        <v>75.400000000000006</v>
      </c>
      <c r="K164" s="3014">
        <v>67.400000000000006</v>
      </c>
      <c r="L164" s="3015"/>
      <c r="M164" s="2007">
        <f>IF(I164+J164+K164+L164=0,"",AVERAGE(I164,J164,K164,L164))</f>
        <v>73.833333333333343</v>
      </c>
      <c r="N164" s="2008"/>
      <c r="O164" s="663" t="str">
        <f>IF(M164="","",IF(M164&gt;Q164,"Yes",IF(M164&lt;Q164,"No","")))</f>
        <v>Yes</v>
      </c>
      <c r="Q164" s="2076">
        <v>72.099999999999994</v>
      </c>
      <c r="R164" s="2077"/>
      <c r="S164" s="55"/>
    </row>
    <row r="165" spans="1:24" s="44" customFormat="1" ht="13.5" customHeight="1">
      <c r="A165" s="390" t="s">
        <v>2453</v>
      </c>
      <c r="B165" s="626" t="s">
        <v>4041</v>
      </c>
      <c r="D165" s="3016"/>
      <c r="E165" s="3017"/>
      <c r="F165" s="3018"/>
      <c r="G165" s="3019"/>
      <c r="H165" s="3020"/>
      <c r="I165" s="3021"/>
      <c r="J165" s="3022"/>
      <c r="K165" s="3022"/>
      <c r="L165" s="3023"/>
      <c r="M165" s="2109" t="str">
        <f>IF(I165+J165+K165+L165=0,"",AVERAGE(I165,J165,K165,L165))</f>
        <v/>
      </c>
      <c r="N165" s="2110"/>
      <c r="O165" s="664" t="str">
        <f>IF(M165="","",IF(M165&gt;Q165,"Yes",IF(M165&lt;Q165,"No","")))</f>
        <v/>
      </c>
      <c r="Q165" s="2076">
        <v>73.3</v>
      </c>
      <c r="R165" s="2077"/>
      <c r="S165" s="55"/>
    </row>
    <row r="166" spans="1:24" s="44" customFormat="1" ht="1.5" customHeight="1">
      <c r="A166" s="390"/>
      <c r="B166" s="626"/>
    </row>
    <row r="167" spans="1:24" s="44" customFormat="1" ht="13.5" customHeight="1">
      <c r="A167" s="401" t="s">
        <v>2454</v>
      </c>
      <c r="B167" s="1032" t="s">
        <v>4043</v>
      </c>
      <c r="D167" s="443" t="str">
        <f>IF(D163="","",D163)</f>
        <v/>
      </c>
      <c r="G167" s="544" t="str">
        <f t="shared" ref="G167:H169" si="4">IF(G163="","",G163)</f>
        <v/>
      </c>
      <c r="H167" s="544" t="str">
        <f t="shared" si="4"/>
        <v/>
      </c>
      <c r="I167" s="1132"/>
      <c r="J167" s="1133"/>
      <c r="K167" s="1133"/>
      <c r="L167" s="1134"/>
      <c r="M167" s="2009" t="str">
        <f>IF(I167+J167+K167+L167=0,"",AVERAGE(I167,J167,K167,L167))</f>
        <v/>
      </c>
      <c r="N167" s="2010"/>
      <c r="P167" s="665" t="str">
        <f>IF(M167="","",IF(M167&gt;Q163,"Yes",IF(M167&lt;Q163,"No","")))</f>
        <v/>
      </c>
    </row>
    <row r="168" spans="1:24" s="44" customFormat="1" ht="13.5" customHeight="1">
      <c r="A168" s="1102" t="s">
        <v>2455</v>
      </c>
      <c r="B168" s="1032" t="s">
        <v>4042</v>
      </c>
      <c r="D168" s="443" t="str">
        <f>IF(D164="","",D164)</f>
        <v>Merry Acres Middle School</v>
      </c>
      <c r="G168" s="544" t="str">
        <f t="shared" si="4"/>
        <v>06-08</v>
      </c>
      <c r="H168" s="544" t="str">
        <f t="shared" si="4"/>
        <v>No</v>
      </c>
      <c r="I168" s="1135"/>
      <c r="J168" s="1136"/>
      <c r="K168" s="1136"/>
      <c r="L168" s="1137"/>
      <c r="M168" s="2007" t="str">
        <f>IF(I168+J168+K168+L168=0,"",AVERAGE(I168,J168,K168,L168))</f>
        <v/>
      </c>
      <c r="N168" s="2008"/>
      <c r="P168" s="666" t="str">
        <f>IF(M168="","",IF(M168&gt;Q164,"Yes",IF(M168&lt;Q164,"No","")))</f>
        <v/>
      </c>
    </row>
    <row r="169" spans="1:24" s="44" customFormat="1" ht="13.5" customHeight="1">
      <c r="A169" s="401" t="s">
        <v>2471</v>
      </c>
      <c r="B169" s="1032" t="s">
        <v>4041</v>
      </c>
      <c r="D169" s="443" t="str">
        <f>IF(D165="","",D165)</f>
        <v/>
      </c>
      <c r="G169" s="544" t="str">
        <f t="shared" si="4"/>
        <v/>
      </c>
      <c r="H169" s="544" t="str">
        <f t="shared" si="4"/>
        <v/>
      </c>
      <c r="I169" s="1138"/>
      <c r="J169" s="1139"/>
      <c r="K169" s="1139"/>
      <c r="L169" s="1140"/>
      <c r="M169" s="2109" t="str">
        <f>IF(I169+J169+K169+L169=0,"",AVERAGE(I169,J169,K169,L169))</f>
        <v/>
      </c>
      <c r="N169" s="2110"/>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4045</v>
      </c>
      <c r="C171" s="95"/>
      <c r="D171" s="1191"/>
      <c r="E171" s="1191"/>
      <c r="F171" s="62" t="s">
        <v>3413</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45" t="s">
        <v>4220</v>
      </c>
      <c r="F172" s="2045" t="s">
        <v>3686</v>
      </c>
      <c r="G172" s="2048" t="s">
        <v>3421</v>
      </c>
      <c r="H172" s="2048"/>
      <c r="I172" s="2048"/>
      <c r="J172" s="2048"/>
      <c r="K172" s="2048"/>
      <c r="L172" s="2048"/>
      <c r="M172" s="2048"/>
      <c r="N172" s="2048"/>
      <c r="P172" s="1224"/>
      <c r="R172" s="430" t="s">
        <v>2851</v>
      </c>
      <c r="T172" s="2086" t="str">
        <f>'Part I-Project Information'!$F$38</f>
        <v>Albany</v>
      </c>
      <c r="U172" s="2087"/>
      <c r="V172" s="2087"/>
      <c r="W172" s="2087"/>
      <c r="X172" s="2088"/>
    </row>
    <row r="173" spans="1:24" s="56" customFormat="1" ht="13.5" customHeight="1">
      <c r="A173" s="48"/>
      <c r="B173" s="2057" t="s">
        <v>4048</v>
      </c>
      <c r="C173" s="2057"/>
      <c r="D173" s="2057"/>
      <c r="E173" s="2194"/>
      <c r="F173" s="2194"/>
      <c r="G173" s="2047" t="s">
        <v>4047</v>
      </c>
      <c r="H173" s="2047"/>
      <c r="I173" s="2047"/>
      <c r="J173" s="2047"/>
      <c r="K173" s="2047"/>
      <c r="L173" s="2047"/>
      <c r="M173" s="2047"/>
      <c r="N173" s="2047"/>
      <c r="O173" s="2045" t="s">
        <v>3687</v>
      </c>
      <c r="P173" s="2045"/>
      <c r="R173" s="59" t="s">
        <v>2852</v>
      </c>
      <c r="T173" s="2041" t="str">
        <f>'Part I-Project Information'!$J$39</f>
        <v>Dougherty</v>
      </c>
      <c r="U173" s="2042"/>
      <c r="V173" s="2042"/>
      <c r="W173" s="2042"/>
      <c r="X173" s="2043"/>
    </row>
    <row r="174" spans="1:24" s="56" customFormat="1" ht="13.5" customHeight="1">
      <c r="A174" s="48"/>
      <c r="B174" s="2053" t="s">
        <v>3857</v>
      </c>
      <c r="C174" s="2053"/>
      <c r="D174" s="2053"/>
      <c r="E174" s="1607">
        <v>3000</v>
      </c>
      <c r="F174" s="1607">
        <v>6000</v>
      </c>
      <c r="G174" s="2044">
        <v>15000</v>
      </c>
      <c r="H174" s="2044"/>
      <c r="I174" s="2044"/>
      <c r="J174" s="2044"/>
      <c r="K174" s="2044"/>
      <c r="L174" s="2044"/>
      <c r="M174" s="2044"/>
      <c r="N174" s="2044"/>
      <c r="O174" s="2044">
        <v>20000</v>
      </c>
      <c r="P174" s="2044"/>
      <c r="R174" s="443" t="s">
        <v>2853</v>
      </c>
      <c r="T174" s="2041" t="str">
        <f>'Part I-Project Information'!$O$40</f>
        <v>Albany</v>
      </c>
      <c r="U174" s="2042"/>
      <c r="V174" s="2042"/>
      <c r="W174" s="2042"/>
      <c r="X174" s="2043"/>
    </row>
    <row r="175" spans="1:24" s="37" customFormat="1" ht="13.5" customHeight="1">
      <c r="A175" s="48"/>
      <c r="B175" s="2059" t="s">
        <v>4046</v>
      </c>
      <c r="C175" s="2059"/>
      <c r="D175" s="2059"/>
      <c r="E175" s="1608">
        <v>4500</v>
      </c>
      <c r="F175" s="1608">
        <v>9000</v>
      </c>
      <c r="G175" s="2046">
        <v>22500</v>
      </c>
      <c r="H175" s="2046"/>
      <c r="I175" s="2046"/>
      <c r="J175" s="2046"/>
      <c r="K175" s="2046"/>
      <c r="L175" s="2046"/>
      <c r="M175" s="2046"/>
      <c r="N175" s="2046"/>
      <c r="O175" s="2046">
        <v>30000</v>
      </c>
      <c r="P175" s="2046"/>
      <c r="R175" s="41" t="s">
        <v>3891</v>
      </c>
      <c r="T175" s="2050" t="str">
        <f>VLOOKUP('Part I-Project Information'!$J$39,'DCA Underwriting Assumptions'!$G$155:$J$314,4)</f>
        <v>MSA</v>
      </c>
      <c r="U175" s="2051"/>
      <c r="V175" s="2051"/>
      <c r="W175" s="2051"/>
      <c r="X175" s="2052"/>
    </row>
    <row r="176" spans="1:24" s="56" customFormat="1" ht="9" customHeight="1">
      <c r="A176" s="48"/>
      <c r="B176" s="48"/>
      <c r="C176" s="430"/>
      <c r="K176" s="544"/>
      <c r="L176" s="544"/>
    </row>
    <row r="177" spans="1:24" s="56" customFormat="1" ht="13.5" customHeight="1">
      <c r="B177" s="959" t="s">
        <v>3892</v>
      </c>
      <c r="E177" s="958"/>
      <c r="F177" s="958"/>
      <c r="G177" s="958"/>
      <c r="I177" s="3024">
        <v>6000</v>
      </c>
      <c r="J177" s="1256"/>
      <c r="R177" s="56" t="s">
        <v>3652</v>
      </c>
      <c r="T177" s="2054" t="str">
        <f>'Part I-Project Information'!$K$40</f>
        <v>Urban</v>
      </c>
      <c r="U177" s="2055"/>
      <c r="V177" s="2055"/>
      <c r="W177" s="2055"/>
      <c r="X177" s="2056"/>
    </row>
    <row r="178" spans="1:24" s="56" customFormat="1" ht="13.5" customHeight="1">
      <c r="A178" s="961"/>
      <c r="B178" s="443" t="s">
        <v>3651</v>
      </c>
      <c r="H178" s="960" t="str">
        <f>IF(I178&lt;I177,"Threshold not met!","")</f>
        <v/>
      </c>
      <c r="I178" s="3025">
        <v>10637</v>
      </c>
      <c r="J178" s="1257"/>
      <c r="K178" s="1226" t="str">
        <f>IF(J178&lt;J177,"Threshold not met!","")</f>
        <v/>
      </c>
    </row>
    <row r="179" spans="1:24" s="56" customFormat="1" ht="8.25" customHeight="1">
      <c r="A179" s="961"/>
      <c r="B179" s="443"/>
    </row>
    <row r="180" spans="1:24" s="56" customFormat="1" ht="11.25" customHeight="1">
      <c r="B180" s="611" t="s">
        <v>2002</v>
      </c>
      <c r="C180" s="37" t="s">
        <v>4219</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0.77283333333333326</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174" customHeight="1" thickTop="1" thickBot="1">
      <c r="A185" s="2931" t="s">
        <v>4719</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4184</v>
      </c>
      <c r="D193" s="1942"/>
      <c r="E193" s="1942"/>
      <c r="F193" s="1942"/>
      <c r="G193" s="1942"/>
      <c r="H193" s="1942"/>
      <c r="I193" s="1942"/>
      <c r="J193" s="1102" t="s">
        <v>2451</v>
      </c>
      <c r="K193" s="3026"/>
      <c r="L193" s="1343"/>
      <c r="M193" s="3027" t="s">
        <v>3887</v>
      </c>
      <c r="N193" s="3028"/>
      <c r="O193" s="3028"/>
      <c r="P193" s="3029"/>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49" t="s">
        <v>3630</v>
      </c>
      <c r="D195" s="2049"/>
      <c r="E195" s="2049"/>
      <c r="F195" s="2049"/>
      <c r="G195" s="2049"/>
      <c r="J195" s="390" t="s">
        <v>2452</v>
      </c>
      <c r="K195" s="3030"/>
      <c r="L195" s="569"/>
      <c r="M195" s="3027" t="s">
        <v>3887</v>
      </c>
      <c r="N195" s="3028"/>
      <c r="O195" s="3028"/>
      <c r="P195" s="3029"/>
    </row>
    <row r="196" spans="1:25" s="406" customFormat="1" ht="10.5" customHeight="1">
      <c r="B196" s="402" t="s">
        <v>2453</v>
      </c>
      <c r="C196" s="1007" t="s">
        <v>2843</v>
      </c>
      <c r="D196" s="1007"/>
      <c r="E196" s="1007"/>
      <c r="F196" s="1007"/>
      <c r="G196" s="1007"/>
      <c r="H196" s="1007"/>
      <c r="J196" s="402" t="s">
        <v>2453</v>
      </c>
      <c r="K196" s="3030"/>
      <c r="L196" s="569"/>
      <c r="M196" s="3027" t="s">
        <v>3887</v>
      </c>
      <c r="N196" s="3028"/>
      <c r="O196" s="3028"/>
      <c r="P196" s="3029"/>
    </row>
    <row r="197" spans="1:25" s="406" customFormat="1" ht="10.5" customHeight="1">
      <c r="B197" s="402" t="s">
        <v>2454</v>
      </c>
      <c r="C197" s="1033" t="s">
        <v>4060</v>
      </c>
      <c r="D197" s="144"/>
      <c r="E197" s="144"/>
      <c r="F197" s="144"/>
      <c r="G197" s="144"/>
      <c r="H197" s="144"/>
      <c r="J197" s="402" t="s">
        <v>2454</v>
      </c>
      <c r="K197" s="3030"/>
      <c r="L197" s="569"/>
      <c r="M197" s="3027" t="s">
        <v>3887</v>
      </c>
      <c r="N197" s="3028"/>
      <c r="O197" s="3028"/>
      <c r="P197" s="3029"/>
    </row>
    <row r="198" spans="1:25" s="406" customFormat="1" ht="10.5" customHeight="1">
      <c r="B198" s="1102"/>
      <c r="D198" s="144" t="s">
        <v>4227</v>
      </c>
      <c r="E198" s="144"/>
      <c r="H198" s="144"/>
      <c r="J198" s="1102"/>
      <c r="K198" s="3031"/>
      <c r="L198" s="571"/>
    </row>
    <row r="199" spans="1:25" s="406" customFormat="1" ht="10.5" customHeight="1">
      <c r="B199" s="402" t="s">
        <v>2455</v>
      </c>
      <c r="C199" s="1007" t="s">
        <v>4050</v>
      </c>
      <c r="D199" s="1007"/>
      <c r="E199" s="1007"/>
      <c r="F199" s="1007"/>
      <c r="G199" s="1007"/>
      <c r="H199" s="1007"/>
      <c r="J199" s="402" t="s">
        <v>2455</v>
      </c>
      <c r="K199" s="3030"/>
      <c r="L199" s="569"/>
      <c r="M199" s="3027" t="s">
        <v>3887</v>
      </c>
      <c r="N199" s="3028"/>
      <c r="O199" s="3028"/>
      <c r="P199" s="3029"/>
    </row>
    <row r="200" spans="1:25" s="406" customFormat="1" ht="10.5" customHeight="1">
      <c r="B200" s="1102" t="s">
        <v>2471</v>
      </c>
      <c r="C200" s="1007" t="s">
        <v>2844</v>
      </c>
      <c r="D200" s="1007"/>
      <c r="E200" s="1007"/>
      <c r="F200" s="1007"/>
      <c r="G200" s="1007"/>
      <c r="J200" s="1102" t="s">
        <v>2471</v>
      </c>
      <c r="K200" s="3030"/>
      <c r="L200" s="569"/>
      <c r="M200" s="3027" t="s">
        <v>3887</v>
      </c>
      <c r="N200" s="3028"/>
      <c r="O200" s="3028"/>
      <c r="P200" s="3029"/>
    </row>
    <row r="201" spans="1:25" s="406" customFormat="1" ht="10.5" customHeight="1">
      <c r="B201" s="1102" t="s">
        <v>2472</v>
      </c>
      <c r="C201" s="1007" t="s">
        <v>4051</v>
      </c>
      <c r="D201" s="1007"/>
      <c r="E201" s="1007"/>
      <c r="F201" s="1007"/>
      <c r="J201" s="1102" t="s">
        <v>2472</v>
      </c>
      <c r="K201" s="3030"/>
      <c r="L201" s="569"/>
    </row>
    <row r="202" spans="1:25" s="406" customFormat="1" ht="10.5" customHeight="1">
      <c r="B202" s="402"/>
      <c r="C202" s="1007"/>
      <c r="D202" s="1096" t="s">
        <v>4052</v>
      </c>
      <c r="E202" s="1007"/>
      <c r="F202" s="3032"/>
      <c r="G202" s="1345"/>
      <c r="I202" s="1096" t="s">
        <v>4053</v>
      </c>
      <c r="K202" s="3033"/>
      <c r="L202" s="1344"/>
    </row>
    <row r="203" spans="1:25" s="406" customFormat="1" ht="10.5" customHeight="1">
      <c r="B203" s="1102" t="s">
        <v>2473</v>
      </c>
      <c r="C203" s="1007" t="s">
        <v>3808</v>
      </c>
      <c r="D203" s="1007"/>
      <c r="E203" s="1007"/>
      <c r="F203" s="1007"/>
      <c r="J203" s="1102" t="s">
        <v>2473</v>
      </c>
      <c r="K203" s="3026"/>
      <c r="L203" s="1343"/>
    </row>
    <row r="204" spans="1:25" ht="3" customHeight="1">
      <c r="A204" s="532"/>
      <c r="B204" s="495"/>
      <c r="D204" s="614"/>
      <c r="E204" s="495"/>
      <c r="G204" s="623"/>
      <c r="H204" s="624"/>
      <c r="I204" s="448"/>
      <c r="K204" s="910"/>
      <c r="N204" s="28"/>
      <c r="O204" s="28"/>
      <c r="P204" s="28"/>
    </row>
    <row r="205" spans="1:25" ht="11.25" customHeight="1">
      <c r="B205" s="1609" t="s">
        <v>4185</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2049" t="s">
        <v>3807</v>
      </c>
      <c r="D208" s="2049"/>
      <c r="E208" s="2049"/>
      <c r="F208" s="2049"/>
      <c r="G208" s="2049"/>
      <c r="H208" s="2049"/>
      <c r="I208" s="2049"/>
      <c r="J208" s="2049"/>
      <c r="K208" s="2049"/>
      <c r="L208" s="391" t="str">
        <f>IF(OR($O208=$M208,$O208=0,$O208=""),"","* * Check Score! * *")</f>
        <v/>
      </c>
      <c r="M208" s="1242">
        <v>3</v>
      </c>
      <c r="N208" s="499" t="s">
        <v>2002</v>
      </c>
      <c r="O208" s="2946"/>
      <c r="P208" s="913"/>
      <c r="Q208" s="1090" t="str">
        <f>IF(OR($O208=$M208,$O208=0,$O208=""),"","*CHECK!*")</f>
        <v/>
      </c>
      <c r="R208" s="1086" t="s">
        <v>2724</v>
      </c>
    </row>
    <row r="209" spans="1:23" ht="21.75" customHeight="1">
      <c r="A209" s="532"/>
      <c r="B209" s="621" t="s">
        <v>2004</v>
      </c>
      <c r="C209" s="2016" t="s">
        <v>4059</v>
      </c>
      <c r="D209" s="2016"/>
      <c r="E209" s="2016"/>
      <c r="F209" s="2016"/>
      <c r="G209" s="2016"/>
      <c r="H209" s="2016"/>
      <c r="I209" s="2016"/>
      <c r="J209" s="2016"/>
      <c r="K209" s="2016"/>
      <c r="L209" s="391" t="str">
        <f>IF(OR($O209=$M209,$O209=0,$O209=""),"","* * Check Score! * *")</f>
        <v/>
      </c>
      <c r="M209" s="1242">
        <v>2</v>
      </c>
      <c r="N209" s="499" t="s">
        <v>2004</v>
      </c>
      <c r="O209" s="2930"/>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2058" t="str">
        <f>'Part I-Project Information'!$O$38</f>
        <v>104.01</v>
      </c>
      <c r="J210" s="2058"/>
      <c r="K210" s="448" t="s">
        <v>3397</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2962"/>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3888</v>
      </c>
      <c r="J214" s="3037"/>
      <c r="K214" s="3038"/>
      <c r="L214" s="3039"/>
      <c r="V214" s="1169"/>
      <c r="W214" s="1169"/>
    </row>
    <row r="215" spans="1:23" s="44" customFormat="1" ht="10.5" customHeight="1">
      <c r="A215" s="182"/>
      <c r="B215" s="495" t="s">
        <v>3889</v>
      </c>
      <c r="I215" s="960" t="str">
        <f>IF($J$215="Government", "Additional documentation required - see QAP.","")</f>
        <v/>
      </c>
      <c r="J215" s="3040" t="s">
        <v>2847</v>
      </c>
      <c r="K215" s="3041"/>
      <c r="L215" s="3042"/>
      <c r="M215" s="1106" t="s">
        <v>3650</v>
      </c>
      <c r="N215" s="1107"/>
      <c r="O215" s="1107"/>
      <c r="P215" s="1108"/>
      <c r="V215" s="1169"/>
      <c r="W215" s="1169"/>
    </row>
    <row r="216" spans="1:23" ht="10.5" customHeight="1">
      <c r="A216" s="183"/>
      <c r="B216" s="495" t="s">
        <v>4244</v>
      </c>
      <c r="F216" s="1258"/>
      <c r="G216" s="1258"/>
      <c r="H216" s="1258"/>
      <c r="L216" s="2977"/>
      <c r="M216" s="3043"/>
      <c r="N216" s="3044"/>
      <c r="O216" s="3044"/>
      <c r="P216" s="3045"/>
      <c r="V216" s="1169"/>
      <c r="W216" s="1169"/>
    </row>
    <row r="217" spans="1:23" ht="10.5" customHeight="1">
      <c r="A217" s="183"/>
      <c r="B217" s="405" t="s">
        <v>3817</v>
      </c>
      <c r="G217" s="405"/>
      <c r="J217" s="3046"/>
      <c r="K217" s="1317" t="s">
        <v>3816</v>
      </c>
      <c r="L217" s="1258"/>
      <c r="V217" s="1169"/>
      <c r="W217" s="1169"/>
    </row>
    <row r="218" spans="1:23" ht="21.75" customHeight="1">
      <c r="A218" s="2023" t="s">
        <v>4224</v>
      </c>
      <c r="B218" s="2021" t="s">
        <v>4221</v>
      </c>
      <c r="C218" s="2022"/>
      <c r="D218" s="3047"/>
      <c r="E218" s="3048"/>
      <c r="F218" s="3048"/>
      <c r="G218" s="3048"/>
      <c r="H218" s="3048"/>
      <c r="I218" s="3048"/>
      <c r="J218" s="3048"/>
      <c r="K218" s="3048"/>
      <c r="L218" s="3048"/>
      <c r="M218" s="3048"/>
      <c r="N218" s="3048"/>
      <c r="O218" s="3048"/>
      <c r="P218" s="3049"/>
      <c r="Q218" s="461"/>
      <c r="V218" s="1169"/>
      <c r="W218" s="1169"/>
    </row>
    <row r="219" spans="1:23" ht="34.5" customHeight="1">
      <c r="A219" s="2024"/>
      <c r="B219" s="2121" t="s">
        <v>4222</v>
      </c>
      <c r="C219" s="2122"/>
      <c r="D219" s="3050"/>
      <c r="E219" s="3051"/>
      <c r="F219" s="3051"/>
      <c r="G219" s="3051"/>
      <c r="H219" s="3051"/>
      <c r="I219" s="3051"/>
      <c r="J219" s="3051"/>
      <c r="K219" s="3051"/>
      <c r="L219" s="3051"/>
      <c r="M219" s="3051"/>
      <c r="N219" s="3051"/>
      <c r="O219" s="3051"/>
      <c r="P219" s="3052"/>
      <c r="Q219" s="461"/>
      <c r="V219" s="1169"/>
      <c r="W219" s="1169"/>
    </row>
    <row r="220" spans="1:23" ht="34.5" customHeight="1">
      <c r="A220" s="2025"/>
      <c r="B220" s="2019" t="s">
        <v>4223</v>
      </c>
      <c r="C220" s="202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3477</v>
      </c>
      <c r="G221" s="2117" t="s">
        <v>2646</v>
      </c>
      <c r="H221" s="2117"/>
      <c r="J221" s="3056"/>
      <c r="K221" s="3057"/>
      <c r="L221" s="2017"/>
      <c r="M221" s="2018"/>
      <c r="V221" s="1169"/>
      <c r="W221" s="1169"/>
    </row>
    <row r="222" spans="1:23" s="44" customFormat="1" ht="10.5" customHeight="1">
      <c r="A222" s="43"/>
      <c r="C222" s="37" t="s">
        <v>3478</v>
      </c>
      <c r="D222" s="1592"/>
      <c r="G222" s="2013">
        <f>'Part IV-A-Uses of Funds'!$G$132</f>
        <v>10235578.982141985</v>
      </c>
      <c r="H222" s="2014"/>
      <c r="J222" s="2011">
        <f>IF($J221=0,0,$J221/$G$222)</f>
        <v>0</v>
      </c>
      <c r="K222" s="2012"/>
      <c r="L222" s="2011">
        <f>IF($L221=0,0,$L221/$G$222)</f>
        <v>0</v>
      </c>
      <c r="M222" s="2012"/>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21.75" customHeight="1" thickTop="1" thickBot="1">
      <c r="A224" s="2931" t="s">
        <v>4622</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4058</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928"/>
      <c r="P229" s="1005"/>
      <c r="R229" s="391"/>
    </row>
    <row r="230" spans="1:23" s="44" customFormat="1" ht="11.25" customHeight="1">
      <c r="A230" s="143"/>
      <c r="D230" s="56" t="s">
        <v>4063</v>
      </c>
      <c r="K230" s="1293">
        <f>$O$111</f>
        <v>3</v>
      </c>
      <c r="L230" s="1294">
        <f>$P$111</f>
        <v>0</v>
      </c>
      <c r="N230" s="484" t="s">
        <v>2452</v>
      </c>
      <c r="O230" s="2934"/>
      <c r="P230" s="562"/>
      <c r="R230" s="1169"/>
      <c r="S230" s="1169"/>
    </row>
    <row r="231" spans="1:23" s="44" customFormat="1" ht="11.25" customHeight="1">
      <c r="A231" s="143"/>
      <c r="D231" s="56" t="s">
        <v>4064</v>
      </c>
      <c r="N231" s="484" t="s">
        <v>2453</v>
      </c>
      <c r="O231" s="2927"/>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998"/>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4068</v>
      </c>
      <c r="D235" s="34"/>
      <c r="G235" s="495" t="s">
        <v>3812</v>
      </c>
      <c r="N235" s="28"/>
      <c r="O235" s="28"/>
      <c r="P235" s="28"/>
      <c r="Q235" s="1099"/>
    </row>
    <row r="236" spans="1:23" s="34" customFormat="1" ht="10.5" customHeight="1">
      <c r="A236" s="532"/>
      <c r="B236" s="139" t="s">
        <v>3893</v>
      </c>
      <c r="D236" s="3058"/>
      <c r="E236" s="3059"/>
      <c r="F236" s="3059"/>
      <c r="G236" s="3060"/>
      <c r="H236" s="3061"/>
      <c r="I236" s="1595" t="s">
        <v>2722</v>
      </c>
      <c r="J236" s="3058"/>
      <c r="K236" s="3059"/>
      <c r="L236" s="3059"/>
      <c r="M236" s="3059"/>
      <c r="N236" s="3061"/>
      <c r="O236" s="605"/>
      <c r="P236" s="605"/>
      <c r="Q236" s="1099"/>
    </row>
    <row r="237" spans="1:23" s="34" customFormat="1" ht="10.5" customHeight="1">
      <c r="A237" s="532"/>
      <c r="B237" s="139" t="s">
        <v>2210</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5" t="s">
        <v>4078</v>
      </c>
      <c r="D240" s="2015"/>
      <c r="E240" s="2015"/>
      <c r="F240" s="2015"/>
      <c r="G240" s="2015"/>
      <c r="H240" s="2015"/>
      <c r="I240" s="2015"/>
      <c r="J240" s="2015"/>
      <c r="K240" s="2015"/>
      <c r="L240" s="2015"/>
      <c r="N240" s="404" t="s">
        <v>2002</v>
      </c>
      <c r="O240" s="3066"/>
      <c r="P240" s="1262"/>
      <c r="Q240" s="1096"/>
      <c r="R240" s="28"/>
      <c r="S240" s="1177"/>
      <c r="V240" s="1169"/>
      <c r="W240" s="1169"/>
    </row>
    <row r="241" spans="1:23" s="34" customFormat="1" ht="10.5" customHeight="1">
      <c r="A241" s="532"/>
      <c r="B241" s="484" t="s">
        <v>2451</v>
      </c>
      <c r="C241" s="139" t="s">
        <v>4069</v>
      </c>
      <c r="D241" s="3067"/>
      <c r="E241" s="3068"/>
      <c r="F241" s="3068"/>
      <c r="G241" s="3059"/>
      <c r="H241" s="3069"/>
      <c r="I241" s="1595" t="s">
        <v>2722</v>
      </c>
      <c r="J241" s="3067"/>
      <c r="K241" s="3068"/>
      <c r="L241" s="3068"/>
      <c r="M241" s="3068"/>
      <c r="N241" s="3069"/>
      <c r="O241" s="2118" t="s">
        <v>4071</v>
      </c>
      <c r="P241" s="2119"/>
      <c r="Q241" s="1096"/>
      <c r="R241" s="28"/>
      <c r="V241" s="1169"/>
      <c r="W241" s="1169"/>
    </row>
    <row r="242" spans="1:23" s="34" customFormat="1" ht="10.5" customHeight="1">
      <c r="A242" s="532"/>
      <c r="C242" s="1179" t="s">
        <v>2210</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2452</v>
      </c>
      <c r="C243" s="139" t="s">
        <v>4070</v>
      </c>
      <c r="D243" s="3067"/>
      <c r="E243" s="3068"/>
      <c r="F243" s="3068"/>
      <c r="G243" s="3059"/>
      <c r="H243" s="3069"/>
      <c r="I243" s="1595" t="s">
        <v>2722</v>
      </c>
      <c r="J243" s="3067"/>
      <c r="K243" s="3068"/>
      <c r="L243" s="3068"/>
      <c r="M243" s="3068"/>
      <c r="N243" s="3069"/>
      <c r="O243" s="2118" t="s">
        <v>4071</v>
      </c>
      <c r="P243" s="2119"/>
      <c r="Q243" s="1096"/>
      <c r="R243" s="28"/>
      <c r="V243" s="1169"/>
      <c r="W243" s="1169"/>
    </row>
    <row r="244" spans="1:23" s="34" customFormat="1" ht="10.5" customHeight="1">
      <c r="A244" s="532"/>
      <c r="C244" s="1179" t="s">
        <v>2210</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2004</v>
      </c>
      <c r="C245" s="1101" t="s">
        <v>4072</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42" t="s">
        <v>4187</v>
      </c>
      <c r="D246" s="1942"/>
      <c r="E246" s="1942"/>
      <c r="F246" s="1942"/>
      <c r="G246" s="1942"/>
      <c r="H246" s="1942"/>
      <c r="I246" s="1942"/>
      <c r="J246" s="1942"/>
      <c r="K246" s="1942"/>
      <c r="L246" s="1942"/>
      <c r="M246" s="1942"/>
      <c r="N246" s="404" t="s">
        <v>2004</v>
      </c>
      <c r="O246" s="3066"/>
      <c r="P246" s="1262"/>
      <c r="Q246" s="1100"/>
      <c r="V246" s="1169"/>
      <c r="W246" s="1169"/>
    </row>
    <row r="247" spans="1:23" ht="11.25" customHeight="1">
      <c r="A247" s="532"/>
      <c r="B247" s="484" t="s">
        <v>2451</v>
      </c>
      <c r="C247" s="1105" t="s">
        <v>4188</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4186</v>
      </c>
      <c r="D251" s="1591"/>
      <c r="E251" s="1591"/>
      <c r="F251" s="1591"/>
      <c r="G251" s="1591"/>
      <c r="H251" s="1591"/>
      <c r="I251" s="1591"/>
      <c r="J251" s="1591"/>
      <c r="K251" s="1591"/>
      <c r="L251" s="2182" t="s">
        <v>4190</v>
      </c>
      <c r="M251" s="2182"/>
      <c r="N251" s="2183" t="s">
        <v>4191</v>
      </c>
      <c r="O251" s="2183"/>
      <c r="P251" s="2183"/>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5" t="s">
        <v>4077</v>
      </c>
      <c r="D256" s="2015"/>
      <c r="E256" s="2015"/>
      <c r="F256" s="2015"/>
      <c r="G256" s="2015"/>
      <c r="H256" s="2015"/>
      <c r="I256" s="2015"/>
      <c r="J256" s="2015"/>
      <c r="K256" s="2015"/>
      <c r="L256" s="2015"/>
      <c r="M256" s="2015"/>
      <c r="N256" s="404" t="s">
        <v>2551</v>
      </c>
      <c r="O256" s="2998"/>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49" t="s">
        <v>4079</v>
      </c>
      <c r="D258" s="2049"/>
      <c r="E258" s="2049"/>
      <c r="F258" s="2049"/>
      <c r="G258" s="2049"/>
      <c r="H258" s="2049"/>
      <c r="I258" s="2049"/>
      <c r="J258" s="2049"/>
      <c r="K258" s="2049"/>
      <c r="L258" s="2049"/>
      <c r="M258" s="2049"/>
      <c r="N258" s="404" t="s">
        <v>1236</v>
      </c>
      <c r="O258" s="3070"/>
      <c r="P258" s="1261"/>
      <c r="Q258" s="1100"/>
      <c r="V258" s="1169"/>
      <c r="W258" s="1169"/>
    </row>
    <row r="259" spans="1:23" s="34" customFormat="1" ht="10.5" customHeight="1">
      <c r="A259" s="532"/>
      <c r="B259" s="401" t="s">
        <v>2451</v>
      </c>
      <c r="C259" s="2015" t="s">
        <v>4080</v>
      </c>
      <c r="D259" s="2015"/>
      <c r="E259" s="2015"/>
      <c r="F259" s="2015"/>
      <c r="G259" s="2015"/>
      <c r="H259" s="2015"/>
      <c r="I259" s="2015"/>
      <c r="J259" s="2015"/>
      <c r="K259" s="2015"/>
      <c r="L259" s="2015"/>
      <c r="M259" s="2015"/>
      <c r="N259" s="401" t="s">
        <v>2451</v>
      </c>
      <c r="O259" s="2934"/>
      <c r="P259" s="562"/>
      <c r="Q259" s="1100"/>
      <c r="V259" s="1169"/>
      <c r="W259" s="1169"/>
    </row>
    <row r="260" spans="1:23" s="34" customFormat="1" ht="10.5" customHeight="1">
      <c r="A260" s="532"/>
      <c r="B260" s="401" t="s">
        <v>2452</v>
      </c>
      <c r="C260" s="2015" t="s">
        <v>4081</v>
      </c>
      <c r="D260" s="2015"/>
      <c r="E260" s="2015"/>
      <c r="F260" s="2015"/>
      <c r="G260" s="2015"/>
      <c r="H260" s="2015"/>
      <c r="I260" s="2015"/>
      <c r="J260" s="2015"/>
      <c r="K260" s="2015"/>
      <c r="L260" s="2015"/>
      <c r="M260" s="2015"/>
      <c r="N260" s="401" t="s">
        <v>2452</v>
      </c>
      <c r="O260" s="2927"/>
      <c r="P260" s="563"/>
      <c r="Q260" s="1100"/>
      <c r="V260" s="1169"/>
      <c r="W260" s="1169"/>
    </row>
    <row r="261" spans="1:23" ht="1.5" customHeight="1">
      <c r="B261" s="390"/>
      <c r="C261" s="446"/>
      <c r="G261" s="495"/>
      <c r="H261" s="164"/>
      <c r="L261" s="1605"/>
      <c r="M261" s="1605"/>
      <c r="N261" s="28"/>
      <c r="O261" s="28"/>
      <c r="P261" s="28"/>
      <c r="Q261" s="1100"/>
      <c r="V261" s="1169"/>
      <c r="W261" s="1169"/>
    </row>
    <row r="262" spans="1:23" ht="11.45" customHeight="1">
      <c r="A262" s="143" t="s">
        <v>2001</v>
      </c>
      <c r="B262" s="184" t="s">
        <v>4074</v>
      </c>
      <c r="D262" s="34"/>
      <c r="G262" s="495" t="s">
        <v>3812</v>
      </c>
      <c r="N262" s="28"/>
      <c r="O262" s="540" t="s">
        <v>2527</v>
      </c>
      <c r="P262" s="540" t="s">
        <v>2527</v>
      </c>
      <c r="Q262" s="1099"/>
    </row>
    <row r="263" spans="1:23" ht="21.75" customHeight="1">
      <c r="A263" s="532"/>
      <c r="B263" s="621" t="s">
        <v>2002</v>
      </c>
      <c r="C263" s="1942" t="s">
        <v>4075</v>
      </c>
      <c r="D263" s="1942"/>
      <c r="E263" s="1942"/>
      <c r="F263" s="1942"/>
      <c r="G263" s="1942"/>
      <c r="H263" s="1942"/>
      <c r="I263" s="1942"/>
      <c r="J263" s="1942"/>
      <c r="K263" s="1942"/>
      <c r="L263" s="1942"/>
      <c r="M263" s="1232" t="s">
        <v>2001</v>
      </c>
      <c r="N263" s="404" t="s">
        <v>2002</v>
      </c>
      <c r="O263" s="3070"/>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2969" t="s">
        <v>4622</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083"/>
      <c r="B268" s="2084"/>
      <c r="C268" s="2084"/>
      <c r="D268" s="2084"/>
      <c r="E268" s="2084"/>
      <c r="F268" s="2084"/>
      <c r="G268" s="2084"/>
      <c r="H268" s="2084"/>
      <c r="I268" s="2084"/>
      <c r="J268" s="2084"/>
      <c r="K268" s="2084"/>
      <c r="L268" s="2084"/>
      <c r="M268" s="2084"/>
      <c r="N268" s="2084"/>
      <c r="O268" s="2084"/>
      <c r="P268" s="208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1584">
        <v>7</v>
      </c>
      <c r="N270" s="7"/>
      <c r="O270" s="1252">
        <f>O272+O280+O282</f>
        <v>5</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179"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45" customHeight="1">
      <c r="A273" s="2116"/>
      <c r="B273" s="113" t="s">
        <v>2812</v>
      </c>
      <c r="C273" s="536"/>
      <c r="D273" s="536"/>
      <c r="H273" s="537" t="str">
        <f>'Part I-Project Information'!$H$100</f>
        <v>Flexible</v>
      </c>
      <c r="N273" s="2179"/>
      <c r="O273" s="1297" t="s">
        <v>2527</v>
      </c>
      <c r="P273" s="1297" t="s">
        <v>2527</v>
      </c>
    </row>
    <row r="274" spans="1:21" ht="11.45" customHeight="1">
      <c r="A274" s="2116"/>
      <c r="B274" s="942" t="s">
        <v>2002</v>
      </c>
      <c r="C274" s="454" t="s">
        <v>2702</v>
      </c>
      <c r="E274" s="120"/>
      <c r="M274" s="83"/>
      <c r="N274" s="2179"/>
      <c r="O274" s="2998" t="s">
        <v>3011</v>
      </c>
      <c r="P274" s="560"/>
      <c r="Q274" s="2176" t="str">
        <f>IF(AND(O274="Yes",O277="Yes"),"Only 1 or 4 can be 'Yes'!","")</f>
        <v/>
      </c>
      <c r="R274" s="2176"/>
    </row>
    <row r="275" spans="1:21" ht="11.45" customHeight="1">
      <c r="B275" s="942" t="s">
        <v>2004</v>
      </c>
      <c r="C275" s="454" t="s">
        <v>2757</v>
      </c>
      <c r="G275" s="103" t="s">
        <v>2405</v>
      </c>
      <c r="H275" s="3071">
        <v>0.05</v>
      </c>
      <c r="I275" s="454" t="s">
        <v>2758</v>
      </c>
      <c r="L275" s="139" t="s">
        <v>2756</v>
      </c>
      <c r="M275" s="944" t="str">
        <f>IF(O275&gt;H275,"CHECK ACTUAL PERCENT!!!","")</f>
        <v/>
      </c>
      <c r="N275" s="181" t="s">
        <v>2004</v>
      </c>
      <c r="O275" s="3072">
        <v>4.2900000000000001E-2</v>
      </c>
      <c r="P275" s="1287"/>
      <c r="Q275" s="2176"/>
      <c r="R275" s="2176"/>
    </row>
    <row r="276" spans="1:21" ht="11.45" customHeight="1">
      <c r="B276" s="942" t="s">
        <v>2551</v>
      </c>
      <c r="C276" s="430" t="s">
        <v>2406</v>
      </c>
      <c r="E276" s="120"/>
      <c r="G276" s="103" t="s">
        <v>2407</v>
      </c>
      <c r="L276" s="448" t="s">
        <v>2750</v>
      </c>
      <c r="M276" s="34"/>
      <c r="N276" s="181" t="s">
        <v>2551</v>
      </c>
      <c r="O276" s="3073" t="s">
        <v>4623</v>
      </c>
      <c r="P276" s="1357" t="s">
        <v>203</v>
      </c>
      <c r="Q276" s="2176"/>
      <c r="R276" s="2176"/>
    </row>
    <row r="277" spans="1:21" s="406" customFormat="1" ht="11.45" customHeight="1">
      <c r="B277" s="621" t="s">
        <v>1236</v>
      </c>
      <c r="C277" s="1942" t="s">
        <v>4083</v>
      </c>
      <c r="D277" s="1942"/>
      <c r="E277" s="1942"/>
      <c r="F277" s="1942"/>
      <c r="G277" s="1942"/>
      <c r="H277" s="1942"/>
      <c r="I277" s="1942"/>
      <c r="J277" s="2177" t="s">
        <v>4084</v>
      </c>
      <c r="K277" s="2177" t="s">
        <v>4082</v>
      </c>
      <c r="M277" s="1236">
        <v>2</v>
      </c>
      <c r="N277" s="181" t="s">
        <v>1236</v>
      </c>
      <c r="O277" s="3066"/>
      <c r="P277" s="1262"/>
      <c r="Q277" s="2176"/>
      <c r="R277" s="2176"/>
    </row>
    <row r="278" spans="1:21" ht="11.45" customHeight="1">
      <c r="B278" s="389"/>
      <c r="C278" s="1942"/>
      <c r="D278" s="1942"/>
      <c r="E278" s="1942"/>
      <c r="F278" s="1942"/>
      <c r="G278" s="1942"/>
      <c r="H278" s="1942"/>
      <c r="I278" s="1942"/>
      <c r="J278" s="2178"/>
      <c r="K278" s="2178"/>
      <c r="L278" s="2180" t="s">
        <v>4147</v>
      </c>
      <c r="M278" s="2181"/>
      <c r="N278" s="120"/>
    </row>
    <row r="279" spans="1:21" ht="11.45" customHeight="1">
      <c r="B279" s="389"/>
      <c r="C279" s="1942"/>
      <c r="D279" s="1942"/>
      <c r="E279" s="1942"/>
      <c r="F279" s="1942"/>
      <c r="G279" s="1942"/>
      <c r="H279" s="1942"/>
      <c r="I279" s="1942"/>
      <c r="J279" s="3074"/>
      <c r="K279" s="3075"/>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3076" t="s">
        <v>4624</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54</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083"/>
      <c r="B284" s="2084"/>
      <c r="C284" s="2084"/>
      <c r="D284" s="2084"/>
      <c r="E284" s="2084"/>
      <c r="F284" s="2084"/>
      <c r="G284" s="2084"/>
      <c r="H284" s="2084"/>
      <c r="I284" s="2084"/>
      <c r="J284" s="2084"/>
      <c r="K284" s="2084"/>
      <c r="L284" s="2084"/>
      <c r="M284" s="2084"/>
      <c r="N284" s="2084"/>
      <c r="O284" s="2084"/>
      <c r="P284" s="208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4086</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2081" t="str">
        <f>IF(OR(SUM(T287:T288)&gt;1,SUM(U287:U288)&gt;1),"Only one category can be met by other means!","")</f>
        <v/>
      </c>
      <c r="N287" s="484" t="s">
        <v>1999</v>
      </c>
      <c r="O287" s="2928"/>
      <c r="P287" s="561"/>
      <c r="U287" s="1355">
        <f>IF(L287="Yes",1,0)</f>
        <v>0</v>
      </c>
    </row>
    <row r="288" spans="1:21" ht="11.25" customHeight="1">
      <c r="A288" s="1585" t="s">
        <v>2001</v>
      </c>
      <c r="B288" s="1238" t="s">
        <v>3820</v>
      </c>
      <c r="D288" s="655"/>
      <c r="L288" s="1105"/>
      <c r="M288" s="2081"/>
      <c r="N288" s="484" t="s">
        <v>2001</v>
      </c>
      <c r="O288" s="2927"/>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2931" t="s">
        <v>4622</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083"/>
      <c r="B292" s="2084"/>
      <c r="C292" s="2084"/>
      <c r="D292" s="2084"/>
      <c r="E292" s="2084"/>
      <c r="F292" s="2084"/>
      <c r="G292" s="2084"/>
      <c r="H292" s="2084"/>
      <c r="I292" s="2084"/>
      <c r="J292" s="2084"/>
      <c r="K292" s="2084"/>
      <c r="L292" s="2084"/>
      <c r="M292" s="2084"/>
      <c r="N292" s="2084"/>
      <c r="O292" s="2084"/>
      <c r="P292" s="208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4087</v>
      </c>
      <c r="D295" s="34"/>
      <c r="E295" s="34"/>
      <c r="F295" s="34"/>
      <c r="H295" s="89" t="s">
        <v>3709</v>
      </c>
      <c r="I295" s="446"/>
      <c r="J295" s="2040" t="str">
        <f>'Part I-Project Information'!$O$34</f>
        <v>No</v>
      </c>
      <c r="K295" s="2040"/>
      <c r="L295" s="995" t="str">
        <f>'Part I-Project Information'!$O$35</f>
        <v>N/A</v>
      </c>
      <c r="M295" s="75">
        <v>3</v>
      </c>
      <c r="N295" s="484" t="s">
        <v>1999</v>
      </c>
      <c r="O295" s="2962"/>
      <c r="P295" s="912"/>
      <c r="Q295" s="1090" t="str">
        <f>IF(OR($O295=$M295,$O295=0,$O295=""),"","*CHECK!*")</f>
        <v/>
      </c>
      <c r="R295" s="1192" t="s">
        <v>2724</v>
      </c>
    </row>
    <row r="296" spans="1:27" s="103" customFormat="1" ht="21.75" customHeight="1">
      <c r="B296" s="621" t="s">
        <v>2002</v>
      </c>
      <c r="C296" s="2049" t="s">
        <v>4245</v>
      </c>
      <c r="D296" s="2049"/>
      <c r="E296" s="2049"/>
      <c r="F296" s="2049"/>
      <c r="G296" s="2049"/>
      <c r="H296" s="2049"/>
      <c r="I296" s="2049"/>
      <c r="J296" s="2049"/>
      <c r="K296" s="2049"/>
      <c r="L296" s="2049"/>
      <c r="M296" s="2049"/>
      <c r="N296" s="404" t="s">
        <v>2002</v>
      </c>
      <c r="O296" s="3077"/>
      <c r="P296" s="1241"/>
      <c r="Q296" s="2082" t="s">
        <v>4246</v>
      </c>
      <c r="R296" s="2049"/>
      <c r="S296" s="2049"/>
      <c r="T296" s="2049"/>
      <c r="U296" s="2049"/>
      <c r="V296" s="2049"/>
      <c r="W296" s="2049"/>
      <c r="X296" s="2049"/>
      <c r="Y296" s="2049"/>
      <c r="Z296" s="2049"/>
      <c r="AA296" s="1098"/>
    </row>
    <row r="297" spans="1:27" s="121" customFormat="1" ht="10.5" customHeight="1">
      <c r="B297" s="942"/>
      <c r="C297" s="139" t="s">
        <v>3834</v>
      </c>
      <c r="H297" s="448" t="s">
        <v>2600</v>
      </c>
      <c r="I297" s="3078"/>
      <c r="J297" s="448" t="s">
        <v>2317</v>
      </c>
      <c r="K297" s="3079"/>
      <c r="L297" s="3080"/>
      <c r="M297" s="3080"/>
      <c r="N297" s="3080"/>
      <c r="O297" s="3080"/>
      <c r="P297" s="3081"/>
    </row>
    <row r="298" spans="1:27" s="121" customFormat="1" ht="10.5" customHeight="1">
      <c r="B298" s="942"/>
      <c r="C298" s="139" t="s">
        <v>3890</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5" t="s">
        <v>2001</v>
      </c>
      <c r="B302" s="184" t="s">
        <v>4088</v>
      </c>
      <c r="D302" s="620"/>
      <c r="H302" s="62" t="s">
        <v>3414</v>
      </c>
    </row>
    <row r="303" spans="1:27" s="34" customFormat="1" ht="10.5" customHeight="1">
      <c r="A303" s="1585"/>
      <c r="B303" s="947" t="s">
        <v>3633</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966">
        <v>3</v>
      </c>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5" t="s">
        <v>757</v>
      </c>
      <c r="B306" s="184" t="s">
        <v>4089</v>
      </c>
      <c r="D306" s="620"/>
      <c r="H306" s="62" t="s">
        <v>4092</v>
      </c>
    </row>
    <row r="307" spans="1:21" s="34" customFormat="1" ht="10.5" customHeight="1">
      <c r="A307" s="1585"/>
      <c r="B307" s="947" t="s">
        <v>3636</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3635</v>
      </c>
      <c r="K308" s="2120" t="str">
        <f>IF(OR(AND(O308&gt;0,O310&gt;0), AND(O309&gt;0,O310&gt;0), AND(O308&gt;0,O309&gt;0)),"Choose option 1 or 2 or 3!!!","")</f>
        <v/>
      </c>
      <c r="L308" s="2120"/>
      <c r="M308" s="75">
        <v>4</v>
      </c>
      <c r="N308" s="450" t="s">
        <v>2002</v>
      </c>
      <c r="O308" s="2966"/>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2120"/>
      <c r="L309" s="2120"/>
      <c r="M309" s="83">
        <v>3</v>
      </c>
      <c r="N309" s="948" t="s">
        <v>2004</v>
      </c>
      <c r="O309" s="3086"/>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120"/>
      <c r="L310" s="2120"/>
      <c r="M310" s="83">
        <v>2</v>
      </c>
      <c r="N310" s="948" t="s">
        <v>2551</v>
      </c>
      <c r="O310" s="2967"/>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99" customHeight="1" thickTop="1" thickBot="1">
      <c r="A312" s="2931" t="s">
        <v>4692</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4093</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4094</v>
      </c>
      <c r="C324" s="90"/>
      <c r="D324" s="59"/>
      <c r="E324" s="53"/>
      <c r="G324" s="56"/>
      <c r="M324" s="1584">
        <v>2</v>
      </c>
      <c r="N324" s="6"/>
      <c r="O324" s="6"/>
      <c r="P324" s="1247">
        <f>P325+P330</f>
        <v>0</v>
      </c>
      <c r="Q324" s="112" t="s">
        <v>443</v>
      </c>
    </row>
    <row r="325" spans="1:18" s="44" customFormat="1" ht="12" customHeight="1">
      <c r="A325" s="143" t="s">
        <v>2001</v>
      </c>
      <c r="B325" s="172" t="s">
        <v>4095</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928"/>
      <c r="P326" s="561"/>
      <c r="R326" s="391"/>
    </row>
    <row r="327" spans="1:18" s="105" customFormat="1" ht="10.5" customHeight="1">
      <c r="A327" s="143"/>
      <c r="B327" s="389" t="s">
        <v>2004</v>
      </c>
      <c r="C327" s="37" t="s">
        <v>4114</v>
      </c>
      <c r="D327" s="34"/>
      <c r="N327" s="948" t="s">
        <v>2004</v>
      </c>
      <c r="O327" s="2934"/>
      <c r="P327" s="562"/>
      <c r="R327" s="391"/>
    </row>
    <row r="328" spans="1:18" s="105" customFormat="1" ht="10.5" customHeight="1">
      <c r="A328" s="143"/>
      <c r="B328" s="389" t="s">
        <v>2551</v>
      </c>
      <c r="C328" s="37" t="s">
        <v>4113</v>
      </c>
      <c r="D328" s="34"/>
      <c r="N328" s="948" t="s">
        <v>2551</v>
      </c>
      <c r="O328" s="2934"/>
      <c r="P328" s="562"/>
      <c r="R328" s="391"/>
    </row>
    <row r="329" spans="1:18" s="105" customFormat="1" ht="10.5" customHeight="1">
      <c r="A329" s="143"/>
      <c r="B329" s="389" t="s">
        <v>1236</v>
      </c>
      <c r="C329" s="37" t="s">
        <v>4115</v>
      </c>
      <c r="D329" s="34"/>
      <c r="N329" s="948" t="s">
        <v>1236</v>
      </c>
      <c r="O329" s="2927"/>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8"/>
      <c r="P331" s="561"/>
      <c r="Q331" s="112"/>
    </row>
    <row r="332" spans="1:18" s="105" customFormat="1" ht="10.5" customHeight="1">
      <c r="A332" s="143"/>
      <c r="B332" s="389" t="s">
        <v>2004</v>
      </c>
      <c r="C332" s="37" t="s">
        <v>4127</v>
      </c>
      <c r="D332" s="34"/>
      <c r="N332" s="948" t="s">
        <v>2004</v>
      </c>
      <c r="O332" s="2934"/>
      <c r="P332" s="562"/>
      <c r="R332" s="391"/>
    </row>
    <row r="333" spans="1:18" s="105" customFormat="1" ht="10.5" customHeight="1">
      <c r="A333" s="143"/>
      <c r="B333" s="389" t="s">
        <v>2551</v>
      </c>
      <c r="C333" s="37" t="s">
        <v>4115</v>
      </c>
      <c r="D333" s="34"/>
      <c r="N333" s="948" t="s">
        <v>2551</v>
      </c>
      <c r="O333" s="2927"/>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4097</v>
      </c>
      <c r="H337" s="37" t="s">
        <v>3601</v>
      </c>
      <c r="I337" s="1609" t="str">
        <f>'Part I-Project Information'!$H$100</f>
        <v>Flexible</v>
      </c>
      <c r="J337" s="1601"/>
      <c r="L337" s="391" t="str">
        <f>IF(OR($O337=$M337,$O337=0,$O337=""),"","* * Check Score! * *")</f>
        <v/>
      </c>
      <c r="M337" s="1584">
        <v>1</v>
      </c>
      <c r="N337" s="410"/>
      <c r="O337" s="3088"/>
      <c r="P337" s="1250"/>
      <c r="Q337" s="112" t="s">
        <v>443</v>
      </c>
      <c r="R337" s="1192" t="s">
        <v>2724</v>
      </c>
    </row>
    <row r="338" spans="1:18" s="64" customFormat="1" ht="12" customHeight="1">
      <c r="A338" s="1892" t="s">
        <v>4195</v>
      </c>
      <c r="B338" s="1892"/>
      <c r="C338" s="1892"/>
      <c r="D338" s="1892"/>
      <c r="E338" s="1892"/>
      <c r="F338" s="1892"/>
      <c r="G338" s="1892"/>
      <c r="H338" s="1892"/>
      <c r="I338" s="2039" t="s">
        <v>4196</v>
      </c>
      <c r="J338" s="2039"/>
      <c r="K338" s="2039"/>
      <c r="L338" s="2039"/>
      <c r="M338" s="2039"/>
      <c r="N338" s="2039"/>
      <c r="O338" s="2039"/>
      <c r="P338" s="2039"/>
      <c r="R338" s="391"/>
    </row>
    <row r="339" spans="1:18" s="64" customFormat="1" ht="12" customHeight="1">
      <c r="A339" s="1892"/>
      <c r="B339" s="1892"/>
      <c r="C339" s="1892"/>
      <c r="D339" s="1892"/>
      <c r="E339" s="1892"/>
      <c r="F339" s="1892"/>
      <c r="G339" s="1892"/>
      <c r="H339" s="1892"/>
      <c r="I339" s="3089" t="s">
        <v>4710</v>
      </c>
      <c r="J339" s="3089"/>
      <c r="K339" s="3089"/>
      <c r="L339" s="3089">
        <v>3</v>
      </c>
      <c r="M339" s="3089"/>
      <c r="N339" s="3089"/>
      <c r="O339" s="3089"/>
      <c r="P339" s="3089"/>
      <c r="R339" s="391"/>
    </row>
    <row r="340" spans="1:18" s="64" customFormat="1" ht="12" customHeight="1">
      <c r="A340" s="1892"/>
      <c r="B340" s="1892"/>
      <c r="C340" s="1892"/>
      <c r="D340" s="1892"/>
      <c r="E340" s="1892"/>
      <c r="F340" s="1892"/>
      <c r="G340" s="1892"/>
      <c r="H340" s="1892"/>
      <c r="I340" s="3090" t="s">
        <v>4711</v>
      </c>
      <c r="J340" s="3090"/>
      <c r="K340" s="3090"/>
      <c r="L340" s="3090">
        <v>4</v>
      </c>
      <c r="M340" s="3090"/>
      <c r="N340" s="3090"/>
      <c r="O340" s="3090"/>
      <c r="P340" s="3090"/>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21.75" customHeight="1" thickTop="1" thickBot="1">
      <c r="A342" s="2931" t="s">
        <v>4657</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4151</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2724</v>
      </c>
    </row>
    <row r="348" spans="1:18" s="44" customFormat="1" ht="11.25" customHeight="1">
      <c r="B348" s="41" t="s">
        <v>4101</v>
      </c>
      <c r="D348" s="105"/>
      <c r="E348" s="91"/>
      <c r="F348" s="53"/>
      <c r="G348" s="53"/>
      <c r="H348" s="3091" t="s">
        <v>2539</v>
      </c>
      <c r="I348" s="3060"/>
      <c r="J348" s="3060"/>
      <c r="K348" s="3092"/>
      <c r="N348" s="484" t="s">
        <v>1999</v>
      </c>
      <c r="O348" s="1297" t="s">
        <v>2527</v>
      </c>
      <c r="P348" s="1297" t="s">
        <v>2527</v>
      </c>
    </row>
    <row r="349" spans="1:18" s="121" customFormat="1" ht="10.5" customHeight="1">
      <c r="B349" s="450" t="s">
        <v>2002</v>
      </c>
      <c r="C349" s="448" t="s">
        <v>4098</v>
      </c>
      <c r="N349" s="450" t="s">
        <v>2002</v>
      </c>
      <c r="O349" s="2928"/>
      <c r="P349" s="561"/>
    </row>
    <row r="350" spans="1:18" s="121" customFormat="1" ht="10.5" customHeight="1">
      <c r="B350" s="450" t="s">
        <v>2004</v>
      </c>
      <c r="C350" s="448" t="s">
        <v>4099</v>
      </c>
      <c r="N350" s="450" t="s">
        <v>2004</v>
      </c>
      <c r="O350" s="2934"/>
      <c r="P350" s="562"/>
    </row>
    <row r="351" spans="1:18" s="121" customFormat="1" ht="10.5" customHeight="1">
      <c r="B351" s="450" t="s">
        <v>2551</v>
      </c>
      <c r="C351" s="448" t="s">
        <v>4100</v>
      </c>
      <c r="N351" s="450" t="s">
        <v>2551</v>
      </c>
      <c r="O351" s="2927"/>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9" t="s">
        <v>3509</v>
      </c>
      <c r="I354" s="2079"/>
      <c r="J354" s="2079"/>
      <c r="K354" s="2079"/>
      <c r="L354" s="2079"/>
      <c r="M354" s="1236">
        <v>1</v>
      </c>
      <c r="N354" s="67" t="s">
        <v>2001</v>
      </c>
      <c r="O354" s="2972"/>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3643</v>
      </c>
      <c r="C356" s="953" t="str">
        <f>'Part I-Project Information'!$F$38</f>
        <v>Albany</v>
      </c>
      <c r="E356" s="139" t="s">
        <v>3508</v>
      </c>
      <c r="F356" s="953" t="str">
        <f>'Part I-Project Information'!$J$39</f>
        <v>Dougherty</v>
      </c>
      <c r="H356" s="448" t="s">
        <v>455</v>
      </c>
      <c r="I356" s="910" t="str">
        <f>'Part I-Project Information'!$N$39</f>
        <v>No</v>
      </c>
      <c r="K356" s="448" t="s">
        <v>3642</v>
      </c>
      <c r="L356" s="2058" t="str">
        <f>'Part I-Project Information'!$O$38</f>
        <v>104.01</v>
      </c>
      <c r="M356" s="2058"/>
      <c r="N356" s="2058"/>
      <c r="O356" s="2058"/>
      <c r="P356" s="2058"/>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21.75" customHeight="1" thickTop="1" thickBot="1">
      <c r="A358" s="2931" t="s">
        <v>4658</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80" t="str">
        <f>IF(OR(O364="No",O364="",O365="No",O365="",O366="No",O366="",O367="No",O367=""),"Unmet criterion results in no points!","")</f>
        <v>Unmet criterion results in no points!</v>
      </c>
      <c r="M364" s="2080"/>
      <c r="N364" s="390" t="s">
        <v>2451</v>
      </c>
      <c r="O364" s="2928"/>
      <c r="P364" s="561"/>
      <c r="R364" s="2078" t="str">
        <f>IF(OR(P364="No",P364="",P365="No",P365="",P366="No",P366="",P367="No",P367=""),"Unmet criterion results in no points!","")</f>
        <v>Unmet criterion results in no points!</v>
      </c>
      <c r="S364" s="2078" t="e">
        <f>IF(OR(V364="No",V364="",V365="No",V365="",V366="No",V366="",V367="No",V367="",#REF!="No",#REF!="",#REF!="No",#REF!=""),"Unmet criterion results in no points!","")</f>
        <v>#REF!</v>
      </c>
    </row>
    <row r="365" spans="1:19" s="103" customFormat="1" ht="10.5" customHeight="1">
      <c r="B365" s="402" t="s">
        <v>2452</v>
      </c>
      <c r="C365" s="446" t="s">
        <v>3837</v>
      </c>
      <c r="L365" s="2080"/>
      <c r="M365" s="2080"/>
      <c r="N365" s="402" t="s">
        <v>2452</v>
      </c>
      <c r="O365" s="2934"/>
      <c r="P365" s="562"/>
      <c r="R365" s="2078"/>
      <c r="S365" s="2078"/>
    </row>
    <row r="366" spans="1:19" s="103" customFormat="1" ht="10.5" customHeight="1">
      <c r="B366" s="390" t="s">
        <v>2453</v>
      </c>
      <c r="C366" s="446" t="s">
        <v>3836</v>
      </c>
      <c r="L366" s="2080"/>
      <c r="M366" s="2080"/>
      <c r="N366" s="390" t="s">
        <v>2453</v>
      </c>
      <c r="O366" s="2934"/>
      <c r="P366" s="562"/>
      <c r="R366" s="2078"/>
      <c r="S366" s="2078"/>
    </row>
    <row r="367" spans="1:19" s="103" customFormat="1" ht="29.25" customHeight="1">
      <c r="B367" s="402" t="s">
        <v>2454</v>
      </c>
      <c r="C367" s="2015" t="s">
        <v>4105</v>
      </c>
      <c r="D367" s="2015"/>
      <c r="E367" s="2015"/>
      <c r="F367" s="2015"/>
      <c r="G367" s="2015"/>
      <c r="H367" s="2015"/>
      <c r="I367" s="2015"/>
      <c r="J367" s="2015"/>
      <c r="K367" s="2015"/>
      <c r="L367" s="2015"/>
      <c r="M367" s="2015"/>
      <c r="N367" s="402" t="s">
        <v>2454</v>
      </c>
      <c r="O367" s="3093"/>
      <c r="P367" s="1282"/>
    </row>
    <row r="368" spans="1:19" ht="3" customHeight="1">
      <c r="C368" s="2015"/>
      <c r="D368" s="2015"/>
      <c r="E368" s="2015"/>
      <c r="F368" s="2015"/>
      <c r="G368" s="2015"/>
      <c r="H368" s="2015"/>
      <c r="I368" s="2015"/>
      <c r="J368" s="2015"/>
      <c r="K368" s="2015"/>
      <c r="L368" s="2015"/>
      <c r="M368" s="2015"/>
    </row>
    <row r="369" spans="1:18" ht="11.25" customHeight="1">
      <c r="A369" s="1124" t="s">
        <v>1999</v>
      </c>
      <c r="B369" s="184" t="s">
        <v>4106</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49" t="s">
        <v>4107</v>
      </c>
      <c r="D370" s="2049"/>
      <c r="E370" s="2049"/>
      <c r="F370" s="2049"/>
      <c r="G370" s="2049"/>
      <c r="H370" s="2049"/>
      <c r="I370" s="2049"/>
      <c r="J370" s="2026" t="s">
        <v>2006</v>
      </c>
      <c r="K370" s="2026"/>
      <c r="M370" s="2026" t="s">
        <v>2006</v>
      </c>
      <c r="N370" s="2026"/>
      <c r="O370" s="2026"/>
      <c r="P370" s="2026"/>
    </row>
    <row r="371" spans="1:18" s="44" customFormat="1" ht="10.5" customHeight="1">
      <c r="A371" s="182"/>
      <c r="B371" s="390" t="s">
        <v>2451</v>
      </c>
      <c r="C371" s="37" t="s">
        <v>1494</v>
      </c>
      <c r="I371" s="390" t="s">
        <v>2451</v>
      </c>
      <c r="J371" s="3094"/>
      <c r="K371" s="3095"/>
      <c r="L371" s="390" t="s">
        <v>2451</v>
      </c>
      <c r="M371" s="2089"/>
      <c r="N371" s="2090"/>
      <c r="O371" s="2090"/>
      <c r="P371" s="2091"/>
      <c r="R371" s="391"/>
    </row>
    <row r="372" spans="1:18" ht="10.5" customHeight="1">
      <c r="A372" s="183"/>
      <c r="B372" s="402" t="s">
        <v>2452</v>
      </c>
      <c r="C372" s="37" t="s">
        <v>3647</v>
      </c>
      <c r="I372" s="402" t="s">
        <v>2452</v>
      </c>
      <c r="J372" s="3096"/>
      <c r="K372" s="3097"/>
      <c r="L372" s="402" t="s">
        <v>2452</v>
      </c>
      <c r="M372" s="2036"/>
      <c r="N372" s="2037"/>
      <c r="O372" s="2037"/>
      <c r="P372" s="2038"/>
      <c r="R372" s="391"/>
    </row>
    <row r="373" spans="1:18" ht="10.5" customHeight="1">
      <c r="B373" s="390" t="s">
        <v>2453</v>
      </c>
      <c r="C373" s="37" t="s">
        <v>2643</v>
      </c>
      <c r="I373" s="390" t="s">
        <v>2453</v>
      </c>
      <c r="J373" s="3096"/>
      <c r="K373" s="3097"/>
      <c r="L373" s="390" t="s">
        <v>2453</v>
      </c>
      <c r="M373" s="2036"/>
      <c r="N373" s="2037"/>
      <c r="O373" s="2037"/>
      <c r="P373" s="2038"/>
      <c r="R373" s="391"/>
    </row>
    <row r="374" spans="1:18" ht="10.5" customHeight="1">
      <c r="A374" s="183"/>
      <c r="B374" s="390" t="s">
        <v>2454</v>
      </c>
      <c r="C374" s="37" t="s">
        <v>3484</v>
      </c>
      <c r="I374" s="390" t="s">
        <v>2454</v>
      </c>
      <c r="J374" s="3096"/>
      <c r="K374" s="3097"/>
      <c r="L374" s="390" t="s">
        <v>2454</v>
      </c>
      <c r="M374" s="2036"/>
      <c r="N374" s="2037"/>
      <c r="O374" s="2037"/>
      <c r="P374" s="2038"/>
      <c r="R374" s="391"/>
    </row>
    <row r="375" spans="1:18" s="44" customFormat="1" ht="10.5" customHeight="1">
      <c r="A375" s="182"/>
      <c r="B375" s="402" t="s">
        <v>2455</v>
      </c>
      <c r="C375" s="37" t="s">
        <v>2749</v>
      </c>
      <c r="I375" s="402" t="s">
        <v>2455</v>
      </c>
      <c r="J375" s="3096"/>
      <c r="K375" s="3097"/>
      <c r="L375" s="402" t="s">
        <v>2455</v>
      </c>
      <c r="M375" s="2036"/>
      <c r="N375" s="2037"/>
      <c r="O375" s="2037"/>
      <c r="P375" s="2038"/>
      <c r="R375" s="391"/>
    </row>
    <row r="376" spans="1:18" ht="10.5" customHeight="1">
      <c r="B376" s="390" t="s">
        <v>2471</v>
      </c>
      <c r="C376" s="37" t="s">
        <v>1493</v>
      </c>
      <c r="I376" s="390" t="s">
        <v>2471</v>
      </c>
      <c r="J376" s="3096"/>
      <c r="K376" s="3097"/>
      <c r="L376" s="390" t="s">
        <v>2471</v>
      </c>
      <c r="M376" s="2036"/>
      <c r="N376" s="2037"/>
      <c r="O376" s="2037"/>
      <c r="P376" s="2038"/>
      <c r="R376" s="391"/>
    </row>
    <row r="377" spans="1:18" ht="10.5" customHeight="1">
      <c r="A377" s="183"/>
      <c r="B377" s="390" t="s">
        <v>2472</v>
      </c>
      <c r="C377" s="37" t="s">
        <v>3645</v>
      </c>
      <c r="I377" s="390" t="s">
        <v>2472</v>
      </c>
      <c r="J377" s="3096"/>
      <c r="K377" s="3097"/>
      <c r="L377" s="390" t="s">
        <v>2472</v>
      </c>
      <c r="M377" s="2036"/>
      <c r="N377" s="2037"/>
      <c r="O377" s="2037"/>
      <c r="P377" s="2038"/>
      <c r="R377" s="391"/>
    </row>
    <row r="378" spans="1:18" ht="10.5" customHeight="1">
      <c r="A378" s="183"/>
      <c r="B378" s="401" t="s">
        <v>2473</v>
      </c>
      <c r="C378" s="37" t="s">
        <v>4110</v>
      </c>
      <c r="I378" s="401" t="s">
        <v>2473</v>
      </c>
      <c r="J378" s="3096"/>
      <c r="K378" s="3097"/>
      <c r="L378" s="401" t="s">
        <v>2473</v>
      </c>
      <c r="M378" s="2036"/>
      <c r="N378" s="2037"/>
      <c r="O378" s="2037"/>
      <c r="P378" s="2038"/>
      <c r="R378" s="391"/>
    </row>
    <row r="379" spans="1:18" ht="10.5" customHeight="1">
      <c r="B379" s="401" t="s">
        <v>2474</v>
      </c>
      <c r="C379" s="37" t="s">
        <v>3646</v>
      </c>
      <c r="I379" s="401" t="s">
        <v>2474</v>
      </c>
      <c r="J379" s="3096"/>
      <c r="K379" s="3097"/>
      <c r="L379" s="401" t="s">
        <v>2474</v>
      </c>
      <c r="M379" s="2036"/>
      <c r="N379" s="2037"/>
      <c r="O379" s="2037"/>
      <c r="P379" s="2038"/>
      <c r="R379" s="391"/>
    </row>
    <row r="380" spans="1:18" ht="10.5" customHeight="1" thickBot="1">
      <c r="B380" s="401" t="s">
        <v>3648</v>
      </c>
      <c r="C380" s="37" t="s">
        <v>4189</v>
      </c>
      <c r="I380" s="401" t="s">
        <v>3648</v>
      </c>
      <c r="J380" s="3096"/>
      <c r="K380" s="3097"/>
      <c r="L380" s="401" t="s">
        <v>3648</v>
      </c>
      <c r="M380" s="2027"/>
      <c r="N380" s="2028"/>
      <c r="O380" s="2028"/>
      <c r="P380" s="2029"/>
      <c r="R380" s="391"/>
    </row>
    <row r="381" spans="1:18" ht="10.5" customHeight="1" thickBot="1">
      <c r="A381" s="183"/>
      <c r="B381" s="1295" t="s">
        <v>4111</v>
      </c>
      <c r="H381" s="1331" t="s">
        <v>2645</v>
      </c>
      <c r="J381" s="2030">
        <f>SUM(J371:K380)</f>
        <v>0</v>
      </c>
      <c r="K381" s="2031"/>
      <c r="M381" s="2030">
        <f>SUM($M371:$M380)</f>
        <v>0</v>
      </c>
      <c r="N381" s="2032"/>
      <c r="O381" s="2032"/>
      <c r="P381" s="203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c r="I383" s="1230"/>
      <c r="J383" s="2066">
        <f>'Part IV-A-Uses of Funds'!$G$132</f>
        <v>10235578.982141985</v>
      </c>
      <c r="K383" s="2067"/>
      <c r="M383" s="526"/>
      <c r="N383" s="526"/>
      <c r="O383" s="164"/>
      <c r="P383" s="526"/>
    </row>
    <row r="384" spans="1:18" ht="10.5" customHeight="1">
      <c r="A384" s="2033" t="s">
        <v>4300</v>
      </c>
      <c r="B384" s="2033"/>
      <c r="C384" s="2033"/>
      <c r="D384" s="2033"/>
      <c r="E384" s="453" t="s">
        <v>2647</v>
      </c>
      <c r="H384" s="3099"/>
      <c r="I384" s="1230"/>
      <c r="J384" s="2068">
        <f>IF($J383=0,0,$J381/$J383)</f>
        <v>0</v>
      </c>
      <c r="K384" s="2069"/>
      <c r="M384" s="2070">
        <f>IF($J383=0,0,$M381/$J383)</f>
        <v>0</v>
      </c>
      <c r="N384" s="2071"/>
      <c r="O384" s="2071"/>
      <c r="P384" s="2072"/>
    </row>
    <row r="385" spans="1:23" s="44" customFormat="1" ht="10.5" customHeight="1">
      <c r="A385" s="2033"/>
      <c r="B385" s="2033"/>
      <c r="C385" s="2033"/>
      <c r="D385" s="2033"/>
      <c r="E385" s="1160" t="s">
        <v>4299</v>
      </c>
      <c r="H385" s="3100"/>
      <c r="I385" s="1230"/>
      <c r="J385" s="2034">
        <f>IF(L364="", IF($J384&gt;=0.1, 3,IF($J384&gt;=0.05, 2,IF($J384&gt;=0.02,1,0))),0)</f>
        <v>0</v>
      </c>
      <c r="K385" s="2035"/>
      <c r="L385" s="537"/>
      <c r="M385" s="2034">
        <f>IF(R364="", IF($M384&gt;=0.1, 3,IF($M384&gt;=0.05, 2,IF($M384&gt;=0.02,1,0))),0)</f>
        <v>0</v>
      </c>
      <c r="N385" s="2093"/>
      <c r="O385" s="2093"/>
      <c r="P385" s="2035"/>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972"/>
      <c r="P387" s="1231"/>
      <c r="Q387" s="112" t="s">
        <v>443</v>
      </c>
      <c r="R387" s="1192" t="s">
        <v>2724</v>
      </c>
      <c r="V387" s="1169"/>
      <c r="W387" s="1169"/>
    </row>
    <row r="388" spans="1:23" s="44" customFormat="1" ht="22.5" customHeight="1">
      <c r="A388" s="143"/>
      <c r="B388" s="1102" t="s">
        <v>2451</v>
      </c>
      <c r="C388" s="1892" t="s">
        <v>4108</v>
      </c>
      <c r="D388" s="1892"/>
      <c r="E388" s="1892"/>
      <c r="F388" s="1892"/>
      <c r="G388" s="1892"/>
      <c r="H388" s="1892"/>
      <c r="I388" s="1892"/>
      <c r="J388" s="1892"/>
      <c r="K388" s="1892"/>
      <c r="L388" s="1892"/>
      <c r="M388" s="1892"/>
      <c r="N388" s="402" t="s">
        <v>2451</v>
      </c>
      <c r="O388" s="3101"/>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927"/>
      <c r="P389" s="563"/>
      <c r="V389" s="1169"/>
      <c r="W389" s="1169"/>
    </row>
    <row r="390" spans="1:23" ht="10.5" customHeight="1">
      <c r="B390" s="390" t="s">
        <v>2453</v>
      </c>
      <c r="C390" s="446" t="s">
        <v>4109</v>
      </c>
      <c r="N390" s="390" t="s">
        <v>2453</v>
      </c>
      <c r="O390" s="2927"/>
      <c r="P390" s="563"/>
    </row>
    <row r="391" spans="1:23" ht="12" customHeight="1" thickBot="1">
      <c r="B391" s="1332" t="s">
        <v>3781</v>
      </c>
    </row>
    <row r="392" spans="1:23" s="44" customFormat="1" ht="21.75" customHeight="1" thickTop="1" thickBot="1">
      <c r="A392" s="2931" t="s">
        <v>4622</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4150</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3840</v>
      </c>
      <c r="K397" s="1337"/>
      <c r="L397" s="1125">
        <f>'Part VI-Revenues &amp; Expenses'!$O$62*0.1</f>
        <v>5.4</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3839</v>
      </c>
      <c r="D398" s="1893"/>
      <c r="E398" s="1893"/>
      <c r="F398" s="1893"/>
      <c r="G398" s="1893"/>
      <c r="H398" s="1893"/>
      <c r="I398" s="1893"/>
      <c r="J398" s="1338" t="s">
        <v>3842</v>
      </c>
      <c r="K398" s="1334"/>
      <c r="L398" s="1127">
        <f>'Part VI-Revenues &amp; Expenses'!$O$58</f>
        <v>54</v>
      </c>
      <c r="M398" s="2092" t="str">
        <f>IF(L400&lt;L399,"Check 1BR LI count!","")</f>
        <v/>
      </c>
      <c r="N398" s="404" t="s">
        <v>2002</v>
      </c>
      <c r="O398" s="3066" t="s">
        <v>4604</v>
      </c>
      <c r="P398" s="1262"/>
      <c r="Q398" s="541"/>
      <c r="R398" s="535"/>
    </row>
    <row r="399" spans="1:23" s="427" customFormat="1" ht="11.25" customHeight="1">
      <c r="A399" s="148"/>
      <c r="B399" s="456"/>
      <c r="C399" s="1893"/>
      <c r="D399" s="1893"/>
      <c r="E399" s="1893"/>
      <c r="F399" s="1893"/>
      <c r="G399" s="1893"/>
      <c r="H399" s="1893"/>
      <c r="I399" s="1893"/>
      <c r="J399" s="1338" t="s">
        <v>3843</v>
      </c>
      <c r="K399" s="1335"/>
      <c r="L399" s="1128">
        <f>L398*0.1</f>
        <v>5.4</v>
      </c>
      <c r="M399" s="2092"/>
      <c r="N399" s="404"/>
      <c r="O399" s="404"/>
      <c r="P399" s="404"/>
      <c r="Q399" s="541"/>
      <c r="R399" s="535"/>
    </row>
    <row r="400" spans="1:23" s="427" customFormat="1" ht="11.25" customHeight="1">
      <c r="A400" s="148"/>
      <c r="B400" s="456"/>
      <c r="C400" s="1893"/>
      <c r="D400" s="1893"/>
      <c r="E400" s="1893"/>
      <c r="F400" s="1893"/>
      <c r="G400" s="1893"/>
      <c r="H400" s="1893"/>
      <c r="I400" s="1893"/>
      <c r="J400" s="1339" t="s">
        <v>3844</v>
      </c>
      <c r="K400" s="1340"/>
      <c r="L400" s="1129">
        <f>'Part VI-Revenues &amp; Expenses'!$K$58</f>
        <v>6</v>
      </c>
      <c r="M400" s="2092"/>
      <c r="N400" s="404"/>
      <c r="O400" s="404"/>
      <c r="P400" s="404"/>
      <c r="Q400" s="541"/>
      <c r="R400" s="535"/>
    </row>
    <row r="401" spans="1:18" s="451" customFormat="1" ht="11.25" customHeight="1">
      <c r="A401" s="552"/>
      <c r="B401" s="456" t="s">
        <v>2004</v>
      </c>
      <c r="C401" s="2073" t="s">
        <v>3416</v>
      </c>
      <c r="D401" s="2073"/>
      <c r="E401" s="2073"/>
      <c r="F401" s="2073"/>
      <c r="G401" s="2073"/>
      <c r="H401" s="2073"/>
      <c r="I401" s="2073"/>
      <c r="J401" s="2073"/>
      <c r="K401" s="2073"/>
      <c r="L401" s="2073"/>
      <c r="M401" s="2073"/>
      <c r="N401" s="404" t="s">
        <v>2004</v>
      </c>
      <c r="O401" s="2928"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934" t="s">
        <v>3011</v>
      </c>
      <c r="P402" s="562"/>
    </row>
    <row r="403" spans="1:18" s="451" customFormat="1" ht="11.25" customHeight="1">
      <c r="A403" s="552"/>
      <c r="B403" s="456" t="s">
        <v>1236</v>
      </c>
      <c r="C403" s="2073" t="s">
        <v>3838</v>
      </c>
      <c r="D403" s="2073"/>
      <c r="E403" s="2073"/>
      <c r="F403" s="2073"/>
      <c r="G403" s="2073"/>
      <c r="H403" s="2073"/>
      <c r="I403" s="2073"/>
      <c r="J403" s="2073"/>
      <c r="K403" s="2073"/>
      <c r="L403" s="2073"/>
      <c r="M403" s="2073"/>
      <c r="N403" s="404" t="s">
        <v>1236</v>
      </c>
      <c r="O403" s="2927"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3861</v>
      </c>
      <c r="D406" s="1893"/>
      <c r="E406" s="1893"/>
      <c r="F406" s="1893"/>
      <c r="G406" s="1893"/>
      <c r="H406" s="1893"/>
      <c r="I406" s="1893"/>
      <c r="J406" s="1893"/>
      <c r="K406" s="1893"/>
      <c r="L406" s="1893"/>
      <c r="M406" s="622"/>
      <c r="N406" s="404" t="s">
        <v>2002</v>
      </c>
      <c r="O406" s="3066"/>
      <c r="P406" s="1262"/>
      <c r="Q406" s="541"/>
      <c r="R406" s="535"/>
    </row>
    <row r="407" spans="1:18" s="427" customFormat="1" ht="11.25" customHeight="1">
      <c r="A407" s="148"/>
      <c r="B407" s="456"/>
      <c r="C407" s="498" t="s">
        <v>3680</v>
      </c>
      <c r="D407" s="1596"/>
      <c r="E407" s="1596"/>
      <c r="F407" s="1596"/>
      <c r="G407" s="3102"/>
      <c r="H407" s="3103"/>
      <c r="I407" s="3104"/>
      <c r="J407" s="1369" t="s">
        <v>3681</v>
      </c>
      <c r="L407" s="3105"/>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3679</v>
      </c>
      <c r="K408" s="405"/>
      <c r="L408" s="3106">
        <v>0</v>
      </c>
      <c r="M408" s="973">
        <f>IF('Part VI-Revenues &amp; Expenses'!$O$62=0,0,L408/'Part VI-Revenues &amp; Expenses'!$O$62)</f>
        <v>0</v>
      </c>
      <c r="N408" s="404" t="s">
        <v>2004</v>
      </c>
      <c r="O408" s="3066"/>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47.25" customHeight="1" thickTop="1" thickBot="1">
      <c r="A410" s="2931" t="s">
        <v>4625</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1" t="s">
        <v>2923</v>
      </c>
      <c r="E416" s="3060"/>
      <c r="F416" s="3060"/>
      <c r="G416" s="3060"/>
      <c r="H416" s="3060"/>
      <c r="I416" s="3092"/>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64" t="s">
        <v>4247</v>
      </c>
      <c r="C419" s="2064"/>
      <c r="D419" s="2064"/>
      <c r="E419" s="2064"/>
      <c r="F419" s="2064"/>
      <c r="G419" s="2064"/>
      <c r="H419" s="2064"/>
      <c r="I419" s="2064"/>
      <c r="J419" s="2064"/>
      <c r="K419" s="2064"/>
      <c r="L419" s="2064"/>
      <c r="M419" s="1893" t="s">
        <v>4249</v>
      </c>
      <c r="N419" s="1893"/>
      <c r="Q419" s="179"/>
    </row>
    <row r="420" spans="1:19" s="427" customFormat="1" ht="12" customHeight="1">
      <c r="B420" s="2064"/>
      <c r="C420" s="2064"/>
      <c r="D420" s="2064"/>
      <c r="E420" s="2064"/>
      <c r="F420" s="2064"/>
      <c r="G420" s="2064"/>
      <c r="H420" s="2064"/>
      <c r="I420" s="2064"/>
      <c r="J420" s="2064"/>
      <c r="K420" s="2064"/>
      <c r="L420" s="2064"/>
      <c r="M420" s="1893"/>
      <c r="N420" s="1893"/>
      <c r="O420" s="2074">
        <f>'Part VI-Revenues &amp; Expenses'!$O$82</f>
        <v>0</v>
      </c>
      <c r="P420" s="2075"/>
      <c r="Q420" s="179"/>
    </row>
    <row r="421" spans="1:19" s="427" customFormat="1" ht="12" customHeight="1">
      <c r="B421" s="2064"/>
      <c r="C421" s="2064"/>
      <c r="D421" s="2064"/>
      <c r="E421" s="2064"/>
      <c r="F421" s="2064"/>
      <c r="G421" s="2064"/>
      <c r="H421" s="2064"/>
      <c r="I421" s="2064"/>
      <c r="J421" s="2064"/>
      <c r="K421" s="2064"/>
      <c r="L421" s="2064"/>
      <c r="M421" s="41" t="s">
        <v>2848</v>
      </c>
      <c r="N421" s="428"/>
      <c r="O421" s="2074">
        <f>'Part VI-Revenues &amp; Expenses'!$O$62</f>
        <v>54</v>
      </c>
      <c r="P421" s="2075"/>
      <c r="Q421" s="179"/>
    </row>
    <row r="422" spans="1:19" s="427" customFormat="1" ht="12" customHeight="1">
      <c r="B422" s="2065"/>
      <c r="C422" s="2065"/>
      <c r="D422" s="2065"/>
      <c r="E422" s="2065"/>
      <c r="F422" s="2065"/>
      <c r="G422" s="2065"/>
      <c r="H422" s="2065"/>
      <c r="I422" s="2065"/>
      <c r="J422" s="2065"/>
      <c r="K422" s="2065"/>
      <c r="L422" s="2065"/>
      <c r="M422" s="550" t="s">
        <v>2849</v>
      </c>
      <c r="N422" s="428"/>
      <c r="O422" s="2060">
        <f>IF(O421=0,0,O420/O421)</f>
        <v>0</v>
      </c>
      <c r="P422" s="2061"/>
      <c r="Q422" s="179"/>
    </row>
    <row r="423" spans="1:19" s="44" customFormat="1" ht="66.75" customHeight="1">
      <c r="A423" s="552"/>
      <c r="B423" s="3107" t="s">
        <v>4254</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3379</v>
      </c>
      <c r="C425" s="144"/>
      <c r="D425" s="924"/>
      <c r="H425" s="405"/>
      <c r="M425" s="428">
        <v>1</v>
      </c>
      <c r="N425" s="166" t="s">
        <v>2001</v>
      </c>
      <c r="O425" s="2962"/>
      <c r="P425" s="912"/>
      <c r="Q425" s="1090" t="str">
        <f>IF(OR($O425=$M425,$O425=0,$O425=""),"","*CHECK!*")</f>
        <v/>
      </c>
      <c r="R425" s="1192" t="s">
        <v>2724</v>
      </c>
    </row>
    <row r="426" spans="1:19" s="427" customFormat="1" ht="11.25" customHeight="1">
      <c r="A426" s="553"/>
      <c r="B426" s="1892" t="s">
        <v>4248</v>
      </c>
      <c r="C426" s="1892"/>
      <c r="D426" s="1892"/>
      <c r="E426" s="1892"/>
      <c r="F426" s="1892"/>
      <c r="G426" s="1892"/>
      <c r="H426" s="1892"/>
      <c r="I426" s="1892"/>
      <c r="J426" s="1892"/>
      <c r="K426" s="1892"/>
      <c r="L426" s="1892"/>
      <c r="M426" s="498" t="s">
        <v>2848</v>
      </c>
      <c r="N426" s="428"/>
      <c r="O426" s="2062">
        <f>'Part VI-Revenues &amp; Expenses'!$O$62</f>
        <v>54</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2931" t="s">
        <v>4622</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3683</v>
      </c>
      <c r="D435" s="46"/>
      <c r="E435" s="46"/>
      <c r="F435" s="40"/>
      <c r="G435" s="37"/>
      <c r="I435" s="37"/>
      <c r="J435" s="37"/>
      <c r="K435" s="37"/>
      <c r="L435" s="391"/>
      <c r="M435" s="1584"/>
      <c r="N435" s="6"/>
      <c r="O435" s="1259">
        <v>10</v>
      </c>
      <c r="P435" s="1259">
        <v>10</v>
      </c>
      <c r="Q435" s="112"/>
    </row>
    <row r="436" spans="1:18" s="105" customFormat="1" ht="10.5" customHeight="1">
      <c r="A436" s="159"/>
      <c r="B436" s="89" t="s">
        <v>3684</v>
      </c>
      <c r="D436" s="46"/>
      <c r="E436" s="46"/>
      <c r="F436" s="40"/>
      <c r="G436" s="37"/>
      <c r="I436" s="37"/>
      <c r="J436" s="37"/>
      <c r="K436" s="37"/>
      <c r="L436" s="391"/>
      <c r="M436" s="1584"/>
      <c r="N436" s="6"/>
      <c r="O436" s="3110"/>
      <c r="P436" s="1251"/>
      <c r="Q436" s="112"/>
    </row>
    <row r="437" spans="1:18" s="105" customFormat="1" ht="10.5" customHeight="1">
      <c r="A437" s="159"/>
      <c r="B437" s="89" t="s">
        <v>3685</v>
      </c>
      <c r="D437" s="46"/>
      <c r="E437" s="46"/>
      <c r="F437" s="40"/>
      <c r="G437" s="37"/>
      <c r="I437" s="37"/>
      <c r="J437" s="37"/>
      <c r="K437" s="37"/>
      <c r="L437" s="391"/>
      <c r="M437" s="1584"/>
      <c r="N437" s="6"/>
      <c r="O437" s="3111">
        <v>3</v>
      </c>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1584"/>
      <c r="O442" s="1584"/>
      <c r="P442" s="482">
        <f>P228</f>
        <v>0</v>
      </c>
    </row>
    <row r="443" spans="1:18" s="43" customFormat="1" ht="11.25" customHeight="1">
      <c r="A443" s="55"/>
      <c r="B443" s="70"/>
      <c r="C443" s="55"/>
      <c r="D443" s="36"/>
      <c r="E443" s="36"/>
      <c r="F443" s="72"/>
      <c r="G443" s="72"/>
      <c r="H443" s="172" t="s">
        <v>4243</v>
      </c>
      <c r="J443" s="71"/>
      <c r="K443" s="71"/>
      <c r="L443" s="44"/>
      <c r="M443" s="36"/>
      <c r="N443" s="1584"/>
      <c r="O443" s="482"/>
      <c r="P443" s="482">
        <f>P324</f>
        <v>0</v>
      </c>
    </row>
    <row r="444" spans="1:18" s="44" customFormat="1" ht="11.25" customHeight="1">
      <c r="A444" s="43"/>
      <c r="D444" s="40"/>
      <c r="E444" s="37"/>
      <c r="F444" s="941"/>
      <c r="H444" s="172" t="s">
        <v>4251</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5" t="s">
        <v>3715</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4693</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3644</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4721</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0PaJXtzl/TuXNX0wYVMpmgtkGl/OYu6rG7oxyx4LDgAA2gQEuOgjNGR5zLmRXR2dwcn6jdHtn3V+hbeP14ryCA==" saltValue="Zv8QNWLt3US9EWIP4CTsZQ=="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Pointe North Village III</v>
      </c>
    </row>
    <row r="3" spans="1:6" s="34" customFormat="1" ht="13.5" customHeight="1">
      <c r="A3" s="917" t="str">
        <f>CONCATENATE('Part I-Project Information'!$F$38,", ", 'Part I-Project Information'!$J$39," County")</f>
        <v>Albany, Dougherty County</v>
      </c>
    </row>
    <row r="4" spans="1:6" ht="6.75" customHeight="1"/>
    <row r="5" spans="1:6" ht="113.25" customHeight="1">
      <c r="A5" s="2895" t="s">
        <v>4674</v>
      </c>
      <c r="B5" s="2207" t="s">
        <v>4257</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xuuggQ2uXO31dRi9YzHDkDxtjIS2wRlS8n7gMzVECR14Nhqd5LVykjNS2XICW3mOCAZudxIMNpxCbpS1aeVfHQ==" saltValue="Jqis+SUgA4nxxk11C0XIw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570312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10235578.982141985</v>
      </c>
    </row>
    <row r="5" spans="1:7">
      <c r="A5" s="1373" t="s">
        <v>4290</v>
      </c>
      <c r="B5" s="1374">
        <f>+B18+B26+B38</f>
        <v>755793.43785251956</v>
      </c>
    </row>
    <row r="6" spans="1:7">
      <c r="A6" s="1373" t="s">
        <v>4260</v>
      </c>
      <c r="B6" s="1375">
        <f>+B5-B4</f>
        <v>-9479785.544289466</v>
      </c>
    </row>
    <row r="7" spans="1:7">
      <c r="A7" s="1373" t="s">
        <v>4261</v>
      </c>
      <c r="B7" s="1376">
        <f>+B6/B4</f>
        <v>-0.92616016747355945</v>
      </c>
    </row>
    <row r="8" spans="1:7" ht="9" customHeight="1"/>
    <row r="9" spans="1:7">
      <c r="A9" s="1373" t="s">
        <v>4262</v>
      </c>
      <c r="B9" s="1374">
        <f>+B18+B26+B33</f>
        <v>755793.43785251956</v>
      </c>
    </row>
    <row r="10" spans="1:7">
      <c r="A10" s="1373" t="s">
        <v>4260</v>
      </c>
      <c r="B10" s="1375">
        <f>+B9-B4</f>
        <v>-9479785.544289466</v>
      </c>
    </row>
    <row r="11" spans="1:7">
      <c r="A11" s="1373" t="s">
        <v>4261</v>
      </c>
      <c r="B11" s="1376">
        <f>+B10/B4</f>
        <v>-0.92616016747355945</v>
      </c>
    </row>
    <row r="12" spans="1:7" ht="24" customHeight="1"/>
    <row r="13" spans="1:7">
      <c r="A13" s="1372" t="s">
        <v>4263</v>
      </c>
      <c r="D13" s="1445" t="s">
        <v>4530</v>
      </c>
      <c r="E13" s="1446"/>
    </row>
    <row r="14" spans="1:7">
      <c r="A14" s="1373" t="s">
        <v>4264</v>
      </c>
      <c r="B14" s="1377">
        <f>+SUM('Part III-Sources of Funds'!L49:M50)</f>
        <v>9430575.5999999996</v>
      </c>
      <c r="D14" s="1446"/>
      <c r="E14" s="1446"/>
    </row>
    <row r="15" spans="1:7">
      <c r="A15" s="1373" t="s">
        <v>4265</v>
      </c>
      <c r="B15" s="1378">
        <f>+'Part IV-A-Uses of Funds'!J167</f>
        <v>943057.89821419842</v>
      </c>
      <c r="D15" s="1446" t="s">
        <v>2061</v>
      </c>
      <c r="G15" s="1447">
        <f>'Part IV-A-Uses of Funds'!J155</f>
        <v>11774001.176784581</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5599714.9596787468</v>
      </c>
    </row>
    <row r="20" spans="1:7">
      <c r="A20" s="1373" t="s">
        <v>4268</v>
      </c>
      <c r="B20" s="1377">
        <f>+B18-B14</f>
        <v>-9430575.5999999996</v>
      </c>
      <c r="D20" s="1446" t="s">
        <v>4535</v>
      </c>
      <c r="G20" s="1449">
        <f>+B14-G19</f>
        <v>3830860.6403212529</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805000</v>
      </c>
    </row>
    <row r="25" spans="1:7">
      <c r="A25" s="1373" t="s">
        <v>4272</v>
      </c>
      <c r="B25" s="1381">
        <f>IF('Part III-Sources of Funds'!B11="Yes","N/A",MAX(B46:P46))</f>
        <v>-7535.3169855351734</v>
      </c>
    </row>
    <row r="26" spans="1:7">
      <c r="A26" s="1373" t="s">
        <v>4273</v>
      </c>
      <c r="B26" s="1371">
        <f>IFERROR(PV('Part III-Sources of Funds'!K37,'Part III-Sources of Funds'!L37,B25+B45),B24)</f>
        <v>755793.43785251956</v>
      </c>
    </row>
    <row r="27" spans="1:7" ht="9" customHeight="1">
      <c r="B27" s="1371"/>
    </row>
    <row r="28" spans="1:7">
      <c r="A28" s="1373" t="s">
        <v>4274</v>
      </c>
      <c r="B28" s="1382">
        <f>+B26-B24</f>
        <v>-49206.562147480436</v>
      </c>
      <c r="C28" s="1383"/>
    </row>
    <row r="29" spans="1:7">
      <c r="A29" s="1373" t="s">
        <v>4269</v>
      </c>
      <c r="B29" s="1384">
        <f>+B28/B24</f>
        <v>-6.1126164158360786E-2</v>
      </c>
    </row>
    <row r="30" spans="1:7" ht="24" customHeight="1"/>
    <row r="31" spans="1:7">
      <c r="A31" s="1372" t="s">
        <v>4129</v>
      </c>
    </row>
    <row r="32" spans="1:7">
      <c r="A32" s="1373" t="s">
        <v>4275</v>
      </c>
      <c r="B32" s="1385">
        <f>+'Part III-Sources of Funds'!I42</f>
        <v>944</v>
      </c>
    </row>
    <row r="33" spans="1:11">
      <c r="A33" s="1373" t="s">
        <v>4276</v>
      </c>
      <c r="B33" s="1371"/>
    </row>
    <row r="34" spans="1:11" ht="9" customHeight="1">
      <c r="B34" s="1371"/>
    </row>
    <row r="35" spans="1:11">
      <c r="A35" s="1373" t="s">
        <v>4277</v>
      </c>
      <c r="B35" s="1385">
        <f>+B33-B32</f>
        <v>-944</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4280</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91009.137600000016</v>
      </c>
      <c r="C44" s="1374">
        <f>+'Part VII-Pro Forma'!C22</f>
        <v>90417.210352000024</v>
      </c>
      <c r="D44" s="1374">
        <f>+'Part VII-Pro Forma'!D22</f>
        <v>89741.091459039977</v>
      </c>
      <c r="E44" s="1374">
        <f>+'Part VII-Pro Forma'!E22</f>
        <v>88977.066495220759</v>
      </c>
      <c r="F44" s="1374">
        <f>+'Part VII-Pro Forma'!F22</f>
        <v>88121.281628335215</v>
      </c>
      <c r="G44" s="1374">
        <f>+'Part VII-Pro Forma'!G22</f>
        <v>87169.738878208242</v>
      </c>
      <c r="H44" s="1374">
        <f>+'Part VII-Pro Forma'!H22</f>
        <v>86117.291221597901</v>
      </c>
      <c r="I44" s="1374">
        <f>+'Part VII-Pro Forma'!I22</f>
        <v>84959.637538830066</v>
      </c>
      <c r="J44" s="1374">
        <f>+'Part VII-Pro Forma'!J22</f>
        <v>83692.317397190913</v>
      </c>
      <c r="K44" s="1374">
        <f>+'Part VII-Pro Forma'!K22</f>
        <v>82311.70566594656</v>
      </c>
    </row>
    <row r="45" spans="1:11">
      <c r="A45" s="1373" t="s">
        <v>4281</v>
      </c>
      <c r="B45" s="1374">
        <f>SUM('Part VII-Pro Forma'!B23:B26)</f>
        <v>-61057.771069420298</v>
      </c>
      <c r="C45" s="1374">
        <f>SUM('Part VII-Pro Forma'!C23:C26)</f>
        <v>-61057.771069420298</v>
      </c>
      <c r="D45" s="1374">
        <f>SUM('Part VII-Pro Forma'!D23:D26)</f>
        <v>-61057.771069420298</v>
      </c>
      <c r="E45" s="1374">
        <f>SUM('Part VII-Pro Forma'!E23:E26)</f>
        <v>-61057.771069420298</v>
      </c>
      <c r="F45" s="1374">
        <f>SUM('Part VII-Pro Forma'!F23:F26)</f>
        <v>-61057.771069420298</v>
      </c>
      <c r="G45" s="1374">
        <f>SUM('Part VII-Pro Forma'!G23:G26)</f>
        <v>-61057.771069420298</v>
      </c>
      <c r="H45" s="1374">
        <f>SUM('Part VII-Pro Forma'!H23:H26)</f>
        <v>-61057.771069420298</v>
      </c>
      <c r="I45" s="1374">
        <f>SUM('Part VII-Pro Forma'!I23:I26)</f>
        <v>-61057.771069420298</v>
      </c>
      <c r="J45" s="1374">
        <f>SUM('Part VII-Pro Forma'!J23:J26)</f>
        <v>-61057.771069420298</v>
      </c>
      <c r="K45" s="1374">
        <f>SUM('Part VII-Pro Forma'!K23:K26)</f>
        <v>-61057.771069420298</v>
      </c>
    </row>
    <row r="46" spans="1:11">
      <c r="A46" s="1373" t="s">
        <v>4282</v>
      </c>
      <c r="B46" s="1375">
        <f t="shared" ref="B46:K46" si="0">-B44/B48-B45</f>
        <v>-14783.176930579721</v>
      </c>
      <c r="C46" s="1375">
        <f t="shared" si="0"/>
        <v>-14289.904223913065</v>
      </c>
      <c r="D46" s="1375">
        <f t="shared" si="0"/>
        <v>-13726.471813113021</v>
      </c>
      <c r="E46" s="1375">
        <f t="shared" si="0"/>
        <v>-13089.784343263673</v>
      </c>
      <c r="F46" s="1375">
        <f t="shared" si="0"/>
        <v>-12376.630287525724</v>
      </c>
      <c r="G46" s="1375">
        <f t="shared" si="0"/>
        <v>-11583.677995753242</v>
      </c>
      <c r="H46" s="1375">
        <f t="shared" si="0"/>
        <v>-10706.638281911291</v>
      </c>
      <c r="I46" s="1375">
        <f t="shared" si="0"/>
        <v>-9741.9268796047545</v>
      </c>
      <c r="J46" s="1375">
        <f t="shared" si="0"/>
        <v>-8685.826761572127</v>
      </c>
      <c r="K46" s="1375">
        <f t="shared" si="0"/>
        <v>-7535.3169855351734</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91009.137600000016</v>
      </c>
      <c r="C51" s="1375">
        <f t="shared" ref="C51:K51" si="2">+C44</f>
        <v>90417.210352000024</v>
      </c>
      <c r="D51" s="1375">
        <f t="shared" si="2"/>
        <v>89741.091459039977</v>
      </c>
      <c r="E51" s="1375">
        <f t="shared" si="2"/>
        <v>88977.066495220759</v>
      </c>
      <c r="F51" s="1375">
        <f t="shared" si="2"/>
        <v>88121.281628335215</v>
      </c>
      <c r="G51" s="1375">
        <f t="shared" si="2"/>
        <v>87169.738878208242</v>
      </c>
      <c r="H51" s="1375">
        <f t="shared" si="2"/>
        <v>86117.291221597901</v>
      </c>
      <c r="I51" s="1375">
        <f t="shared" si="2"/>
        <v>84959.637538830066</v>
      </c>
      <c r="J51" s="1375">
        <f t="shared" si="2"/>
        <v>83692.317397190913</v>
      </c>
      <c r="K51" s="1375">
        <f t="shared" si="2"/>
        <v>82311.70566594656</v>
      </c>
    </row>
    <row r="52" spans="1:17">
      <c r="A52" s="1373" t="s">
        <v>4284</v>
      </c>
      <c r="B52" s="1375">
        <f>IF($B$25="N/A",B45,B45+$B$25)</f>
        <v>-68593.088054955471</v>
      </c>
      <c r="C52" s="1375">
        <f t="shared" ref="C52:K52" si="3">IF($B$25="N/A",C45,C45+$B$25)</f>
        <v>-68593.088054955471</v>
      </c>
      <c r="D52" s="1375">
        <f t="shared" si="3"/>
        <v>-68593.088054955471</v>
      </c>
      <c r="E52" s="1375">
        <f t="shared" si="3"/>
        <v>-68593.088054955471</v>
      </c>
      <c r="F52" s="1375">
        <f t="shared" si="3"/>
        <v>-68593.088054955471</v>
      </c>
      <c r="G52" s="1375">
        <f t="shared" si="3"/>
        <v>-68593.088054955471</v>
      </c>
      <c r="H52" s="1375">
        <f t="shared" si="3"/>
        <v>-68593.088054955471</v>
      </c>
      <c r="I52" s="1375">
        <f t="shared" si="3"/>
        <v>-68593.088054955471</v>
      </c>
      <c r="J52" s="1375">
        <f t="shared" si="3"/>
        <v>-68593.088054955471</v>
      </c>
      <c r="K52" s="1375">
        <f t="shared" si="3"/>
        <v>-68593.088054955471</v>
      </c>
    </row>
    <row r="53" spans="1:17">
      <c r="A53" s="1373" t="s">
        <v>4285</v>
      </c>
      <c r="B53" s="1374">
        <f>+'Part VII-Pro Forma'!B28</f>
        <v>-2000</v>
      </c>
      <c r="C53" s="1374">
        <f>+'Part VII-Pro Forma'!C28</f>
        <v>-2000</v>
      </c>
      <c r="D53" s="1374">
        <f>+'Part VII-Pro Forma'!D28</f>
        <v>-2000</v>
      </c>
      <c r="E53" s="1374">
        <f>+'Part VII-Pro Forma'!E28</f>
        <v>-2000</v>
      </c>
      <c r="F53" s="1374">
        <f>+'Part VII-Pro Forma'!F28</f>
        <v>-2000</v>
      </c>
      <c r="G53" s="1374">
        <f>+'Part VII-Pro Forma'!G28</f>
        <v>-2000</v>
      </c>
      <c r="H53" s="1374">
        <f>+'Part VII-Pro Forma'!H28</f>
        <v>-2000</v>
      </c>
      <c r="I53" s="1374">
        <f>+'Part VII-Pro Forma'!I28</f>
        <v>-2000</v>
      </c>
      <c r="J53" s="1374">
        <f>+'Part VII-Pro Forma'!J28</f>
        <v>-2000</v>
      </c>
      <c r="K53" s="1374">
        <f>+'Part VII-Pro Forma'!K28</f>
        <v>-2000</v>
      </c>
    </row>
    <row r="54" spans="1:17">
      <c r="A54" s="1373" t="s">
        <v>4286</v>
      </c>
      <c r="B54" s="1375">
        <f>+SUM(B51:B53)</f>
        <v>20416.049545044545</v>
      </c>
      <c r="C54" s="1375">
        <f t="shared" ref="C54:K54" si="4">+SUM(C51:C53)</f>
        <v>19824.122297044552</v>
      </c>
      <c r="D54" s="1375">
        <f t="shared" si="4"/>
        <v>19148.003404084506</v>
      </c>
      <c r="E54" s="1375">
        <f t="shared" si="4"/>
        <v>18383.978440265288</v>
      </c>
      <c r="F54" s="1375">
        <f t="shared" si="4"/>
        <v>17528.193573379744</v>
      </c>
      <c r="G54" s="1375">
        <f t="shared" si="4"/>
        <v>16576.65082325277</v>
      </c>
      <c r="H54" s="1375">
        <f t="shared" si="4"/>
        <v>15524.20316664243</v>
      </c>
      <c r="I54" s="1375">
        <f t="shared" si="4"/>
        <v>14366.549483874594</v>
      </c>
      <c r="J54" s="1375">
        <f t="shared" si="4"/>
        <v>13099.229342235441</v>
      </c>
      <c r="K54" s="1375">
        <f t="shared" si="4"/>
        <v>11718.617610991088</v>
      </c>
    </row>
    <row r="55" spans="1:17">
      <c r="A55" s="1373" t="s">
        <v>4129</v>
      </c>
      <c r="B55" s="1375">
        <f>-B54</f>
        <v>-20416.049545044545</v>
      </c>
      <c r="C55" s="1375">
        <f t="shared" ref="C55:K55" si="5">-C54</f>
        <v>-19824.122297044552</v>
      </c>
      <c r="D55" s="1375">
        <f t="shared" si="5"/>
        <v>-19148.003404084506</v>
      </c>
      <c r="E55" s="1375">
        <f t="shared" si="5"/>
        <v>-18383.978440265288</v>
      </c>
      <c r="F55" s="1375">
        <f t="shared" si="5"/>
        <v>-17528.193573379744</v>
      </c>
      <c r="G55" s="1375">
        <f t="shared" si="5"/>
        <v>-16576.65082325277</v>
      </c>
      <c r="H55" s="1375">
        <f t="shared" si="5"/>
        <v>-15524.20316664243</v>
      </c>
      <c r="I55" s="1375">
        <f t="shared" si="5"/>
        <v>-14366.549483874594</v>
      </c>
      <c r="J55" s="1375">
        <f t="shared" si="5"/>
        <v>-13099.229342235441</v>
      </c>
      <c r="K55" s="1375">
        <f t="shared" si="5"/>
        <v>-11718.617610991088</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735736.38347665814</v>
      </c>
      <c r="C58" s="1374">
        <f>IF($B$26="","",-FV('Part III-Sources of Funds'!$K$37/12,12,C52/12,B58))</f>
        <v>714336.07102352963</v>
      </c>
      <c r="D58" s="1374">
        <f>IF($B$26="","",-FV('Part III-Sources of Funds'!$K$37/12,12,D52/12,C58))</f>
        <v>691502.54001198197</v>
      </c>
      <c r="E58" s="1374">
        <f>IF($B$26="","",-FV('Part III-Sources of Funds'!$K$37/12,12,E52/12,D58))</f>
        <v>667139.80514083349</v>
      </c>
      <c r="F58" s="1374">
        <f>IF($B$26="","",-FV('Part III-Sources of Funds'!$K$37/12,12,F52/12,E58))</f>
        <v>641145.45279551728</v>
      </c>
      <c r="G58" s="1374">
        <f>IF($B$26="","",-FV('Part III-Sources of Funds'!$K$37/12,12,G52/12,F58))</f>
        <v>613410.21053202858</v>
      </c>
      <c r="H58" s="1374">
        <f>IF($B$26="","",-FV('Part III-Sources of Funds'!$K$37/12,12,H52/12,G58))</f>
        <v>583817.48772841482</v>
      </c>
      <c r="I58" s="1374">
        <f>IF($B$26="","",-FV('Part III-Sources of Funds'!$K$37/12,12,I52/12,H58))</f>
        <v>552242.88547284517</v>
      </c>
      <c r="J58" s="1374">
        <f>IF($B$26="","",-FV('Part III-Sources of Funds'!$K$37/12,12,J52/12,I58))</f>
        <v>518553.67362797627</v>
      </c>
      <c r="K58" s="1374">
        <f>IF($B$26="","",-FV('Part III-Sources of Funds'!$K$37/12,12,K52/12,J58))</f>
        <v>482608.23287335056</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80811.006957701611</v>
      </c>
      <c r="C64" s="1374">
        <f>+'Part VII-Pro Forma'!C52</f>
        <v>79186.249890644787</v>
      </c>
      <c r="D64" s="1374">
        <f>+'Part VII-Pro Forma'!D52</f>
        <v>77431.281166060711</v>
      </c>
      <c r="E64" s="1374">
        <f>+'Part VII-Pro Forma'!E52</f>
        <v>75540.759455312989</v>
      </c>
      <c r="F64" s="1374">
        <f>+'Part VII-Pro Forma'!F52</f>
        <v>73510.149090328166</v>
      </c>
      <c r="G64" s="1374">
        <f>+'Part VII-Pro Forma'!G52</f>
        <v>71332.71355142066</v>
      </c>
      <c r="H64" s="1374">
        <f>+'Part VII-Pro Forma'!H52</f>
        <v>69001.508746114094</v>
      </c>
      <c r="I64" s="1374">
        <f>+'Part VII-Pro Forma'!I52</f>
        <v>66511.376072411076</v>
      </c>
      <c r="J64" s="1374">
        <f>+'Part VII-Pro Forma'!J52</f>
        <v>63854.935259775273</v>
      </c>
      <c r="K64" s="1374">
        <f>+'Part VII-Pro Forma'!K52</f>
        <v>61026.576980864047</v>
      </c>
    </row>
    <row r="65" spans="1:11">
      <c r="A65" s="1373" t="s">
        <v>4281</v>
      </c>
      <c r="B65" s="1374">
        <f>SUM('Part VII-Pro Forma'!B53:B56)</f>
        <v>-61057.771069420298</v>
      </c>
      <c r="C65" s="1374">
        <f>SUM('Part VII-Pro Forma'!C53:C56)</f>
        <v>-61057.771069420298</v>
      </c>
      <c r="D65" s="1374">
        <f>SUM('Part VII-Pro Forma'!D53:D56)</f>
        <v>-61057.771069420298</v>
      </c>
      <c r="E65" s="1374">
        <f>SUM('Part VII-Pro Forma'!E53:E56)</f>
        <v>-61057.771069420298</v>
      </c>
      <c r="F65" s="1374">
        <f>SUM('Part VII-Pro Forma'!F53:F56)</f>
        <v>-61057.771069420298</v>
      </c>
      <c r="G65" s="1374">
        <f>SUM('Part VII-Pro Forma'!G53:G56)</f>
        <v>-61057.771069420298</v>
      </c>
      <c r="H65" s="1374">
        <f>SUM('Part VII-Pro Forma'!H53:H56)</f>
        <v>-61057.771069420298</v>
      </c>
      <c r="I65" s="1374">
        <f>SUM('Part VII-Pro Forma'!I53:I56)</f>
        <v>-61057.771069420298</v>
      </c>
      <c r="J65" s="1374">
        <f>SUM('Part VII-Pro Forma'!J53:J56)</f>
        <v>-61057.771069420298</v>
      </c>
      <c r="K65" s="1374">
        <f>SUM('Part VII-Pro Forma'!K53:K56)</f>
        <v>-61057.771069420298</v>
      </c>
    </row>
    <row r="66" spans="1:11">
      <c r="A66" s="1373" t="s">
        <v>4282</v>
      </c>
      <c r="B66" s="1375">
        <f t="shared" ref="B66:K66" si="7">-B64/B68-B65</f>
        <v>-6284.7347286643781</v>
      </c>
      <c r="C66" s="1375">
        <f t="shared" si="7"/>
        <v>-4930.7705061170273</v>
      </c>
      <c r="D66" s="1375">
        <f t="shared" si="7"/>
        <v>-3468.296568963633</v>
      </c>
      <c r="E66" s="1375">
        <f t="shared" si="7"/>
        <v>-1892.8618100071981</v>
      </c>
      <c r="F66" s="1375">
        <f t="shared" si="7"/>
        <v>-200.68650585317664</v>
      </c>
      <c r="G66" s="1375">
        <f t="shared" si="7"/>
        <v>1613.8431099030786</v>
      </c>
      <c r="H66" s="1375">
        <f t="shared" si="7"/>
        <v>3556.5137809918815</v>
      </c>
      <c r="I66" s="1375">
        <f t="shared" si="7"/>
        <v>5631.6243424110653</v>
      </c>
      <c r="J66" s="1375">
        <f t="shared" si="7"/>
        <v>7845.3250196075678</v>
      </c>
      <c r="K66" s="1375">
        <f t="shared" si="7"/>
        <v>10202.290252033592</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80811.006957701611</v>
      </c>
      <c r="C71" s="1375">
        <f t="shared" si="9"/>
        <v>79186.249890644787</v>
      </c>
      <c r="D71" s="1375">
        <f t="shared" si="9"/>
        <v>77431.281166060711</v>
      </c>
      <c r="E71" s="1375">
        <f t="shared" si="9"/>
        <v>75540.759455312989</v>
      </c>
      <c r="F71" s="1375">
        <f t="shared" si="9"/>
        <v>73510.149090328166</v>
      </c>
      <c r="G71" s="1375">
        <f t="shared" si="9"/>
        <v>71332.71355142066</v>
      </c>
      <c r="H71" s="1375">
        <f t="shared" ref="H71:K71" si="10">+H64</f>
        <v>69001.508746114094</v>
      </c>
      <c r="I71" s="1375">
        <f t="shared" si="10"/>
        <v>66511.376072411076</v>
      </c>
      <c r="J71" s="1375">
        <f t="shared" si="10"/>
        <v>63854.935259775273</v>
      </c>
      <c r="K71" s="1375">
        <f t="shared" si="10"/>
        <v>61026.576980864047</v>
      </c>
    </row>
    <row r="72" spans="1:11">
      <c r="A72" s="1373" t="s">
        <v>4284</v>
      </c>
      <c r="B72" s="1375">
        <f t="shared" ref="B72:G72" si="11">IF($B$25="N/A",B65,B65+$B$25)</f>
        <v>-68593.088054955471</v>
      </c>
      <c r="C72" s="1375">
        <f t="shared" si="11"/>
        <v>-68593.088054955471</v>
      </c>
      <c r="D72" s="1375">
        <f t="shared" si="11"/>
        <v>-68593.088054955471</v>
      </c>
      <c r="E72" s="1375">
        <f t="shared" si="11"/>
        <v>-68593.088054955471</v>
      </c>
      <c r="F72" s="1375">
        <f t="shared" si="11"/>
        <v>-68593.088054955471</v>
      </c>
      <c r="G72" s="1375">
        <f t="shared" si="11"/>
        <v>-68593.088054955471</v>
      </c>
      <c r="H72" s="1375">
        <f t="shared" ref="H72:K72" si="12">IF($B$25="N/A",H65,H65+$B$25)</f>
        <v>-68593.088054955471</v>
      </c>
      <c r="I72" s="1375">
        <f t="shared" si="12"/>
        <v>-68593.088054955471</v>
      </c>
      <c r="J72" s="1375">
        <f t="shared" si="12"/>
        <v>-68593.088054955471</v>
      </c>
      <c r="K72" s="1375">
        <f t="shared" si="12"/>
        <v>-68593.088054955471</v>
      </c>
    </row>
    <row r="73" spans="1:11">
      <c r="A73" s="1373" t="s">
        <v>4285</v>
      </c>
      <c r="B73" s="1374">
        <f>+'Part VII-Pro Forma'!B58</f>
        <v>-2000</v>
      </c>
      <c r="C73" s="1374">
        <f>+'Part VII-Pro Forma'!C58</f>
        <v>-2000</v>
      </c>
      <c r="D73" s="1374">
        <f>+'Part VII-Pro Forma'!D58</f>
        <v>-2000</v>
      </c>
      <c r="E73" s="1374">
        <f>+'Part VII-Pro Forma'!E58</f>
        <v>-2000</v>
      </c>
      <c r="F73" s="1374">
        <f>+'Part VII-Pro Forma'!F58</f>
        <v>-2000</v>
      </c>
      <c r="G73" s="1374">
        <f>+'Part VII-Pro Forma'!G58</f>
        <v>-2000</v>
      </c>
      <c r="H73" s="1374">
        <f>+'Part VII-Pro Forma'!H58</f>
        <v>-2000</v>
      </c>
      <c r="I73" s="1374">
        <f>+'Part VII-Pro Forma'!I58</f>
        <v>-2000</v>
      </c>
      <c r="J73" s="1374">
        <f>+'Part VII-Pro Forma'!J58</f>
        <v>-2000</v>
      </c>
      <c r="K73" s="1374">
        <f>+'Part VII-Pro Forma'!K58</f>
        <v>0</v>
      </c>
    </row>
    <row r="74" spans="1:11">
      <c r="A74" s="1373" t="s">
        <v>4286</v>
      </c>
      <c r="B74" s="1375">
        <f t="shared" ref="B74:G74" si="13">+SUM(B71:B73)</f>
        <v>10217.91890274614</v>
      </c>
      <c r="C74" s="1375">
        <f t="shared" si="13"/>
        <v>8593.1618356893159</v>
      </c>
      <c r="D74" s="1375">
        <f t="shared" si="13"/>
        <v>6838.19311110524</v>
      </c>
      <c r="E74" s="1375">
        <f t="shared" si="13"/>
        <v>4947.671400357518</v>
      </c>
      <c r="F74" s="1375">
        <f t="shared" si="13"/>
        <v>2917.0610353726952</v>
      </c>
      <c r="G74" s="1375">
        <f t="shared" si="13"/>
        <v>739.62549646518892</v>
      </c>
      <c r="H74" s="1375">
        <f t="shared" ref="H74:K74" si="14">+SUM(H71:H73)</f>
        <v>-1591.5793088413775</v>
      </c>
      <c r="I74" s="1375">
        <f t="shared" si="14"/>
        <v>-4081.7119825443951</v>
      </c>
      <c r="J74" s="1375">
        <f t="shared" si="14"/>
        <v>-6738.1527951801982</v>
      </c>
      <c r="K74" s="1375">
        <f t="shared" si="14"/>
        <v>-7566.5110740914242</v>
      </c>
    </row>
    <row r="75" spans="1:11">
      <c r="A75" s="1373" t="s">
        <v>4129</v>
      </c>
      <c r="B75" s="1375">
        <f t="shared" ref="B75:G75" si="15">-B74</f>
        <v>-10217.91890274614</v>
      </c>
      <c r="C75" s="1375">
        <f t="shared" si="15"/>
        <v>-8593.1618356893159</v>
      </c>
      <c r="D75" s="1375">
        <f t="shared" si="15"/>
        <v>-6838.19311110524</v>
      </c>
      <c r="E75" s="1375">
        <f t="shared" si="15"/>
        <v>-4947.671400357518</v>
      </c>
      <c r="F75" s="1375">
        <f t="shared" si="15"/>
        <v>-2917.0610353726952</v>
      </c>
      <c r="G75" s="1375">
        <f t="shared" si="15"/>
        <v>-739.62549646518892</v>
      </c>
      <c r="H75" s="1375">
        <f t="shared" ref="H75:K75" si="16">-H74</f>
        <v>1591.5793088413775</v>
      </c>
      <c r="I75" s="1375">
        <f t="shared" si="16"/>
        <v>4081.7119825443951</v>
      </c>
      <c r="J75" s="1375">
        <f t="shared" si="16"/>
        <v>6738.1527951801982</v>
      </c>
      <c r="K75" s="1375">
        <f t="shared" si="16"/>
        <v>7566.5110740914242</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444255.45938033983</v>
      </c>
      <c r="C78" s="1374">
        <f>IF($B$26="","",-FV('Part III-Sources of Funds'!$K$37/12,12,C72/12,B78))</f>
        <v>403334.1296170681</v>
      </c>
      <c r="D78" s="1374">
        <f>IF($B$26="","",-FV('Part III-Sources of Funds'!$K$37/12,12,D72/12,C78))</f>
        <v>359672.22261314333</v>
      </c>
      <c r="E78" s="1374">
        <f>IF($B$26="","",-FV('Part III-Sources of Funds'!$K$37/12,12,E72/12,D78))</f>
        <v>313086.19683520286</v>
      </c>
      <c r="F78" s="1374">
        <f>IF($B$26="","",-FV('Part III-Sources of Funds'!$K$37/12,12,F72/12,E78))</f>
        <v>263380.21863347554</v>
      </c>
      <c r="G78" s="1374">
        <f>IF($B$26="","",-FV('Part III-Sources of Funds'!$K$37/12,12,G72/12,F78))</f>
        <v>210345.33901598048</v>
      </c>
      <c r="H78" s="1374">
        <f>IF($B$26="","",-FV('Part III-Sources of Funds'!$K$37/12,12,H72/12,G78))</f>
        <v>153758.61528976989</v>
      </c>
      <c r="I78" s="1374">
        <f>IF($B$26="","",-FV('Part III-Sources of Funds'!$K$37/12,12,I72/12,H78))</f>
        <v>93382.173876858738</v>
      </c>
      <c r="J78" s="1374">
        <f>IF($B$26="","",-FV('Part III-Sources of Funds'!$K$37/12,12,J72/12,I78))</f>
        <v>28962.21036520187</v>
      </c>
      <c r="K78" s="1374">
        <f>IF($B$26="","",-FV('Part III-Sources of Funds'!$K$37/12,12,K72/12,J78))</f>
        <v>-39772.077408766905</v>
      </c>
    </row>
    <row r="79" spans="1:11">
      <c r="A79" s="1373" t="s">
        <v>4130</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5703125" style="686" customWidth="1"/>
    <col min="4" max="4" width="15.42578125" style="686" customWidth="1"/>
    <col min="5" max="5" width="4.5703125" style="686" customWidth="1"/>
    <col min="6" max="9" width="12.5703125" style="686" customWidth="1"/>
    <col min="10" max="10" width="5.140625" style="686" customWidth="1"/>
    <col min="11" max="16384" width="9.140625" style="686"/>
  </cols>
  <sheetData>
    <row r="1" spans="1:11" ht="15.75">
      <c r="A1" s="2213" t="s">
        <v>2935</v>
      </c>
      <c r="B1" s="2213"/>
      <c r="C1" s="2213"/>
      <c r="D1" s="2213"/>
      <c r="E1" s="2213"/>
      <c r="F1" s="2213"/>
      <c r="G1" s="2213"/>
      <c r="H1" s="2213"/>
      <c r="I1" s="2213"/>
      <c r="J1" s="2213"/>
    </row>
    <row r="2" spans="1:11" ht="15.75">
      <c r="A2" s="2213" t="str">
        <f>Overview!C8</f>
        <v>Pointe North Village III</v>
      </c>
      <c r="B2" s="2213"/>
      <c r="C2" s="2213"/>
      <c r="D2" s="2213"/>
      <c r="E2" s="2213"/>
      <c r="F2" s="2213"/>
      <c r="G2" s="2213"/>
      <c r="H2" s="2213"/>
      <c r="I2" s="2213"/>
      <c r="J2" s="2213"/>
    </row>
    <row r="3" spans="1:11" ht="15.75">
      <c r="A3" s="2213" t="str">
        <f>'Subsidy Layering Memo'!F14</f>
        <v>Albany, Dougherty</v>
      </c>
      <c r="B3" s="2213"/>
      <c r="C3" s="2213"/>
      <c r="D3" s="2213"/>
      <c r="E3" s="2213"/>
      <c r="F3" s="2213"/>
      <c r="G3" s="2213"/>
      <c r="H3" s="2213"/>
      <c r="I3" s="2213"/>
      <c r="J3" s="2213"/>
    </row>
    <row r="4" spans="1:11" ht="15.75">
      <c r="A4" s="2214" t="s">
        <v>2936</v>
      </c>
      <c r="B4" s="2213"/>
      <c r="C4" s="2213"/>
      <c r="D4" s="2213"/>
      <c r="E4" s="2213"/>
      <c r="F4" s="2213"/>
      <c r="G4" s="2213"/>
      <c r="H4" s="2213"/>
      <c r="I4" s="2213"/>
      <c r="J4" s="2213"/>
    </row>
    <row r="5" spans="1:11" ht="5.25" customHeight="1"/>
    <row r="6" spans="1:11" ht="5.25" customHeight="1"/>
    <row r="7" spans="1:11" ht="15.75">
      <c r="A7" s="2215" t="s">
        <v>2937</v>
      </c>
      <c r="B7" s="2215"/>
      <c r="C7" s="2216"/>
    </row>
    <row r="8" spans="1:11" ht="102.75" customHeight="1">
      <c r="A8" s="2209" t="s">
        <v>4291</v>
      </c>
      <c r="B8" s="2209"/>
      <c r="C8" s="2209"/>
      <c r="D8" s="2209"/>
      <c r="E8" s="2209"/>
      <c r="F8" s="2209"/>
      <c r="G8" s="2209"/>
      <c r="H8" s="2209"/>
      <c r="I8" s="2209"/>
      <c r="J8" s="2209"/>
      <c r="K8" s="687"/>
    </row>
    <row r="9" spans="1:11" ht="15.75">
      <c r="A9" s="688" t="s">
        <v>2938</v>
      </c>
    </row>
    <row r="10" spans="1:11" ht="21.75" customHeight="1">
      <c r="A10" s="2209" t="str">
        <f>'Subsidy Layering Memo'!A44</f>
        <v xml:space="preserve">Ownership entity:  (NAME) LP, a Georgia Limited Partnership, will be the ownership entity for the proposed project. </v>
      </c>
      <c r="B10" s="2210"/>
      <c r="C10" s="2210"/>
      <c r="D10" s="2210"/>
      <c r="E10" s="2210"/>
      <c r="F10" s="2210"/>
      <c r="G10" s="2210"/>
      <c r="H10" s="2210"/>
      <c r="I10" s="2210"/>
      <c r="J10" s="2209"/>
    </row>
    <row r="11" spans="1:11" ht="63.75" customHeight="1">
      <c r="A11" s="2209" t="s">
        <v>2968</v>
      </c>
      <c r="B11" s="2209"/>
      <c r="C11" s="2209"/>
      <c r="D11" s="2209"/>
      <c r="E11" s="2209"/>
      <c r="F11" s="2209"/>
      <c r="G11" s="2209"/>
      <c r="H11" s="2209"/>
      <c r="I11" s="2209"/>
      <c r="J11" s="2209"/>
    </row>
    <row r="12" spans="1:11" ht="48.75" customHeight="1">
      <c r="A12" s="2209" t="s">
        <v>2969</v>
      </c>
      <c r="B12" s="2209"/>
      <c r="C12" s="2209"/>
      <c r="D12" s="2209"/>
      <c r="E12" s="2209"/>
      <c r="F12" s="2209"/>
      <c r="G12" s="2209"/>
      <c r="H12" s="2209"/>
      <c r="I12" s="2209"/>
      <c r="J12" s="2209"/>
    </row>
    <row r="13" spans="1:11" ht="15.75">
      <c r="A13" s="688" t="s">
        <v>2939</v>
      </c>
      <c r="B13" s="689"/>
    </row>
    <row r="14" spans="1:11">
      <c r="A14" s="686" t="s">
        <v>2940</v>
      </c>
      <c r="E14" s="690" t="s">
        <v>2941</v>
      </c>
    </row>
    <row r="15" spans="1:11">
      <c r="A15" s="686" t="s">
        <v>2942</v>
      </c>
      <c r="D15" s="691">
        <f>Overview!C25</f>
        <v>805000</v>
      </c>
    </row>
    <row r="16" spans="1:11">
      <c r="A16" s="692" t="s">
        <v>2943</v>
      </c>
      <c r="D16" s="693">
        <f>Overview!C13</f>
        <v>54</v>
      </c>
    </row>
    <row r="17" spans="1:11" ht="14.25" customHeight="1"/>
    <row r="18" spans="1:11" ht="15.75">
      <c r="A18" s="688" t="s">
        <v>2944</v>
      </c>
      <c r="B18" s="689"/>
      <c r="C18" s="689"/>
    </row>
    <row r="19" spans="1:11" ht="48.75" customHeight="1">
      <c r="A19" s="2211" t="s">
        <v>2971</v>
      </c>
      <c r="B19" s="2211"/>
      <c r="C19" s="2211"/>
      <c r="D19" s="2211"/>
      <c r="E19" s="2211"/>
      <c r="F19" s="2211"/>
      <c r="G19" s="2211"/>
      <c r="H19" s="2211"/>
      <c r="I19" s="2211"/>
      <c r="J19" s="2211"/>
    </row>
    <row r="20" spans="1:11" ht="72.75" customHeight="1">
      <c r="A20" s="2209" t="s">
        <v>3412</v>
      </c>
      <c r="B20" s="2209"/>
      <c r="C20" s="2209"/>
      <c r="D20" s="2209"/>
      <c r="E20" s="2209"/>
      <c r="F20" s="2209"/>
      <c r="G20" s="2209"/>
      <c r="H20" s="2209"/>
      <c r="I20" s="2209"/>
      <c r="J20" s="2209"/>
    </row>
    <row r="21" spans="1:11" ht="15.75">
      <c r="A21" s="688" t="s">
        <v>2945</v>
      </c>
      <c r="B21" s="689"/>
      <c r="C21" s="689"/>
      <c r="D21" s="689"/>
      <c r="E21" s="689"/>
      <c r="F21" s="689"/>
    </row>
    <row r="22" spans="1:11" ht="102.75" customHeight="1">
      <c r="A22" s="2212" t="s">
        <v>2964</v>
      </c>
      <c r="B22" s="2212"/>
      <c r="C22" s="2212"/>
      <c r="D22" s="2212"/>
      <c r="E22" s="2212"/>
      <c r="F22" s="2212"/>
      <c r="G22" s="2212"/>
      <c r="H22" s="2212"/>
      <c r="I22" s="2212"/>
      <c r="J22" s="2212"/>
      <c r="K22" s="1456"/>
    </row>
    <row r="23" spans="1:11" ht="15" customHeight="1">
      <c r="A23" s="2208"/>
      <c r="B23" s="2208"/>
      <c r="C23" s="2208"/>
      <c r="D23" s="2208"/>
      <c r="E23" s="2208"/>
      <c r="F23" s="2208"/>
      <c r="G23" s="2208"/>
      <c r="H23" s="2208"/>
      <c r="I23" s="2208"/>
      <c r="J23" s="2208"/>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5703125" style="28" customWidth="1"/>
    <col min="8" max="8" width="6.5703125" style="28" customWidth="1"/>
    <col min="9" max="9" width="19.42578125" style="28" customWidth="1"/>
    <col min="10" max="10" width="6.5703125" style="28" customWidth="1"/>
    <col min="11" max="11" width="18.85546875" style="28" customWidth="1"/>
    <col min="12" max="12" width="7.5703125" style="28" customWidth="1"/>
    <col min="13" max="17" width="10.570312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2018-041  Pointe North Village III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3009</v>
      </c>
      <c r="B8" s="689"/>
      <c r="C8" s="2218" t="str">
        <f>'Part I-Project Information'!F34</f>
        <v>Pointe North Village III</v>
      </c>
      <c r="D8" s="2218"/>
      <c r="E8" s="1458" t="str">
        <f>'Part I-Project Information'!O6</f>
        <v>2018-041</v>
      </c>
      <c r="F8" s="728" t="s">
        <v>3010</v>
      </c>
      <c r="G8" s="727"/>
      <c r="H8" s="2218" t="str">
        <f>CONCATENATE('Part I-Project Information'!F38,", ",'Part I-Project Information'!J39)</f>
        <v>Albany, Dougherty</v>
      </c>
      <c r="I8" s="2218"/>
      <c r="J8" s="2218"/>
      <c r="K8" s="2218"/>
      <c r="L8" s="686"/>
      <c r="M8" s="729"/>
    </row>
    <row r="9" spans="1:14" ht="15.75">
      <c r="A9" s="689" t="s">
        <v>3012</v>
      </c>
      <c r="B9" s="689"/>
      <c r="C9" s="2218" t="s">
        <v>1784</v>
      </c>
      <c r="D9" s="2218"/>
      <c r="E9" s="727"/>
      <c r="F9" s="728" t="s">
        <v>3013</v>
      </c>
      <c r="G9" s="727"/>
      <c r="H9" s="2218" t="str">
        <f>'Part II-Development Team'!H5</f>
        <v>Pointe North Village III, LP</v>
      </c>
      <c r="I9" s="2218"/>
      <c r="J9" s="2218"/>
      <c r="K9" s="2218"/>
      <c r="L9" s="2218"/>
      <c r="M9" s="729"/>
    </row>
    <row r="10" spans="1:14" ht="15.75">
      <c r="A10" s="689" t="s">
        <v>3015</v>
      </c>
      <c r="B10" s="686"/>
      <c r="C10" s="1458" t="str">
        <f>'Part II-Development Team'!H14</f>
        <v>Dougherty Housing Ventures III, LLC</v>
      </c>
      <c r="D10" s="727"/>
      <c r="E10" s="727"/>
      <c r="F10" s="728" t="s">
        <v>3584</v>
      </c>
      <c r="G10" s="727"/>
      <c r="H10" s="2218" t="str">
        <f>'Part II-Development Team'!H33</f>
        <v>Affordable Equity Partners, Inc. (PROPOSED)</v>
      </c>
      <c r="I10" s="2218"/>
      <c r="J10" s="2218"/>
      <c r="K10" s="2218" t="str">
        <f>'Part II-Development Team'!H39</f>
        <v>Affordable Equity Partners, Inc. (PROPOSED)</v>
      </c>
      <c r="L10" s="2218"/>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8" t="str">
        <f>'Part II-Development Team'!H54</f>
        <v>Piedmont Housing Group, LLC</v>
      </c>
      <c r="I11" s="2218"/>
      <c r="J11" s="2218"/>
      <c r="K11" s="2218">
        <f>'Part II-Development Team'!H60</f>
        <v>0</v>
      </c>
      <c r="L11" s="2218"/>
      <c r="M11" s="2218">
        <f>'Part II-Development Team'!H66</f>
        <v>0</v>
      </c>
      <c r="N11" s="2218"/>
    </row>
    <row r="12" spans="1:14" ht="15.75">
      <c r="A12" s="689" t="s">
        <v>3017</v>
      </c>
      <c r="B12" s="686"/>
      <c r="C12" s="1458" t="str">
        <f>'Part II-Development Team'!H86</f>
        <v>Fairway Construction Co., Inc.</v>
      </c>
      <c r="D12" s="727"/>
      <c r="E12" s="727"/>
      <c r="F12" s="728" t="s">
        <v>3018</v>
      </c>
      <c r="G12" s="727"/>
      <c r="H12" s="2218" t="str">
        <f>'Part II-Development Team'!H92</f>
        <v>Fairway Management, Inc.</v>
      </c>
      <c r="I12" s="2218"/>
      <c r="J12" s="2218"/>
      <c r="K12" s="2218"/>
      <c r="L12" s="686"/>
      <c r="M12" s="686"/>
    </row>
    <row r="13" spans="1:14" ht="15.75">
      <c r="A13" s="689" t="s">
        <v>3019</v>
      </c>
      <c r="B13" s="728"/>
      <c r="C13" s="685">
        <f>'Part VI-Revenues &amp; Expenses'!$O$62</f>
        <v>54</v>
      </c>
      <c r="E13" s="1389">
        <f>'Part VI-Revenues &amp; Expenses'!$O$58</f>
        <v>54</v>
      </c>
      <c r="F13" s="728" t="s">
        <v>4301</v>
      </c>
      <c r="G13" s="727"/>
      <c r="H13" s="1459">
        <f>'Part I-Project Information'!H72</f>
        <v>3</v>
      </c>
      <c r="I13" s="1390"/>
      <c r="J13" s="1390"/>
      <c r="K13" s="1459">
        <f>'Part I-Project Information'!P71</f>
        <v>56900</v>
      </c>
      <c r="L13" s="686"/>
      <c r="M13" s="686"/>
    </row>
    <row r="14" spans="1:14" ht="15.75">
      <c r="A14" s="689" t="s">
        <v>3327</v>
      </c>
      <c r="B14" s="686"/>
      <c r="C14" s="1459" t="str">
        <f>'Part I-Project Information'!H78</f>
        <v>Family</v>
      </c>
      <c r="D14" s="2218" t="str">
        <f>IF('Part I-Project Information'!N70=0,"",'Part I-Project Information'!N70)</f>
        <v/>
      </c>
      <c r="E14" s="2218"/>
      <c r="F14" s="728" t="s">
        <v>3020</v>
      </c>
      <c r="G14" s="727"/>
      <c r="H14" s="2223" t="s">
        <v>3523</v>
      </c>
      <c r="I14" s="2223"/>
      <c r="J14" s="2223"/>
      <c r="K14" s="2223" t="s">
        <v>3523</v>
      </c>
      <c r="L14" s="2223"/>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10235578.982141985</v>
      </c>
      <c r="D18" s="1437">
        <f>IF(C18=0,"",$C$29/C18)</f>
        <v>7.8647236409829235E-2</v>
      </c>
      <c r="E18" s="727" t="s">
        <v>3331</v>
      </c>
      <c r="F18" s="728" t="s">
        <v>3332</v>
      </c>
      <c r="G18" s="727"/>
      <c r="H18" s="2217">
        <f>'Part IV-A-Uses of Funds'!B44</f>
        <v>6653610</v>
      </c>
      <c r="I18" s="2217"/>
      <c r="J18" s="1436">
        <f>IF(H18=0,"",$C$29/H18)</f>
        <v>0.12098695294734738</v>
      </c>
      <c r="K18" s="2218" t="s">
        <v>3333</v>
      </c>
      <c r="L18" s="2218"/>
      <c r="M18" s="686"/>
    </row>
    <row r="19" spans="1:13" ht="15.75">
      <c r="A19" s="689" t="s">
        <v>3022</v>
      </c>
      <c r="B19" s="686"/>
      <c r="C19" s="1460">
        <f>C18/C13</f>
        <v>189547.75892855527</v>
      </c>
      <c r="D19" s="727"/>
      <c r="E19" s="686"/>
      <c r="F19" s="689" t="s">
        <v>3022</v>
      </c>
      <c r="G19" s="686"/>
      <c r="H19" s="2219">
        <f>H18/C13</f>
        <v>123215</v>
      </c>
      <c r="I19" s="2219"/>
      <c r="J19" s="686"/>
      <c r="K19" s="686"/>
      <c r="L19" s="686"/>
      <c r="M19" s="686"/>
    </row>
    <row r="20" spans="1:13" ht="15.75">
      <c r="A20" s="689" t="s">
        <v>3023</v>
      </c>
      <c r="B20" s="686"/>
      <c r="C20" s="1462">
        <f>C18/K13</f>
        <v>179.88715258597512</v>
      </c>
      <c r="D20" s="732"/>
      <c r="E20" s="733"/>
      <c r="F20" s="689" t="s">
        <v>3023</v>
      </c>
      <c r="G20" s="686"/>
      <c r="H20" s="2220">
        <f>H18/K13</f>
        <v>116.93514938488576</v>
      </c>
      <c r="I20" s="2219"/>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v>
      </c>
      <c r="C25" s="739">
        <f>'Part III-Sources of Funds'!I37</f>
        <v>805000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805000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9429635</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805000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7.8647236409829235E-2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0.12098695294734738</v>
      </c>
      <c r="D40" s="686"/>
      <c r="E40" s="686"/>
      <c r="F40" s="689"/>
      <c r="G40" s="689" t="s">
        <v>3043</v>
      </c>
      <c r="H40" s="686"/>
      <c r="I40" s="686"/>
      <c r="K40" s="741">
        <f>C30/C18</f>
        <v>0.92126053801664609</v>
      </c>
      <c r="L40" s="686"/>
      <c r="M40" s="686"/>
    </row>
    <row r="46" spans="1:13" ht="15.75">
      <c r="A46" s="752" t="s">
        <v>3044</v>
      </c>
      <c r="B46" s="722"/>
      <c r="C46" s="722"/>
      <c r="D46" s="722"/>
      <c r="E46" s="722"/>
      <c r="F46" s="722"/>
      <c r="G46" s="722"/>
      <c r="H46" s="722"/>
      <c r="I46" s="722"/>
      <c r="J46" s="722"/>
      <c r="K46" s="722"/>
      <c r="L46" s="722"/>
      <c r="M46" s="686"/>
    </row>
    <row r="47" spans="1:13" ht="15.75">
      <c r="A47" s="752" t="str">
        <f>C8</f>
        <v>Pointe North Village III</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1" t="s">
        <v>3047</v>
      </c>
      <c r="L50" s="2222"/>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368616</v>
      </c>
      <c r="D52" s="758"/>
      <c r="E52" s="758">
        <f>$C$52</f>
        <v>368616</v>
      </c>
      <c r="F52" s="758"/>
      <c r="G52" s="758">
        <f>$C$52</f>
        <v>368616</v>
      </c>
      <c r="H52" s="758"/>
      <c r="I52" s="758">
        <f>$C$52</f>
        <v>368616</v>
      </c>
      <c r="J52" s="758"/>
      <c r="K52" s="758">
        <f>$C$52</f>
        <v>368616</v>
      </c>
      <c r="L52" s="759"/>
      <c r="M52" s="28"/>
      <c r="N52" s="28"/>
    </row>
    <row r="53" spans="1:14" s="686" customFormat="1" ht="18.75" customHeight="1">
      <c r="B53" s="757" t="s">
        <v>3051</v>
      </c>
      <c r="C53" s="758">
        <f>'Part VII-Pro Forma'!B15</f>
        <v>7372.32</v>
      </c>
      <c r="D53" s="758"/>
      <c r="E53" s="758">
        <f>$C$53</f>
        <v>7372.32</v>
      </c>
      <c r="F53" s="758"/>
      <c r="G53" s="758">
        <f>$C$53</f>
        <v>7372.32</v>
      </c>
      <c r="H53" s="758"/>
      <c r="I53" s="758">
        <f>$C$53</f>
        <v>7372.32</v>
      </c>
      <c r="J53" s="758"/>
      <c r="K53" s="758">
        <f>$C$53</f>
        <v>7372.32</v>
      </c>
      <c r="L53" s="759"/>
      <c r="M53" s="28"/>
      <c r="N53" s="28"/>
    </row>
    <row r="54" spans="1:14" s="686" customFormat="1" ht="18.75" customHeight="1">
      <c r="B54" s="757" t="s">
        <v>3049</v>
      </c>
      <c r="C54" s="758">
        <f>'Part VII-Pro Forma'!B16</f>
        <v>-26319.182400000002</v>
      </c>
      <c r="D54" s="758"/>
      <c r="E54" s="758">
        <f>-($C$52+E53)*F50</f>
        <v>-37598.832000000002</v>
      </c>
      <c r="F54" s="760"/>
      <c r="G54" s="758">
        <f>-($C$52+G53)*0.07</f>
        <v>-26319.182400000002</v>
      </c>
      <c r="H54" s="758"/>
      <c r="I54" s="758">
        <f>-($C$52+I53)*0.07</f>
        <v>-26319.182400000002</v>
      </c>
      <c r="J54" s="758"/>
      <c r="K54" s="758">
        <f>-($C$52+K53)*L54</f>
        <v>-37598.832000000002</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349669.13760000002</v>
      </c>
      <c r="D56" s="758"/>
      <c r="E56" s="764">
        <f>SUM(E52:E55)</f>
        <v>338389.48800000001</v>
      </c>
      <c r="F56" s="758"/>
      <c r="G56" s="764">
        <f>SUM(G52:G55)</f>
        <v>349669.13760000002</v>
      </c>
      <c r="H56" s="758"/>
      <c r="I56" s="764">
        <f>SUM(I52:I55)</f>
        <v>349669.13760000002</v>
      </c>
      <c r="J56" s="758"/>
      <c r="K56" s="764">
        <f>SUM(K52:K55)</f>
        <v>338389.48800000001</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98201.95</v>
      </c>
      <c r="D58" s="758"/>
      <c r="E58" s="758">
        <f>$C$58</f>
        <v>98201.95</v>
      </c>
      <c r="F58" s="758"/>
      <c r="G58" s="758">
        <f>$C$58</f>
        <v>98201.95</v>
      </c>
      <c r="H58" s="758"/>
      <c r="I58" s="758">
        <f>$C$58</f>
        <v>98201.95</v>
      </c>
      <c r="J58" s="758"/>
      <c r="K58" s="758">
        <f>$C$58</f>
        <v>98201.95</v>
      </c>
      <c r="L58" s="759"/>
      <c r="M58" s="28"/>
      <c r="N58" s="28"/>
    </row>
    <row r="59" spans="1:14" s="686" customFormat="1" ht="18.75" customHeight="1">
      <c r="B59" s="757" t="s">
        <v>3054</v>
      </c>
      <c r="C59" s="758">
        <f>+'Part VI-Revenues &amp; Expenses'!F188</f>
        <v>45000</v>
      </c>
      <c r="D59" s="758"/>
      <c r="E59" s="758">
        <f>$C$59</f>
        <v>45000</v>
      </c>
      <c r="F59" s="758"/>
      <c r="G59" s="758">
        <f>$C$59</f>
        <v>45000</v>
      </c>
      <c r="H59" s="758"/>
      <c r="I59" s="758">
        <f>$C$59</f>
        <v>45000</v>
      </c>
      <c r="J59" s="758"/>
      <c r="K59" s="758">
        <f>$C$59*(1+$L$59)</f>
        <v>46800</v>
      </c>
      <c r="L59" s="766">
        <v>0.04</v>
      </c>
      <c r="M59" s="28"/>
      <c r="N59" s="28"/>
    </row>
    <row r="60" spans="1:14" s="686" customFormat="1" ht="18.75" customHeight="1">
      <c r="B60" s="757" t="s">
        <v>1387</v>
      </c>
      <c r="C60" s="758">
        <f>+'Part VI-Revenues &amp; Expenses'!K185</f>
        <v>36900</v>
      </c>
      <c r="D60" s="758"/>
      <c r="E60" s="758">
        <f>$C$60</f>
        <v>36900</v>
      </c>
      <c r="F60" s="758"/>
      <c r="G60" s="758">
        <f>$C$60</f>
        <v>36900</v>
      </c>
      <c r="H60" s="758"/>
      <c r="I60" s="758">
        <f>$C$60*(1+$J$50)</f>
        <v>38007</v>
      </c>
      <c r="J60" s="760"/>
      <c r="K60" s="758">
        <f>$C$60*(1+$J$50)</f>
        <v>38007</v>
      </c>
      <c r="L60" s="761">
        <v>0.03</v>
      </c>
      <c r="M60" s="28"/>
      <c r="N60" s="28"/>
    </row>
    <row r="61" spans="1:14" s="686" customFormat="1" ht="18.75" customHeight="1">
      <c r="B61" s="757" t="s">
        <v>1388</v>
      </c>
      <c r="C61" s="758">
        <f>+'Part VI-Revenues &amp; Expenses'!P167</f>
        <v>47575.05</v>
      </c>
      <c r="D61" s="758"/>
      <c r="E61" s="758">
        <f>$C$61</f>
        <v>47575.05</v>
      </c>
      <c r="F61" s="758"/>
      <c r="G61" s="758">
        <f>$C$61*(1+H50)</f>
        <v>49953.802500000005</v>
      </c>
      <c r="H61" s="760"/>
      <c r="I61" s="758">
        <f>$C$61</f>
        <v>47575.05</v>
      </c>
      <c r="J61" s="758"/>
      <c r="K61" s="758">
        <f>$C$61*(1+$L$61)</f>
        <v>49953.802500000005</v>
      </c>
      <c r="L61" s="761">
        <v>0.05</v>
      </c>
      <c r="M61" s="28"/>
      <c r="N61" s="28"/>
    </row>
    <row r="62" spans="1:14" s="686" customFormat="1" ht="18.75" customHeight="1">
      <c r="B62" s="763" t="s">
        <v>3055</v>
      </c>
      <c r="C62" s="764">
        <f>SUM(C58:C61)</f>
        <v>227677</v>
      </c>
      <c r="D62" s="758"/>
      <c r="E62" s="764">
        <f>SUM(E58:E61)</f>
        <v>227677</v>
      </c>
      <c r="F62" s="758"/>
      <c r="G62" s="764">
        <f>SUM(G58:G61)</f>
        <v>230055.7525</v>
      </c>
      <c r="H62" s="758"/>
      <c r="I62" s="764">
        <f>SUM(I58:I61)</f>
        <v>228784</v>
      </c>
      <c r="J62" s="758"/>
      <c r="K62" s="764">
        <f>SUM(K58:K61)</f>
        <v>232962.7525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121992.13760000002</v>
      </c>
      <c r="D64" s="770"/>
      <c r="E64" s="770">
        <f>E56-E62</f>
        <v>110712.48800000001</v>
      </c>
      <c r="F64" s="770"/>
      <c r="G64" s="770">
        <f>G56-G62</f>
        <v>119613.38510000001</v>
      </c>
      <c r="H64" s="770"/>
      <c r="I64" s="770">
        <f>I56-I62</f>
        <v>120885.13760000002</v>
      </c>
      <c r="J64" s="770"/>
      <c r="K64" s="770">
        <f>K56-K62</f>
        <v>105426.73550000001</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13500</v>
      </c>
      <c r="D66" s="765"/>
      <c r="E66" s="765">
        <f>$C$66</f>
        <v>13500</v>
      </c>
      <c r="F66" s="765"/>
      <c r="G66" s="765">
        <f>$C$66</f>
        <v>13500</v>
      </c>
      <c r="H66" s="765"/>
      <c r="I66" s="765">
        <f>$C$66</f>
        <v>13500</v>
      </c>
      <c r="J66" s="765"/>
      <c r="K66" s="765">
        <f>$C$66</f>
        <v>13500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17483</v>
      </c>
      <c r="D68" s="765"/>
      <c r="E68" s="765">
        <f>$C$68</f>
        <v>17483</v>
      </c>
      <c r="F68" s="765"/>
      <c r="G68" s="765">
        <f>$C$68</f>
        <v>17483</v>
      </c>
      <c r="H68" s="765"/>
      <c r="I68" s="765">
        <f>$C$68</f>
        <v>17483</v>
      </c>
      <c r="J68" s="765"/>
      <c r="K68" s="765">
        <f>$C$68</f>
        <v>17483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91009.137600000016</v>
      </c>
      <c r="D70" s="774"/>
      <c r="E70" s="773">
        <f>E64-E66-E68</f>
        <v>79729.488000000012</v>
      </c>
      <c r="F70" s="774"/>
      <c r="G70" s="773">
        <f>G64-G66-G68</f>
        <v>88630.385100000014</v>
      </c>
      <c r="H70" s="774"/>
      <c r="I70" s="773">
        <f>I64-I66-I68</f>
        <v>89902.137600000016</v>
      </c>
      <c r="J70" s="774"/>
      <c r="K70" s="773">
        <f>K64-K66-K68</f>
        <v>74443.73550000001</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1.4905414332358478</v>
      </c>
      <c r="D72" s="776"/>
      <c r="E72" s="1438">
        <f>-E70/E75</f>
        <v>1.3058041032868806</v>
      </c>
      <c r="F72" s="776"/>
      <c r="G72" s="1438">
        <f>-G70/G75</f>
        <v>1.4515823874283051</v>
      </c>
      <c r="H72" s="776"/>
      <c r="I72" s="1438">
        <f>-I70/I75</f>
        <v>1.4724110629224378</v>
      </c>
      <c r="J72" s="776"/>
      <c r="K72" s="1438">
        <f>-K70/K75</f>
        <v>1.2192344102335539</v>
      </c>
      <c r="L72" s="777"/>
      <c r="M72" s="254"/>
      <c r="N72" s="254"/>
    </row>
    <row r="73" spans="1:14" s="686" customFormat="1" ht="18.75" customHeight="1">
      <c r="A73" s="28"/>
      <c r="B73" s="757" t="s">
        <v>3061</v>
      </c>
      <c r="C73" s="1439">
        <f>C76/C62</f>
        <v>0.13155200802268002</v>
      </c>
      <c r="D73" s="778"/>
      <c r="E73" s="1439">
        <f>E76/E62</f>
        <v>8.2009675683445027E-2</v>
      </c>
      <c r="F73" s="778"/>
      <c r="G73" s="1439">
        <f>G76/G62</f>
        <v>0.11985187821191176</v>
      </c>
      <c r="H73" s="778"/>
      <c r="I73" s="1439">
        <f>I76/I62</f>
        <v>0.12607685209883435</v>
      </c>
      <c r="J73" s="778"/>
      <c r="K73" s="1439">
        <f>K76/K62</f>
        <v>5.7459676651870399E-2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-61057.771069420298</v>
      </c>
      <c r="D75" s="758"/>
      <c r="E75" s="758">
        <f>$C$75</f>
        <v>-61057.771069420298</v>
      </c>
      <c r="F75" s="758"/>
      <c r="G75" s="758">
        <f>$C$75</f>
        <v>-61057.771069420298</v>
      </c>
      <c r="H75" s="758"/>
      <c r="I75" s="758">
        <f>$C$75</f>
        <v>-61057.771069420298</v>
      </c>
      <c r="J75" s="758"/>
      <c r="K75" s="758">
        <f>$C$75</f>
        <v>-61057.771069420298</v>
      </c>
      <c r="L75" s="34"/>
      <c r="M75" s="28"/>
      <c r="N75" s="28"/>
    </row>
    <row r="76" spans="1:14" s="686" customFormat="1" ht="18.75" customHeight="1">
      <c r="A76" s="28"/>
      <c r="B76" s="757" t="s">
        <v>1175</v>
      </c>
      <c r="C76" s="758">
        <f>C70+C75</f>
        <v>29951.366530579719</v>
      </c>
      <c r="D76" s="758"/>
      <c r="E76" s="758">
        <f>E70+E75</f>
        <v>18671.716930579714</v>
      </c>
      <c r="F76" s="758"/>
      <c r="G76" s="758">
        <f>G70+G75</f>
        <v>27572.614030579716</v>
      </c>
      <c r="H76" s="758"/>
      <c r="I76" s="758">
        <f>I70+I75</f>
        <v>28844.366530579719</v>
      </c>
      <c r="J76" s="758"/>
      <c r="K76" s="758">
        <f>K70+K75</f>
        <v>13385.964430579712</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5703125" style="698" customWidth="1"/>
    <col min="3" max="3" width="14.85546875" style="698" customWidth="1"/>
    <col min="4" max="4" width="20.425781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425781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Pointe North Village III</v>
      </c>
    </row>
    <row r="13" spans="1:10" ht="15">
      <c r="A13" s="699"/>
      <c r="D13" s="698" t="s">
        <v>2959</v>
      </c>
      <c r="F13" s="1467" t="str">
        <f>Overview!E8</f>
        <v>2018-041</v>
      </c>
    </row>
    <row r="14" spans="1:10" ht="15">
      <c r="A14" s="699"/>
      <c r="D14" s="698" t="s">
        <v>2960</v>
      </c>
      <c r="F14" s="1467" t="str">
        <f>Overview!H8</f>
        <v>Albany, Dougherty</v>
      </c>
    </row>
    <row r="15" spans="1:10" ht="15">
      <c r="A15" s="699"/>
      <c r="D15" s="698" t="s">
        <v>3324</v>
      </c>
      <c r="F15" s="2224">
        <f>Overview!$C$25</f>
        <v>805000</v>
      </c>
      <c r="G15" s="2224"/>
      <c r="H15" s="2224"/>
    </row>
    <row r="16" spans="1:10" ht="15">
      <c r="A16" s="699"/>
      <c r="D16" s="701" t="s">
        <v>2961</v>
      </c>
      <c r="F16" s="702">
        <f>Overview!C13</f>
        <v>54</v>
      </c>
      <c r="G16" s="703" t="s">
        <v>3325</v>
      </c>
      <c r="H16" s="1391">
        <f>Overview!E13</f>
        <v>54</v>
      </c>
    </row>
    <row r="17" spans="1:18" ht="15">
      <c r="A17" s="699"/>
      <c r="D17" s="701" t="s">
        <v>2924</v>
      </c>
      <c r="F17" s="702" t="str">
        <f>Overview!C14</f>
        <v>Family</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2231" t="s">
        <v>3522</v>
      </c>
      <c r="B22" s="2231"/>
      <c r="C22" s="2231"/>
      <c r="D22" s="2231"/>
      <c r="E22" s="2231"/>
      <c r="F22" s="2231"/>
      <c r="G22" s="2231"/>
      <c r="H22" s="2231"/>
      <c r="I22" s="2231"/>
      <c r="J22" s="2231"/>
      <c r="L22" s="2239" t="s">
        <v>3334</v>
      </c>
      <c r="M22" s="2239"/>
      <c r="N22" s="2239"/>
      <c r="O22" s="2239"/>
      <c r="P22" s="2239"/>
      <c r="Q22" s="2239"/>
      <c r="R22" s="2239"/>
    </row>
    <row r="23" spans="1:18" ht="0.75" hidden="1" customHeight="1">
      <c r="A23" s="1457"/>
      <c r="B23" s="1457"/>
      <c r="C23" s="1457"/>
      <c r="D23" s="1457"/>
      <c r="E23" s="1457"/>
      <c r="F23" s="1457"/>
      <c r="G23" s="1457"/>
      <c r="H23" s="1457"/>
      <c r="I23" s="1457"/>
      <c r="J23" s="1457"/>
    </row>
    <row r="24" spans="1:18" ht="9.75" hidden="1" customHeight="1">
      <c r="A24" s="2240"/>
      <c r="B24" s="2240"/>
      <c r="C24" s="2240"/>
      <c r="D24" s="2240"/>
      <c r="E24" s="2240"/>
      <c r="F24" s="2240"/>
      <c r="G24" s="2240"/>
      <c r="H24" s="2240"/>
      <c r="I24" s="2240"/>
      <c r="J24" s="2240"/>
    </row>
    <row r="25" spans="1:18" ht="10.5" hidden="1" customHeight="1">
      <c r="A25" s="2241"/>
      <c r="B25" s="2241"/>
      <c r="C25" s="2241"/>
      <c r="D25" s="2241"/>
      <c r="E25" s="2241"/>
      <c r="F25" s="2241"/>
      <c r="G25" s="2241"/>
      <c r="H25" s="2241"/>
      <c r="I25" s="2241"/>
      <c r="J25" s="2241"/>
    </row>
    <row r="26" spans="1:18" ht="15">
      <c r="A26" s="704" t="s">
        <v>2963</v>
      </c>
    </row>
    <row r="27" spans="1:18" ht="14.25" customHeight="1">
      <c r="A27" s="2242" t="s">
        <v>2964</v>
      </c>
      <c r="B27" s="2242"/>
      <c r="C27" s="2242"/>
      <c r="D27" s="2242"/>
      <c r="E27" s="2242"/>
      <c r="F27" s="2242"/>
      <c r="G27" s="2242"/>
      <c r="H27" s="2242"/>
      <c r="I27" s="2242"/>
      <c r="J27" s="2242"/>
    </row>
    <row r="28" spans="1:18" ht="14.25" customHeight="1">
      <c r="A28" s="2242"/>
      <c r="B28" s="2242"/>
      <c r="C28" s="2242"/>
      <c r="D28" s="2242"/>
      <c r="E28" s="2242"/>
      <c r="F28" s="2242"/>
      <c r="G28" s="2242"/>
      <c r="H28" s="2242"/>
      <c r="I28" s="2242"/>
      <c r="J28" s="2242"/>
    </row>
    <row r="29" spans="1:18" ht="6.75" customHeight="1">
      <c r="A29" s="2242"/>
      <c r="B29" s="2242"/>
      <c r="C29" s="2242"/>
      <c r="D29" s="2242"/>
      <c r="E29" s="2242"/>
      <c r="F29" s="2242"/>
      <c r="G29" s="2242"/>
      <c r="H29" s="2242"/>
      <c r="I29" s="2242"/>
      <c r="J29" s="2242"/>
    </row>
    <row r="30" spans="1:18" ht="14.25" customHeight="1">
      <c r="A30" s="2242"/>
      <c r="B30" s="2242"/>
      <c r="C30" s="2242"/>
      <c r="D30" s="2242"/>
      <c r="E30" s="2242"/>
      <c r="F30" s="2242"/>
      <c r="G30" s="2242"/>
      <c r="H30" s="2242"/>
      <c r="I30" s="2242"/>
      <c r="J30" s="2242"/>
    </row>
    <row r="31" spans="1:18" ht="14.25" customHeight="1">
      <c r="A31" s="2242"/>
      <c r="B31" s="2242"/>
      <c r="C31" s="2242"/>
      <c r="D31" s="2242"/>
      <c r="E31" s="2242"/>
      <c r="F31" s="2242"/>
      <c r="G31" s="2242"/>
      <c r="H31" s="2242"/>
      <c r="I31" s="2242"/>
      <c r="J31" s="2242"/>
    </row>
    <row r="32" spans="1:18" ht="54.75" customHeight="1">
      <c r="A32" s="2242"/>
      <c r="B32" s="2242"/>
      <c r="C32" s="2242"/>
      <c r="D32" s="2242"/>
      <c r="E32" s="2242"/>
      <c r="F32" s="2242"/>
      <c r="G32" s="2242"/>
      <c r="H32" s="2242"/>
      <c r="I32" s="2242"/>
      <c r="J32" s="2242"/>
    </row>
    <row r="33" spans="1:10" ht="0.75" hidden="1" customHeight="1">
      <c r="A33" s="2242"/>
      <c r="B33" s="2242"/>
      <c r="C33" s="2242"/>
      <c r="D33" s="2242"/>
      <c r="E33" s="2242"/>
      <c r="F33" s="2242"/>
      <c r="G33" s="2242"/>
      <c r="H33" s="2242"/>
      <c r="I33" s="2242"/>
      <c r="J33" s="2242"/>
    </row>
    <row r="34" spans="1:10" ht="3.75" hidden="1" customHeight="1">
      <c r="A34" s="2242"/>
      <c r="B34" s="2242"/>
      <c r="C34" s="2242"/>
      <c r="D34" s="2242"/>
      <c r="E34" s="2242"/>
      <c r="F34" s="2242"/>
      <c r="G34" s="2242"/>
      <c r="H34" s="2242"/>
      <c r="I34" s="2242"/>
      <c r="J34" s="2242"/>
    </row>
    <row r="35" spans="1:10" ht="5.25" customHeight="1">
      <c r="A35" s="1464"/>
      <c r="B35" s="1464"/>
      <c r="C35" s="1464"/>
      <c r="D35" s="1464"/>
      <c r="E35" s="1464"/>
      <c r="F35" s="1464"/>
      <c r="G35" s="1464"/>
      <c r="H35" s="1464"/>
      <c r="I35" s="1464"/>
      <c r="J35" s="1464"/>
    </row>
    <row r="36" spans="1:10" ht="19.5" customHeight="1">
      <c r="A36" s="2240" t="s">
        <v>2965</v>
      </c>
      <c r="B36" s="2240"/>
      <c r="C36" s="2240"/>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2966</v>
      </c>
    </row>
    <row r="41" spans="1:10" ht="135" customHeight="1">
      <c r="A41" s="2241" t="s">
        <v>4292</v>
      </c>
      <c r="B41" s="2241"/>
      <c r="C41" s="2241"/>
      <c r="D41" s="2241"/>
      <c r="E41" s="2241"/>
      <c r="F41" s="2241"/>
      <c r="G41" s="2241"/>
      <c r="H41" s="2241"/>
      <c r="I41" s="2241"/>
      <c r="J41" s="2241"/>
    </row>
    <row r="42" spans="1:10" ht="6" customHeight="1">
      <c r="A42" s="1463"/>
      <c r="B42" s="1463"/>
      <c r="C42" s="1463"/>
      <c r="D42" s="1463"/>
      <c r="E42" s="1463"/>
      <c r="F42" s="1463"/>
      <c r="G42" s="1463"/>
      <c r="H42" s="1463"/>
      <c r="I42" s="1463"/>
      <c r="J42" s="1463"/>
    </row>
    <row r="43" spans="1:10" ht="15">
      <c r="A43" s="704" t="s">
        <v>2967</v>
      </c>
    </row>
    <row r="44" spans="1:10" ht="33" customHeight="1">
      <c r="A44" s="2209" t="s">
        <v>4302</v>
      </c>
      <c r="B44" s="2210"/>
      <c r="C44" s="2210"/>
      <c r="D44" s="2210"/>
      <c r="E44" s="2210"/>
      <c r="F44" s="2210"/>
      <c r="G44" s="2210"/>
      <c r="H44" s="2210"/>
      <c r="I44" s="2210"/>
      <c r="J44" s="2209"/>
    </row>
    <row r="45" spans="1:10" ht="3" customHeight="1"/>
    <row r="46" spans="1:10" ht="72.75" customHeight="1">
      <c r="A46" s="2209" t="s">
        <v>4303</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4304</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4305</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30" t="s">
        <v>3335</v>
      </c>
      <c r="B52" s="2228"/>
      <c r="C52" s="2228"/>
      <c r="D52" s="2228"/>
      <c r="E52" s="2228"/>
      <c r="F52" s="2228"/>
      <c r="G52" s="2228"/>
      <c r="H52" s="2228"/>
      <c r="I52" s="2228"/>
      <c r="J52" s="1457"/>
    </row>
    <row r="53" spans="1:17" ht="3" customHeight="1">
      <c r="A53" s="1457"/>
      <c r="B53" s="1457"/>
      <c r="C53" s="1457"/>
      <c r="D53" s="1457"/>
      <c r="E53" s="1457"/>
      <c r="F53" s="1457"/>
      <c r="G53" s="1457"/>
      <c r="H53" s="1457"/>
      <c r="I53" s="1457"/>
      <c r="J53" s="1457"/>
    </row>
    <row r="54" spans="1:17" ht="62.25" customHeight="1">
      <c r="A54" s="2228" t="s">
        <v>4306</v>
      </c>
      <c r="B54" s="2228"/>
      <c r="C54" s="2228"/>
      <c r="D54" s="2228"/>
      <c r="E54" s="2228"/>
      <c r="F54" s="2228"/>
      <c r="G54" s="2228"/>
      <c r="H54" s="2228"/>
      <c r="I54" s="2228"/>
      <c r="J54" s="2228"/>
    </row>
    <row r="55" spans="1:17" ht="3" customHeight="1"/>
    <row r="56" spans="1:17" ht="73.5" customHeight="1">
      <c r="A56" s="2209" t="s">
        <v>4307</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1" t="s">
        <v>2971</v>
      </c>
      <c r="B59" s="2231"/>
      <c r="C59" s="2231"/>
      <c r="D59" s="2231"/>
      <c r="E59" s="2231"/>
      <c r="F59" s="2231"/>
      <c r="G59" s="2231"/>
      <c r="H59" s="2231"/>
      <c r="I59" s="2231"/>
      <c r="J59" s="2231"/>
      <c r="L59" s="706">
        <f>'Closing term sheet'!C133</f>
        <v>611017.99107099266</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8" t="s">
        <v>3412</v>
      </c>
      <c r="B61" s="2228"/>
      <c r="C61" s="2228"/>
      <c r="D61" s="2228"/>
      <c r="E61" s="2228"/>
      <c r="F61" s="2228"/>
      <c r="G61" s="2228"/>
      <c r="H61" s="2228"/>
      <c r="I61" s="2228"/>
      <c r="J61" s="711"/>
      <c r="L61" s="712">
        <f>'Part III-Sources of Funds'!I49</f>
        <v>6569828</v>
      </c>
      <c r="M61" s="713">
        <f>'Part IV-A-Uses of Funds'!$J$175</f>
        <v>772998</v>
      </c>
      <c r="N61" s="714">
        <f>'Part IV-A-Uses of Funds'!N168</f>
        <v>0.85</v>
      </c>
      <c r="O61" s="712">
        <f>'Part III-Sources of Funds'!I50</f>
        <v>2859807</v>
      </c>
      <c r="P61" s="713">
        <f>M61</f>
        <v>772998</v>
      </c>
      <c r="Q61" s="714">
        <f>'Part IV-A-Uses of Funds'!Q168</f>
        <v>0.37</v>
      </c>
    </row>
    <row r="62" spans="1:17" ht="18.75" customHeight="1">
      <c r="A62" s="715" t="s">
        <v>2972</v>
      </c>
    </row>
    <row r="63" spans="1:17" ht="159.75" customHeight="1">
      <c r="A63" s="2228" t="s">
        <v>4308</v>
      </c>
      <c r="B63" s="2228"/>
      <c r="C63" s="2228"/>
      <c r="D63" s="2228"/>
      <c r="E63" s="2228"/>
      <c r="F63" s="2228"/>
      <c r="G63" s="2228"/>
      <c r="H63" s="2228"/>
      <c r="I63" s="2228"/>
      <c r="J63" s="2228"/>
      <c r="L63" s="716">
        <f>'Part VII-Pro Forma'!K67</f>
        <v>448105.52452721621</v>
      </c>
      <c r="M63" s="2232" t="s">
        <v>3521</v>
      </c>
      <c r="N63" s="2233"/>
    </row>
    <row r="64" spans="1:17" ht="6" customHeight="1">
      <c r="A64" s="704"/>
    </row>
    <row r="65" spans="1:10" ht="15">
      <c r="A65" s="704" t="s">
        <v>2973</v>
      </c>
    </row>
    <row r="66" spans="1:10" ht="66.75" customHeight="1">
      <c r="A66" s="2228" t="s">
        <v>2974</v>
      </c>
      <c r="B66" s="2228"/>
      <c r="C66" s="2228"/>
      <c r="D66" s="2228"/>
      <c r="E66" s="2228"/>
      <c r="F66" s="2228"/>
      <c r="G66" s="2228"/>
      <c r="H66" s="2228"/>
      <c r="I66" s="2228"/>
      <c r="J66" s="2228"/>
    </row>
    <row r="67" spans="1:10" ht="36" customHeight="1">
      <c r="A67" s="2228" t="s">
        <v>2975</v>
      </c>
      <c r="B67" s="2228"/>
      <c r="C67" s="2228"/>
      <c r="D67" s="2228"/>
      <c r="E67" s="2228"/>
      <c r="F67" s="2228"/>
      <c r="G67" s="2228"/>
      <c r="H67" s="2228"/>
      <c r="I67" s="2228"/>
      <c r="J67" s="2228"/>
    </row>
    <row r="68" spans="1:10" ht="6" customHeight="1">
      <c r="A68" s="704"/>
    </row>
    <row r="69" spans="1:10" ht="15">
      <c r="A69" s="704" t="s">
        <v>2976</v>
      </c>
    </row>
    <row r="70" spans="1:10" ht="105.75" customHeight="1">
      <c r="A70" s="2209" t="s">
        <v>2977</v>
      </c>
      <c r="B70" s="2209"/>
      <c r="C70" s="2209"/>
      <c r="D70" s="2209"/>
      <c r="E70" s="2209"/>
      <c r="F70" s="2209"/>
      <c r="G70" s="2209"/>
      <c r="H70" s="2209"/>
      <c r="I70" s="2209"/>
      <c r="J70" s="2209"/>
    </row>
    <row r="71" spans="1:10" ht="6" customHeight="1">
      <c r="A71" s="704"/>
    </row>
    <row r="72" spans="1:10" ht="15">
      <c r="A72" s="704" t="s">
        <v>2978</v>
      </c>
    </row>
    <row r="73" spans="1:10" ht="66" customHeight="1">
      <c r="A73" s="2209" t="s">
        <v>2979</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2980</v>
      </c>
      <c r="B75" s="703"/>
      <c r="C75" s="703"/>
      <c r="D75" s="1467"/>
      <c r="E75" s="703"/>
      <c r="F75" s="703"/>
      <c r="G75" s="703"/>
      <c r="H75" s="703"/>
      <c r="I75" s="703"/>
      <c r="J75" s="717"/>
    </row>
    <row r="76" spans="1:10" s="1464" customFormat="1" ht="63" customHeight="1">
      <c r="A76" s="2209" t="s">
        <v>4520</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5" t="s">
        <v>2981</v>
      </c>
      <c r="B78" s="2236"/>
      <c r="C78" s="2236"/>
      <c r="D78" s="703"/>
      <c r="E78" s="703"/>
      <c r="F78" s="703"/>
      <c r="G78" s="703"/>
      <c r="H78" s="703"/>
      <c r="I78" s="703"/>
      <c r="J78" s="717"/>
    </row>
    <row r="79" spans="1:10" ht="41.25" customHeight="1">
      <c r="A79" s="2228" t="s">
        <v>4309</v>
      </c>
      <c r="B79" s="2237"/>
      <c r="C79" s="2237"/>
      <c r="D79" s="2237"/>
      <c r="E79" s="2237"/>
      <c r="F79" s="2237"/>
      <c r="G79" s="2237"/>
      <c r="H79" s="2237"/>
      <c r="I79" s="2237"/>
      <c r="J79" s="2237"/>
    </row>
    <row r="80" spans="1:10" ht="6" customHeight="1">
      <c r="A80" s="718"/>
      <c r="B80" s="703"/>
      <c r="C80" s="703"/>
      <c r="D80" s="703"/>
      <c r="E80" s="703"/>
      <c r="F80" s="703"/>
      <c r="G80" s="703"/>
      <c r="H80" s="703"/>
      <c r="I80" s="703"/>
      <c r="J80" s="717"/>
    </row>
    <row r="81" spans="1:15" ht="15">
      <c r="A81" s="704" t="s">
        <v>2982</v>
      </c>
    </row>
    <row r="82" spans="1:15" ht="139.5" customHeight="1">
      <c r="A82" s="2228" t="s">
        <v>2983</v>
      </c>
      <c r="B82" s="2228"/>
      <c r="C82" s="2228"/>
      <c r="D82" s="2228"/>
      <c r="E82" s="2228"/>
      <c r="F82" s="2228"/>
      <c r="G82" s="2228"/>
      <c r="H82" s="2228"/>
      <c r="I82" s="2228"/>
      <c r="J82" s="2228"/>
      <c r="L82" s="2238" t="s">
        <v>2984</v>
      </c>
      <c r="M82" s="2238"/>
      <c r="N82" s="2238"/>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8" t="s">
        <v>2986</v>
      </c>
      <c r="B85" s="2228"/>
      <c r="C85" s="2228"/>
      <c r="D85" s="2228"/>
      <c r="E85" s="2228"/>
      <c r="F85" s="2228"/>
      <c r="G85" s="2228"/>
      <c r="H85" s="2228"/>
      <c r="I85" s="2228"/>
      <c r="J85" s="2228"/>
      <c r="L85" s="2238" t="s">
        <v>2987</v>
      </c>
      <c r="M85" s="2238"/>
      <c r="N85" s="719" t="e">
        <f>'After-Tax Analysis'!G66</f>
        <v>#VALUE!</v>
      </c>
      <c r="O85" s="720" t="s">
        <v>2988</v>
      </c>
    </row>
    <row r="86" spans="1:15" ht="6" customHeight="1">
      <c r="A86" s="704"/>
    </row>
    <row r="87" spans="1:15" ht="15">
      <c r="A87" s="704" t="s">
        <v>2989</v>
      </c>
    </row>
    <row r="88" spans="1:15" ht="118.5" customHeight="1">
      <c r="A88" s="2209" t="s">
        <v>2990</v>
      </c>
      <c r="B88" s="2209"/>
      <c r="C88" s="2209"/>
      <c r="D88" s="2209"/>
      <c r="E88" s="2209"/>
      <c r="F88" s="2209"/>
      <c r="G88" s="2209"/>
      <c r="H88" s="2209"/>
      <c r="I88" s="2209"/>
      <c r="J88" s="2209"/>
    </row>
    <row r="89" spans="1:15" ht="20.25" customHeight="1">
      <c r="A89" s="2210" t="s">
        <v>2991</v>
      </c>
      <c r="B89" s="2210"/>
      <c r="C89" s="2210"/>
      <c r="D89" s="2209"/>
      <c r="E89" s="1457"/>
      <c r="F89" s="1457"/>
      <c r="G89" s="1457"/>
      <c r="H89" s="1457"/>
      <c r="I89" s="1457"/>
      <c r="J89" s="1457"/>
    </row>
    <row r="90" spans="1:15" ht="109.5" customHeight="1">
      <c r="A90" s="2226" t="s">
        <v>2992</v>
      </c>
      <c r="B90" s="2227"/>
      <c r="C90" s="2227"/>
      <c r="D90" s="2227"/>
      <c r="E90" s="2227"/>
      <c r="F90" s="2227"/>
      <c r="G90" s="2227"/>
      <c r="H90" s="2227"/>
      <c r="I90" s="2227"/>
      <c r="J90" s="2227"/>
    </row>
    <row r="91" spans="1:15" ht="11.25" customHeight="1">
      <c r="A91" s="704"/>
    </row>
    <row r="92" spans="1:15" ht="15">
      <c r="A92" s="704" t="s">
        <v>2993</v>
      </c>
    </row>
    <row r="93" spans="1:15" ht="122.25" customHeight="1">
      <c r="A93" s="2231" t="s">
        <v>2994</v>
      </c>
      <c r="B93" s="2231"/>
      <c r="C93" s="2231"/>
      <c r="D93" s="2231"/>
      <c r="E93" s="2231"/>
      <c r="F93" s="2231"/>
      <c r="G93" s="2231"/>
      <c r="H93" s="2231"/>
      <c r="I93" s="2231"/>
      <c r="J93" s="2231"/>
      <c r="L93" s="1395">
        <f>'Part VII-Pro Forma'!K67</f>
        <v>448105.52452721621</v>
      </c>
      <c r="M93" s="2234" t="s">
        <v>2995</v>
      </c>
      <c r="N93" s="2234"/>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0" t="s">
        <v>2996</v>
      </c>
      <c r="B97" s="2210"/>
      <c r="C97" s="2210"/>
      <c r="D97" s="1457"/>
      <c r="E97" s="1457"/>
      <c r="F97" s="1457"/>
      <c r="G97" s="1457"/>
      <c r="H97" s="1457"/>
      <c r="I97" s="1457"/>
      <c r="J97" s="717"/>
    </row>
    <row r="98" spans="1:10" ht="37.5" customHeight="1">
      <c r="A98" s="2228" t="s">
        <v>2997</v>
      </c>
      <c r="B98" s="2228"/>
      <c r="C98" s="2228"/>
      <c r="D98" s="2228"/>
      <c r="E98" s="2228"/>
      <c r="F98" s="2228"/>
      <c r="G98" s="2228"/>
      <c r="H98" s="2228"/>
      <c r="I98" s="2228"/>
      <c r="J98" s="2228"/>
    </row>
    <row r="99" spans="1:10" ht="6" customHeight="1">
      <c r="A99" s="704"/>
    </row>
    <row r="100" spans="1:10" ht="15">
      <c r="A100" s="704" t="s">
        <v>2998</v>
      </c>
    </row>
    <row r="101" spans="1:10" ht="43.5" customHeight="1">
      <c r="A101" s="2209" t="s">
        <v>2999</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3000</v>
      </c>
    </row>
    <row r="105" spans="1:10">
      <c r="A105" s="2229" t="s">
        <v>3001</v>
      </c>
      <c r="B105" s="2229"/>
      <c r="C105" s="2229"/>
      <c r="D105" s="2229"/>
      <c r="E105" s="2229"/>
      <c r="F105" s="2229"/>
      <c r="G105" s="2229"/>
      <c r="H105" s="2229"/>
      <c r="I105" s="2229"/>
      <c r="J105" s="2229"/>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5" t="s">
        <v>4310</v>
      </c>
      <c r="B116" s="2225"/>
      <c r="C116" s="2225"/>
      <c r="D116" s="2225"/>
      <c r="E116" s="2225"/>
      <c r="H116" s="2225" t="s">
        <v>3005</v>
      </c>
      <c r="I116" s="2225"/>
      <c r="J116" s="2225"/>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5703125" style="698" customWidth="1"/>
    <col min="2" max="2" width="1.5703125" style="698" customWidth="1"/>
    <col min="3" max="3" width="13" style="698" customWidth="1"/>
    <col min="4" max="4" width="11.42578125" style="698" customWidth="1"/>
    <col min="5" max="5" width="14.5703125" style="698" customWidth="1"/>
    <col min="6" max="6" width="15.140625" style="698" customWidth="1"/>
    <col min="7" max="7" width="11.5703125" style="698" customWidth="1"/>
    <col min="8" max="8" width="11.42578125" style="698" customWidth="1"/>
    <col min="9" max="9" width="10.5703125" style="698" customWidth="1"/>
    <col min="10" max="10" width="6" style="698" customWidth="1"/>
    <col min="11" max="11" width="12.5703125" style="698" customWidth="1"/>
    <col min="12" max="12" width="10.85546875" style="698" customWidth="1"/>
    <col min="13" max="13" width="26.42578125" style="698" customWidth="1"/>
    <col min="14" max="14" width="9.140625" style="698"/>
    <col min="15" max="15" width="12.42578125" style="698" customWidth="1"/>
    <col min="16" max="16" width="9.140625" style="698"/>
    <col min="17" max="17" width="11.5703125" style="698" bestFit="1" customWidth="1"/>
    <col min="18" max="16384" width="9.140625" style="698"/>
  </cols>
  <sheetData>
    <row r="1" spans="1:15" ht="13.5" customHeight="1">
      <c r="A1" s="699" t="s">
        <v>3067</v>
      </c>
      <c r="B1" s="783"/>
      <c r="C1" s="698" t="str">
        <f>Overview!C8</f>
        <v>Pointe North Village III</v>
      </c>
    </row>
    <row r="2" spans="1:15" ht="13.5" customHeight="1"/>
    <row r="3" spans="1:15" ht="13.5" customHeight="1">
      <c r="A3" s="699" t="s">
        <v>3068</v>
      </c>
      <c r="C3" s="698" t="s">
        <v>3069</v>
      </c>
      <c r="E3" s="784">
        <f>SUM('Part IV-A-Uses of Funds'!J149,'Part IV-A-Uses of Funds'!M149,'Part IV-A-Uses of Funds'!P149)</f>
        <v>9056923.9821419846</v>
      </c>
      <c r="F3" s="1467" t="s">
        <v>3070</v>
      </c>
      <c r="H3" s="1440">
        <v>27.5</v>
      </c>
      <c r="I3" s="698" t="s">
        <v>2485</v>
      </c>
      <c r="K3" s="703" t="s">
        <v>3091</v>
      </c>
      <c r="M3" s="1467"/>
      <c r="O3" s="785"/>
    </row>
    <row r="4" spans="1:15" ht="13.5" customHeight="1">
      <c r="C4" s="698" t="s">
        <v>3579</v>
      </c>
      <c r="E4" s="784">
        <f>SUM('Part IV-A-Uses of Funds'!G85:H89)</f>
        <v>32050</v>
      </c>
      <c r="F4" s="1467" t="s">
        <v>4522</v>
      </c>
      <c r="H4" s="699">
        <f>'Part III-Sources of Funds'!M37</f>
        <v>30</v>
      </c>
      <c r="I4" s="698" t="s">
        <v>2485</v>
      </c>
      <c r="K4" s="786" t="s">
        <v>3336</v>
      </c>
      <c r="M4" s="1467"/>
    </row>
    <row r="5" spans="1:15" ht="13.5" customHeight="1">
      <c r="C5" s="698" t="s">
        <v>3580</v>
      </c>
      <c r="E5" s="784">
        <f>SUM('Part IV-A-Uses of Funds'!G96:H102)</f>
        <v>114540</v>
      </c>
      <c r="F5" s="1467" t="s">
        <v>4521</v>
      </c>
      <c r="H5" s="1440">
        <v>15</v>
      </c>
      <c r="I5" s="698" t="s">
        <v>2485</v>
      </c>
      <c r="K5" s="785">
        <f>-E6</f>
        <v>-9429635</v>
      </c>
    </row>
    <row r="6" spans="1:15" ht="13.5" customHeight="1">
      <c r="C6" s="698" t="s">
        <v>3071</v>
      </c>
      <c r="E6" s="787">
        <f>'Part III-Sources of Funds'!$I$49+'Part III-Sources of Funds'!$I$50</f>
        <v>9429635</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27007.366530579719</v>
      </c>
      <c r="D9" s="792">
        <f>'Part VII-Pro Forma'!C30</f>
        <v>27359.439282579726</v>
      </c>
      <c r="E9" s="792">
        <f>'Part VII-Pro Forma'!D30</f>
        <v>26683.320389619679</v>
      </c>
      <c r="F9" s="792">
        <f>'Part VII-Pro Forma'!E30</f>
        <v>25919.295425800461</v>
      </c>
      <c r="G9" s="792">
        <f>'Part VII-Pro Forma'!F30</f>
        <v>25063.510558914917</v>
      </c>
      <c r="H9" s="792">
        <f>'Part VII-Pro Forma'!G30</f>
        <v>24111.967808787944</v>
      </c>
      <c r="I9" s="792">
        <f>'Part VII-Pro Forma'!H30</f>
        <v>23059.520152177603</v>
      </c>
      <c r="K9" s="785" t="e">
        <f>F24</f>
        <v>#VALUE!</v>
      </c>
      <c r="N9" s="793" t="s">
        <v>3077</v>
      </c>
    </row>
    <row r="10" spans="1:15" ht="13.5" customHeight="1">
      <c r="A10" s="698" t="s">
        <v>3076</v>
      </c>
      <c r="C10" s="1398">
        <f>'Part III-Sources of Funds'!I37-'Part VII-Pro Forma'!B37</f>
        <v>8997.6900251278421</v>
      </c>
      <c r="D10" s="794">
        <f>'Part VII-Pro Forma'!B37-'Part VII-Pro Forma'!C37</f>
        <v>9600.281989855459</v>
      </c>
      <c r="E10" s="794">
        <f>'Part VII-Pro Forma'!C37-'Part VII-Pro Forma'!D37</f>
        <v>10243.230654462706</v>
      </c>
      <c r="F10" s="794">
        <f>'Part VII-Pro Forma'!D37-'Part VII-Pro Forma'!E37</f>
        <v>10929.238781881286</v>
      </c>
      <c r="G10" s="794">
        <f>'Part VII-Pro Forma'!E37-'Part VII-Pro Forma'!F37</f>
        <v>11661.190144081949</v>
      </c>
      <c r="H10" s="794">
        <f>'Part VII-Pro Forma'!F37-'Part VII-Pro Forma'!G37</f>
        <v>12442.161644584849</v>
      </c>
      <c r="I10" s="794">
        <f>'Part VII-Pro Forma'!G37-'Part VII-Pro Forma'!H37</f>
        <v>13275.436252837768</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-13500</v>
      </c>
      <c r="D13" s="1399">
        <f>'Part VII-Pro Forma'!C21</f>
        <v>-13905</v>
      </c>
      <c r="E13" s="1399">
        <f>'Part VII-Pro Forma'!D21</f>
        <v>-14322.15</v>
      </c>
      <c r="F13" s="1399">
        <f>'Part VII-Pro Forma'!E21</f>
        <v>-14751.8145</v>
      </c>
      <c r="G13" s="1399">
        <f>'Part VII-Pro Forma'!F21</f>
        <v>-15194.368934999999</v>
      </c>
      <c r="H13" s="1399">
        <f>'Part VII-Pro Forma'!G21</f>
        <v>-15650.200003049998</v>
      </c>
      <c r="I13" s="1399">
        <f>'Part VII-Pro Forma'!H21</f>
        <v>-16119.706003141499</v>
      </c>
      <c r="K13" s="785" t="e">
        <f>C44</f>
        <v>#VALUE!</v>
      </c>
      <c r="O13" s="790"/>
    </row>
    <row r="14" spans="1:15" ht="13.5" customHeight="1">
      <c r="A14" s="796" t="s">
        <v>3583</v>
      </c>
      <c r="B14" s="797"/>
      <c r="C14" s="1399">
        <f>'Part VII-Pro Forma'!B29</f>
        <v>-944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329342.69025970856</v>
      </c>
      <c r="D15" s="799">
        <f t="shared" si="0"/>
        <v>329342.69025970856</v>
      </c>
      <c r="E15" s="799">
        <f t="shared" si="0"/>
        <v>329342.69025970856</v>
      </c>
      <c r="F15" s="799">
        <f t="shared" si="0"/>
        <v>329342.69025970856</v>
      </c>
      <c r="G15" s="799">
        <f t="shared" si="0"/>
        <v>329342.69025970856</v>
      </c>
      <c r="H15" s="799">
        <f t="shared" si="0"/>
        <v>329342.69025970856</v>
      </c>
      <c r="I15" s="799">
        <f t="shared" si="0"/>
        <v>329342.69025970856</v>
      </c>
      <c r="K15" s="785" t="e">
        <f>E44</f>
        <v>#VALUE!</v>
      </c>
      <c r="O15" s="790"/>
    </row>
    <row r="16" spans="1:15" ht="13.5" customHeight="1">
      <c r="A16" s="798" t="s">
        <v>3081</v>
      </c>
      <c r="C16" s="799">
        <f>IF(C$8&lt;=$H$4,($E$4/$H$4),0)+IF(C$8&lt;=$H$5,($E$5/$H$5),0)</f>
        <v>8704.3333333333339</v>
      </c>
      <c r="D16" s="799">
        <f t="shared" ref="D16:I16" si="1">IF(D$8&lt;=$H$4,($E$4/$H$4),0)+IF(D$8&lt;=$H$5,($E$5/$H$5),0)</f>
        <v>8704.3333333333339</v>
      </c>
      <c r="E16" s="799">
        <f t="shared" si="1"/>
        <v>8704.3333333333339</v>
      </c>
      <c r="F16" s="799">
        <f t="shared" si="1"/>
        <v>8704.3333333333339</v>
      </c>
      <c r="G16" s="799">
        <f t="shared" si="1"/>
        <v>8704.3333333333339</v>
      </c>
      <c r="H16" s="799">
        <f t="shared" si="1"/>
        <v>8704.3333333333339</v>
      </c>
      <c r="I16" s="799">
        <f t="shared" si="1"/>
        <v>8704.3333333333339</v>
      </c>
      <c r="K16" s="785" t="e">
        <f>F44</f>
        <v>#VALUE!</v>
      </c>
      <c r="M16" s="698" t="s">
        <v>3085</v>
      </c>
      <c r="O16" s="790">
        <f>E3</f>
        <v>9056923.9821419846</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6586853.8051941711</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2470070.1769478135</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772998</v>
      </c>
      <c r="D21" s="800">
        <f t="shared" ref="D21:I21" si="5">C21</f>
        <v>772998</v>
      </c>
      <c r="E21" s="800">
        <f t="shared" si="5"/>
        <v>772998</v>
      </c>
      <c r="F21" s="800">
        <f t="shared" si="5"/>
        <v>772998</v>
      </c>
      <c r="G21" s="800">
        <f t="shared" si="5"/>
        <v>772998</v>
      </c>
      <c r="H21" s="800">
        <f t="shared" si="5"/>
        <v>772998</v>
      </c>
      <c r="I21" s="800">
        <f t="shared" si="5"/>
        <v>772998</v>
      </c>
      <c r="J21" s="698" t="s">
        <v>245</v>
      </c>
      <c r="K21" s="785" t="e">
        <f>D64</f>
        <v>#VALUE!</v>
      </c>
      <c r="O21" s="790"/>
    </row>
    <row r="22" spans="1:17" ht="13.5" customHeight="1">
      <c r="A22" s="698" t="s">
        <v>3088</v>
      </c>
      <c r="C22" s="800">
        <f>C21</f>
        <v>772998</v>
      </c>
      <c r="D22" s="800">
        <f t="shared" ref="D22:I22" si="6">D21</f>
        <v>772998</v>
      </c>
      <c r="E22" s="800">
        <f t="shared" si="6"/>
        <v>772998</v>
      </c>
      <c r="F22" s="800">
        <f t="shared" si="6"/>
        <v>772998</v>
      </c>
      <c r="G22" s="800">
        <f t="shared" si="6"/>
        <v>772998</v>
      </c>
      <c r="H22" s="800">
        <f t="shared" si="6"/>
        <v>772998</v>
      </c>
      <c r="I22" s="800">
        <f t="shared" si="6"/>
        <v>772998</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2470070.1769478135</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-2470070.1769478135</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21901.866469409768</v>
      </c>
      <c r="D29" s="792">
        <f>'Part VII-Pro Forma'!J30</f>
        <v>20634.546327770615</v>
      </c>
      <c r="E29" s="792">
        <f>'Part VII-Pro Forma'!K30</f>
        <v>19253.934596526262</v>
      </c>
      <c r="F29" s="792">
        <f>'Part VII-Pro Forma'!B60</f>
        <v>17753.235888281313</v>
      </c>
      <c r="G29" s="792">
        <f>'Part VII-Pro Forma'!C60</f>
        <v>16128.478821224489</v>
      </c>
      <c r="H29" s="792">
        <f>'Part VII-Pro Forma'!D60</f>
        <v>14373.510096640413</v>
      </c>
      <c r="I29" s="792">
        <f>'Part VII-Pro Forma'!E60</f>
        <v>12482.988385892691</v>
      </c>
      <c r="N29" s="803"/>
      <c r="O29" s="803"/>
    </row>
    <row r="30" spans="1:17" ht="13.5" customHeight="1">
      <c r="A30" s="698" t="s">
        <v>3076</v>
      </c>
      <c r="C30" s="794">
        <f>'Part VII-Pro Forma'!H37-'Part VII-Pro Forma'!I37</f>
        <v>14164.516804832034</v>
      </c>
      <c r="D30" s="794">
        <f>'Part VII-Pro Forma'!I37-'Part VII-Pro Forma'!J37</f>
        <v>15113.140727972728</v>
      </c>
      <c r="E30" s="794">
        <f>'Part VII-Pro Forma'!J37-'Part VII-Pro Forma'!K37</f>
        <v>16125.295752100181</v>
      </c>
      <c r="F30" s="1396">
        <f>'Part VII-Pro Forma'!K37-'Part VII-Pro Forma'!B67</f>
        <v>17205.236672707018</v>
      </c>
      <c r="G30" s="1396">
        <f>'Part VII-Pro Forma'!B67-'Part VII-Pro Forma'!C67</f>
        <v>18357.503236820339</v>
      </c>
      <c r="H30" s="1396">
        <f>'Part VII-Pro Forma'!C67-'Part VII-Pro Forma'!D67</f>
        <v>19586.939226732822</v>
      </c>
      <c r="I30" s="1396">
        <f>'Part VII-Pro Forma'!D67-'Part VII-Pro Forma'!E67</f>
        <v>20898.712821808411</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-494014.03538956272</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-16603.297183235743</v>
      </c>
      <c r="D33" s="1399">
        <f>'Part VII-Pro Forma'!J21</f>
        <v>-17101.396098732814</v>
      </c>
      <c r="E33" s="1399">
        <f>'Part VII-Pro Forma'!K21</f>
        <v>-17614.437981694799</v>
      </c>
      <c r="F33" s="1399">
        <f>'Part VII-Pro Forma'!B51</f>
        <v>-18142.871121145643</v>
      </c>
      <c r="G33" s="1399">
        <f>'Part VII-Pro Forma'!C51</f>
        <v>-18687.157254780013</v>
      </c>
      <c r="H33" s="1399">
        <f>'Part VII-Pro Forma'!D51</f>
        <v>-19247.771972423412</v>
      </c>
      <c r="I33" s="1399">
        <f>'Part VII-Pro Forma'!E51</f>
        <v>-19825.205131596114</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329342.69025970856</v>
      </c>
      <c r="D35" s="799">
        <f t="shared" si="8"/>
        <v>329342.69025970856</v>
      </c>
      <c r="E35" s="799">
        <f t="shared" si="8"/>
        <v>329342.69025970856</v>
      </c>
      <c r="F35" s="799">
        <f t="shared" si="8"/>
        <v>329342.69025970856</v>
      </c>
      <c r="G35" s="799">
        <f t="shared" si="8"/>
        <v>329342.69025970856</v>
      </c>
      <c r="H35" s="799">
        <f t="shared" si="8"/>
        <v>329342.69025970856</v>
      </c>
      <c r="I35" s="799">
        <f t="shared" si="8"/>
        <v>329342.69025970856</v>
      </c>
    </row>
    <row r="36" spans="1:15" ht="13.5" customHeight="1">
      <c r="A36" s="798" t="s">
        <v>3081</v>
      </c>
      <c r="C36" s="792">
        <f>IF(C$28&lt;=$H$4,($E$4/$H$4),0)+IF(C$28&lt;=$H$5,($E$5/$H$5),0)</f>
        <v>8704.3333333333339</v>
      </c>
      <c r="D36" s="792">
        <f t="shared" ref="D36:I36" si="9">IF(D$28&lt;=$H$4,($E$4/$H$4),0)+IF(D$28&lt;=$H$5,($E$5/$H$5),0)</f>
        <v>8704.3333333333339</v>
      </c>
      <c r="E36" s="792">
        <f t="shared" si="9"/>
        <v>8704.3333333333339</v>
      </c>
      <c r="F36" s="792">
        <f t="shared" si="9"/>
        <v>8704.3333333333339</v>
      </c>
      <c r="G36" s="792">
        <f t="shared" si="9"/>
        <v>8704.3333333333339</v>
      </c>
      <c r="H36" s="792">
        <f t="shared" si="9"/>
        <v>8704.3333333333339</v>
      </c>
      <c r="I36" s="792">
        <f t="shared" si="9"/>
        <v>8704.3333333333339</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772998</v>
      </c>
      <c r="D41" s="800">
        <f>C41</f>
        <v>772998</v>
      </c>
      <c r="E41" s="800">
        <f>D41</f>
        <v>772998</v>
      </c>
      <c r="F41" s="800">
        <v>0</v>
      </c>
      <c r="G41" s="800">
        <v>0</v>
      </c>
      <c r="H41" s="800">
        <v>0</v>
      </c>
      <c r="I41" s="800">
        <v>0</v>
      </c>
    </row>
    <row r="42" spans="1:15" ht="13.5" customHeight="1">
      <c r="A42" s="698" t="s">
        <v>3088</v>
      </c>
      <c r="C42" s="800">
        <f>C22</f>
        <v>772998</v>
      </c>
      <c r="D42" s="800">
        <f>C42</f>
        <v>772998</v>
      </c>
      <c r="E42" s="800">
        <f>D42</f>
        <v>772998</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10452.378020907869</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22298.338323954144</v>
      </c>
      <c r="D50" s="1397">
        <f>'Part VII-Pro Forma'!F67-'Part VII-Pro Forma'!G67</f>
        <v>23791.699338088627</v>
      </c>
      <c r="E50" s="1397">
        <f>'Part VII-Pro Forma'!G67-'Part VII-Pro Forma'!H67</f>
        <v>25385.073505048174</v>
      </c>
      <c r="F50" s="1397">
        <f>'Part VII-Pro Forma'!H67-'Part VII-Pro Forma'!I67</f>
        <v>27085.15889090189</v>
      </c>
      <c r="G50" s="1397">
        <f>'Part VII-Pro Forma'!I67-'Part VII-Pro Forma'!J67</f>
        <v>28899.102143608732</v>
      </c>
      <c r="H50" s="1397">
        <f>'Part VII-Pro Forma'!J67-'Part VII-Pro Forma'!K67</f>
        <v>30834.528535376827</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-20419.961285543999</v>
      </c>
      <c r="D53" s="1399">
        <f>'Part VII-Pro Forma'!G51</f>
        <v>-21032.560124110321</v>
      </c>
      <c r="E53" s="1399">
        <f>'Part VII-Pro Forma'!H51</f>
        <v>-21663.536927833626</v>
      </c>
      <c r="F53" s="1399">
        <f>'Part VII-Pro Forma'!I51</f>
        <v>-22313.443035668635</v>
      </c>
      <c r="G53" s="1399">
        <f>'Part VII-Pro Forma'!J51</f>
        <v>-22982.846326738694</v>
      </c>
      <c r="H53" s="1399">
        <f>'Part VII-Pro Forma'!K51</f>
        <v>-23672.331716540855</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329342.69025970856</v>
      </c>
      <c r="D55" s="799">
        <f t="shared" si="14"/>
        <v>329342.69025970856</v>
      </c>
      <c r="E55" s="799">
        <f t="shared" si="14"/>
        <v>329342.69025970856</v>
      </c>
      <c r="F55" s="799">
        <f t="shared" si="14"/>
        <v>329342.69025970856</v>
      </c>
      <c r="G55" s="799">
        <f t="shared" si="14"/>
        <v>329342.69025970856</v>
      </c>
      <c r="H55" s="799">
        <f t="shared" si="14"/>
        <v>329342.69025970856</v>
      </c>
    </row>
    <row r="56" spans="1:10" ht="13.5" customHeight="1">
      <c r="A56" s="798" t="s">
        <v>3081</v>
      </c>
      <c r="C56" s="792">
        <f t="shared" ref="C56:H56" si="15">IF(C$48&lt;=$H$4,($E$4/$H$4),0)+IF(C$48&lt;=$H$5,($E$5/$H$5),0)</f>
        <v>8704.3333333333339</v>
      </c>
      <c r="D56" s="792">
        <f t="shared" si="15"/>
        <v>1068.3333333333333</v>
      </c>
      <c r="E56" s="792">
        <f t="shared" si="15"/>
        <v>1068.3333333333333</v>
      </c>
      <c r="F56" s="792">
        <f t="shared" si="15"/>
        <v>1068.3333333333333</v>
      </c>
      <c r="G56" s="792">
        <f t="shared" si="15"/>
        <v>1068.3333333333333</v>
      </c>
      <c r="H56" s="792">
        <f t="shared" si="15"/>
        <v>1068.3333333333333</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5703125" style="580" customWidth="1"/>
    <col min="5" max="5" width="15.85546875" style="580" customWidth="1"/>
    <col min="6" max="8" width="10.5703125" style="580" customWidth="1"/>
    <col min="9" max="16384" width="9.140625" style="580"/>
  </cols>
  <sheetData>
    <row r="1" spans="1:8" ht="21.95" customHeight="1">
      <c r="B1" s="2246" t="str">
        <f>Overview!C8</f>
        <v>Pointe North Village III</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5088.1475891183582</v>
      </c>
    </row>
    <row r="9" spans="1:8" ht="21" customHeight="1">
      <c r="D9" s="1404">
        <v>2</v>
      </c>
      <c r="E9" s="1405">
        <f>-'Part VII-Pro Forma'!C23/12</f>
        <v>5088.1475891183582</v>
      </c>
    </row>
    <row r="10" spans="1:8" ht="21" customHeight="1">
      <c r="D10" s="1404">
        <v>3</v>
      </c>
      <c r="E10" s="1405">
        <f>-'Part VII-Pro Forma'!D23/12</f>
        <v>5088.1475891183582</v>
      </c>
    </row>
    <row r="11" spans="1:8" ht="21" customHeight="1">
      <c r="D11" s="1406">
        <v>4</v>
      </c>
      <c r="E11" s="1405">
        <f>-'Part VII-Pro Forma'!E23/12</f>
        <v>5088.1475891183582</v>
      </c>
    </row>
    <row r="12" spans="1:8" ht="21" customHeight="1">
      <c r="D12" s="1406">
        <v>5</v>
      </c>
      <c r="E12" s="1405">
        <f>-'Part VII-Pro Forma'!F23/12</f>
        <v>5088.1475891183582</v>
      </c>
    </row>
    <row r="13" spans="1:8" ht="21" customHeight="1">
      <c r="D13" s="1404">
        <v>6</v>
      </c>
      <c r="E13" s="1405">
        <f>-'Part VII-Pro Forma'!G23/12</f>
        <v>5088.1475891183582</v>
      </c>
    </row>
    <row r="14" spans="1:8" ht="21" customHeight="1">
      <c r="D14" s="1404">
        <v>7</v>
      </c>
      <c r="E14" s="1405">
        <f>-'Part VII-Pro Forma'!H23/12</f>
        <v>5088.1475891183582</v>
      </c>
    </row>
    <row r="15" spans="1:8" ht="21" customHeight="1">
      <c r="D15" s="1406">
        <v>8</v>
      </c>
      <c r="E15" s="1405">
        <f>-'Part VII-Pro Forma'!I23/12</f>
        <v>5088.1475891183582</v>
      </c>
    </row>
    <row r="16" spans="1:8" ht="21" customHeight="1">
      <c r="D16" s="1404">
        <v>9</v>
      </c>
      <c r="E16" s="1405">
        <f>-'Part VII-Pro Forma'!J23/12</f>
        <v>5088.1475891183582</v>
      </c>
    </row>
    <row r="17" spans="4:8" ht="21" customHeight="1">
      <c r="D17" s="1404">
        <v>10</v>
      </c>
      <c r="E17" s="1405">
        <f>-'Part VII-Pro Forma'!K23/12</f>
        <v>5088.1475891183582</v>
      </c>
    </row>
    <row r="18" spans="4:8" ht="21" customHeight="1">
      <c r="D18" s="1406">
        <v>11</v>
      </c>
      <c r="E18" s="1405">
        <f>-'Part VII-Pro Forma'!B53/12</f>
        <v>5088.1475891183582</v>
      </c>
    </row>
    <row r="19" spans="4:8" ht="21" customHeight="1">
      <c r="D19" s="1404">
        <v>12</v>
      </c>
      <c r="E19" s="1405">
        <f>-'Part VII-Pro Forma'!C53/12</f>
        <v>5088.1475891183582</v>
      </c>
    </row>
    <row r="20" spans="4:8" ht="21" customHeight="1">
      <c r="D20" s="1404">
        <v>13</v>
      </c>
      <c r="E20" s="1405">
        <f>-'Part VII-Pro Forma'!D53/12</f>
        <v>5088.1475891183582</v>
      </c>
    </row>
    <row r="21" spans="4:8" ht="21" customHeight="1">
      <c r="D21" s="1404">
        <v>14</v>
      </c>
      <c r="E21" s="1405">
        <f>-'Part VII-Pro Forma'!E53/12</f>
        <v>5088.1475891183582</v>
      </c>
    </row>
    <row r="22" spans="4:8" ht="21" customHeight="1">
      <c r="D22" s="1404">
        <v>15</v>
      </c>
      <c r="E22" s="1405">
        <f>-'Part VII-Pro Forma'!F53/12</f>
        <v>5088.1475891183582</v>
      </c>
    </row>
    <row r="23" spans="4:8" ht="21" customHeight="1">
      <c r="D23" s="1404">
        <v>16</v>
      </c>
      <c r="E23" s="1405">
        <f>-'Part VII-Pro Forma'!G53/12</f>
        <v>5088.1475891183582</v>
      </c>
    </row>
    <row r="24" spans="4:8" ht="21" customHeight="1">
      <c r="D24" s="1404">
        <v>17</v>
      </c>
      <c r="E24" s="1405">
        <f>-'Part VII-Pro Forma'!H53/12</f>
        <v>5088.1475891183582</v>
      </c>
      <c r="H24" s="580" t="s">
        <v>245</v>
      </c>
    </row>
    <row r="25" spans="4:8" ht="21" customHeight="1">
      <c r="D25" s="1404">
        <v>18</v>
      </c>
      <c r="E25" s="1405">
        <f>-'Part VII-Pro Forma'!I53/12</f>
        <v>5088.1475891183582</v>
      </c>
    </row>
    <row r="26" spans="4:8" ht="21" customHeight="1">
      <c r="D26" s="1404">
        <v>19</v>
      </c>
      <c r="E26" s="1405">
        <f>-'Part VII-Pro Forma'!J53/12</f>
        <v>5088.1475891183582</v>
      </c>
    </row>
    <row r="27" spans="4:8" ht="21" customHeight="1">
      <c r="D27" s="1404">
        <v>20</v>
      </c>
      <c r="E27" s="1405">
        <f>-'Part VII-Pro Forma'!K53/12</f>
        <v>5088.1475891183582</v>
      </c>
    </row>
    <row r="28" spans="4:8" ht="21" customHeight="1">
      <c r="D28" s="1404">
        <v>21</v>
      </c>
      <c r="E28" s="1405">
        <f>-'Part VII-Pro Forma'!B83/12</f>
        <v>5088.1475891183582</v>
      </c>
    </row>
    <row r="29" spans="4:8" ht="21" customHeight="1">
      <c r="D29" s="1404">
        <v>22</v>
      </c>
      <c r="E29" s="1405">
        <f>-'Part VII-Pro Forma'!C83/12</f>
        <v>5088.1475891183582</v>
      </c>
    </row>
    <row r="30" spans="4:8" ht="21" customHeight="1">
      <c r="D30" s="1404">
        <v>23</v>
      </c>
      <c r="E30" s="1405">
        <f>-'Part VII-Pro Forma'!D83/12</f>
        <v>5088.1475891183582</v>
      </c>
    </row>
    <row r="31" spans="4:8" ht="21" customHeight="1">
      <c r="D31" s="1404">
        <v>24</v>
      </c>
      <c r="E31" s="1405">
        <f>-'Part VII-Pro Forma'!E83/12</f>
        <v>5088.1475891183582</v>
      </c>
    </row>
    <row r="32" spans="4:8" ht="21" customHeight="1">
      <c r="D32" s="1404">
        <v>25</v>
      </c>
      <c r="E32" s="1405">
        <f>-'Part VII-Pro Forma'!F83/12</f>
        <v>5088.1475891183582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5703125" style="809" customWidth="1"/>
    <col min="4" max="4" width="8.5703125" style="809" customWidth="1"/>
    <col min="5" max="5" width="13.5703125" style="809" customWidth="1"/>
    <col min="6" max="6" width="2.5703125" style="809" customWidth="1"/>
    <col min="7" max="7" width="11.5703125" style="809" customWidth="1"/>
    <col min="8" max="8" width="8.5703125" style="809" customWidth="1"/>
    <col min="9" max="9" width="13.5703125" style="809" customWidth="1"/>
    <col min="10" max="10" width="4.5703125" style="809" customWidth="1"/>
    <col min="11" max="11" width="25.5703125" style="809" customWidth="1"/>
    <col min="12" max="256" width="8.85546875" style="809"/>
    <col min="257" max="257" width="11.5703125" style="809" bestFit="1" customWidth="1"/>
    <col min="258" max="258" width="12.5703125" style="809" customWidth="1"/>
    <col min="259" max="259" width="10.42578125" style="809" customWidth="1"/>
    <col min="260" max="260" width="14.5703125" style="809" customWidth="1"/>
    <col min="261" max="261" width="13.42578125" style="809" bestFit="1" customWidth="1"/>
    <col min="262" max="262" width="4.85546875" style="809" customWidth="1"/>
    <col min="263" max="263" width="11.5703125" style="809" customWidth="1"/>
    <col min="264" max="264" width="12" style="809" customWidth="1"/>
    <col min="265" max="265" width="9.5703125" style="809" customWidth="1"/>
    <col min="266" max="266" width="13.5703125" style="809" bestFit="1" customWidth="1"/>
    <col min="267" max="512" width="8.85546875" style="809"/>
    <col min="513" max="513" width="11.5703125" style="809" bestFit="1" customWidth="1"/>
    <col min="514" max="514" width="12.5703125" style="809" customWidth="1"/>
    <col min="515" max="515" width="10.42578125" style="809" customWidth="1"/>
    <col min="516" max="516" width="14.5703125" style="809" customWidth="1"/>
    <col min="517" max="517" width="13.42578125" style="809" bestFit="1" customWidth="1"/>
    <col min="518" max="518" width="4.85546875" style="809" customWidth="1"/>
    <col min="519" max="519" width="11.5703125" style="809" customWidth="1"/>
    <col min="520" max="520" width="12" style="809" customWidth="1"/>
    <col min="521" max="521" width="9.5703125" style="809" customWidth="1"/>
    <col min="522" max="522" width="13.5703125" style="809" bestFit="1" customWidth="1"/>
    <col min="523" max="768" width="8.85546875" style="809"/>
    <col min="769" max="769" width="11.5703125" style="809" bestFit="1" customWidth="1"/>
    <col min="770" max="770" width="12.5703125" style="809" customWidth="1"/>
    <col min="771" max="771" width="10.42578125" style="809" customWidth="1"/>
    <col min="772" max="772" width="14.5703125" style="809" customWidth="1"/>
    <col min="773" max="773" width="13.42578125" style="809" bestFit="1" customWidth="1"/>
    <col min="774" max="774" width="4.85546875" style="809" customWidth="1"/>
    <col min="775" max="775" width="11.5703125" style="809" customWidth="1"/>
    <col min="776" max="776" width="12" style="809" customWidth="1"/>
    <col min="777" max="777" width="9.5703125" style="809" customWidth="1"/>
    <col min="778" max="778" width="13.5703125" style="809" bestFit="1" customWidth="1"/>
    <col min="779" max="1024" width="8.85546875" style="809"/>
    <col min="1025" max="1025" width="11.5703125" style="809" bestFit="1" customWidth="1"/>
    <col min="1026" max="1026" width="12.5703125" style="809" customWidth="1"/>
    <col min="1027" max="1027" width="10.42578125" style="809" customWidth="1"/>
    <col min="1028" max="1028" width="14.5703125" style="809" customWidth="1"/>
    <col min="1029" max="1029" width="13.42578125" style="809" bestFit="1" customWidth="1"/>
    <col min="1030" max="1030" width="4.85546875" style="809" customWidth="1"/>
    <col min="1031" max="1031" width="11.5703125" style="809" customWidth="1"/>
    <col min="1032" max="1032" width="12" style="809" customWidth="1"/>
    <col min="1033" max="1033" width="9.5703125" style="809" customWidth="1"/>
    <col min="1034" max="1034" width="13.5703125" style="809" bestFit="1" customWidth="1"/>
    <col min="1035" max="1280" width="8.85546875" style="809"/>
    <col min="1281" max="1281" width="11.5703125" style="809" bestFit="1" customWidth="1"/>
    <col min="1282" max="1282" width="12.5703125" style="809" customWidth="1"/>
    <col min="1283" max="1283" width="10.42578125" style="809" customWidth="1"/>
    <col min="1284" max="1284" width="14.5703125" style="809" customWidth="1"/>
    <col min="1285" max="1285" width="13.42578125" style="809" bestFit="1" customWidth="1"/>
    <col min="1286" max="1286" width="4.85546875" style="809" customWidth="1"/>
    <col min="1287" max="1287" width="11.5703125" style="809" customWidth="1"/>
    <col min="1288" max="1288" width="12" style="809" customWidth="1"/>
    <col min="1289" max="1289" width="9.5703125" style="809" customWidth="1"/>
    <col min="1290" max="1290" width="13.5703125" style="809" bestFit="1" customWidth="1"/>
    <col min="1291" max="1536" width="8.85546875" style="809"/>
    <col min="1537" max="1537" width="11.5703125" style="809" bestFit="1" customWidth="1"/>
    <col min="1538" max="1538" width="12.5703125" style="809" customWidth="1"/>
    <col min="1539" max="1539" width="10.42578125" style="809" customWidth="1"/>
    <col min="1540" max="1540" width="14.5703125" style="809" customWidth="1"/>
    <col min="1541" max="1541" width="13.42578125" style="809" bestFit="1" customWidth="1"/>
    <col min="1542" max="1542" width="4.85546875" style="809" customWidth="1"/>
    <col min="1543" max="1543" width="11.5703125" style="809" customWidth="1"/>
    <col min="1544" max="1544" width="12" style="809" customWidth="1"/>
    <col min="1545" max="1545" width="9.5703125" style="809" customWidth="1"/>
    <col min="1546" max="1546" width="13.5703125" style="809" bestFit="1" customWidth="1"/>
    <col min="1547" max="1792" width="8.85546875" style="809"/>
    <col min="1793" max="1793" width="11.5703125" style="809" bestFit="1" customWidth="1"/>
    <col min="1794" max="1794" width="12.5703125" style="809" customWidth="1"/>
    <col min="1795" max="1795" width="10.42578125" style="809" customWidth="1"/>
    <col min="1796" max="1796" width="14.5703125" style="809" customWidth="1"/>
    <col min="1797" max="1797" width="13.42578125" style="809" bestFit="1" customWidth="1"/>
    <col min="1798" max="1798" width="4.85546875" style="809" customWidth="1"/>
    <col min="1799" max="1799" width="11.5703125" style="809" customWidth="1"/>
    <col min="1800" max="1800" width="12" style="809" customWidth="1"/>
    <col min="1801" max="1801" width="9.5703125" style="809" customWidth="1"/>
    <col min="1802" max="1802" width="13.5703125" style="809" bestFit="1" customWidth="1"/>
    <col min="1803" max="2048" width="8.85546875" style="809"/>
    <col min="2049" max="2049" width="11.5703125" style="809" bestFit="1" customWidth="1"/>
    <col min="2050" max="2050" width="12.5703125" style="809" customWidth="1"/>
    <col min="2051" max="2051" width="10.42578125" style="809" customWidth="1"/>
    <col min="2052" max="2052" width="14.5703125" style="809" customWidth="1"/>
    <col min="2053" max="2053" width="13.42578125" style="809" bestFit="1" customWidth="1"/>
    <col min="2054" max="2054" width="4.85546875" style="809" customWidth="1"/>
    <col min="2055" max="2055" width="11.5703125" style="809" customWidth="1"/>
    <col min="2056" max="2056" width="12" style="809" customWidth="1"/>
    <col min="2057" max="2057" width="9.5703125" style="809" customWidth="1"/>
    <col min="2058" max="2058" width="13.5703125" style="809" bestFit="1" customWidth="1"/>
    <col min="2059" max="2304" width="8.85546875" style="809"/>
    <col min="2305" max="2305" width="11.5703125" style="809" bestFit="1" customWidth="1"/>
    <col min="2306" max="2306" width="12.5703125" style="809" customWidth="1"/>
    <col min="2307" max="2307" width="10.42578125" style="809" customWidth="1"/>
    <col min="2308" max="2308" width="14.5703125" style="809" customWidth="1"/>
    <col min="2309" max="2309" width="13.42578125" style="809" bestFit="1" customWidth="1"/>
    <col min="2310" max="2310" width="4.85546875" style="809" customWidth="1"/>
    <col min="2311" max="2311" width="11.5703125" style="809" customWidth="1"/>
    <col min="2312" max="2312" width="12" style="809" customWidth="1"/>
    <col min="2313" max="2313" width="9.5703125" style="809" customWidth="1"/>
    <col min="2314" max="2314" width="13.5703125" style="809" bestFit="1" customWidth="1"/>
    <col min="2315" max="2560" width="8.85546875" style="809"/>
    <col min="2561" max="2561" width="11.5703125" style="809" bestFit="1" customWidth="1"/>
    <col min="2562" max="2562" width="12.5703125" style="809" customWidth="1"/>
    <col min="2563" max="2563" width="10.42578125" style="809" customWidth="1"/>
    <col min="2564" max="2564" width="14.5703125" style="809" customWidth="1"/>
    <col min="2565" max="2565" width="13.42578125" style="809" bestFit="1" customWidth="1"/>
    <col min="2566" max="2566" width="4.85546875" style="809" customWidth="1"/>
    <col min="2567" max="2567" width="11.5703125" style="809" customWidth="1"/>
    <col min="2568" max="2568" width="12" style="809" customWidth="1"/>
    <col min="2569" max="2569" width="9.5703125" style="809" customWidth="1"/>
    <col min="2570" max="2570" width="13.5703125" style="809" bestFit="1" customWidth="1"/>
    <col min="2571" max="2816" width="8.85546875" style="809"/>
    <col min="2817" max="2817" width="11.5703125" style="809" bestFit="1" customWidth="1"/>
    <col min="2818" max="2818" width="12.5703125" style="809" customWidth="1"/>
    <col min="2819" max="2819" width="10.42578125" style="809" customWidth="1"/>
    <col min="2820" max="2820" width="14.5703125" style="809" customWidth="1"/>
    <col min="2821" max="2821" width="13.42578125" style="809" bestFit="1" customWidth="1"/>
    <col min="2822" max="2822" width="4.85546875" style="809" customWidth="1"/>
    <col min="2823" max="2823" width="11.5703125" style="809" customWidth="1"/>
    <col min="2824" max="2824" width="12" style="809" customWidth="1"/>
    <col min="2825" max="2825" width="9.5703125" style="809" customWidth="1"/>
    <col min="2826" max="2826" width="13.5703125" style="809" bestFit="1" customWidth="1"/>
    <col min="2827" max="3072" width="8.85546875" style="809"/>
    <col min="3073" max="3073" width="11.5703125" style="809" bestFit="1" customWidth="1"/>
    <col min="3074" max="3074" width="12.5703125" style="809" customWidth="1"/>
    <col min="3075" max="3075" width="10.42578125" style="809" customWidth="1"/>
    <col min="3076" max="3076" width="14.5703125" style="809" customWidth="1"/>
    <col min="3077" max="3077" width="13.42578125" style="809" bestFit="1" customWidth="1"/>
    <col min="3078" max="3078" width="4.85546875" style="809" customWidth="1"/>
    <col min="3079" max="3079" width="11.5703125" style="809" customWidth="1"/>
    <col min="3080" max="3080" width="12" style="809" customWidth="1"/>
    <col min="3081" max="3081" width="9.5703125" style="809" customWidth="1"/>
    <col min="3082" max="3082" width="13.5703125" style="809" bestFit="1" customWidth="1"/>
    <col min="3083" max="3328" width="8.85546875" style="809"/>
    <col min="3329" max="3329" width="11.5703125" style="809" bestFit="1" customWidth="1"/>
    <col min="3330" max="3330" width="12.5703125" style="809" customWidth="1"/>
    <col min="3331" max="3331" width="10.42578125" style="809" customWidth="1"/>
    <col min="3332" max="3332" width="14.5703125" style="809" customWidth="1"/>
    <col min="3333" max="3333" width="13.42578125" style="809" bestFit="1" customWidth="1"/>
    <col min="3334" max="3334" width="4.85546875" style="809" customWidth="1"/>
    <col min="3335" max="3335" width="11.5703125" style="809" customWidth="1"/>
    <col min="3336" max="3336" width="12" style="809" customWidth="1"/>
    <col min="3337" max="3337" width="9.5703125" style="809" customWidth="1"/>
    <col min="3338" max="3338" width="13.5703125" style="809" bestFit="1" customWidth="1"/>
    <col min="3339" max="3584" width="8.85546875" style="809"/>
    <col min="3585" max="3585" width="11.5703125" style="809" bestFit="1" customWidth="1"/>
    <col min="3586" max="3586" width="12.5703125" style="809" customWidth="1"/>
    <col min="3587" max="3587" width="10.42578125" style="809" customWidth="1"/>
    <col min="3588" max="3588" width="14.5703125" style="809" customWidth="1"/>
    <col min="3589" max="3589" width="13.42578125" style="809" bestFit="1" customWidth="1"/>
    <col min="3590" max="3590" width="4.85546875" style="809" customWidth="1"/>
    <col min="3591" max="3591" width="11.5703125" style="809" customWidth="1"/>
    <col min="3592" max="3592" width="12" style="809" customWidth="1"/>
    <col min="3593" max="3593" width="9.5703125" style="809" customWidth="1"/>
    <col min="3594" max="3594" width="13.5703125" style="809" bestFit="1" customWidth="1"/>
    <col min="3595" max="3840" width="8.85546875" style="809"/>
    <col min="3841" max="3841" width="11.5703125" style="809" bestFit="1" customWidth="1"/>
    <col min="3842" max="3842" width="12.5703125" style="809" customWidth="1"/>
    <col min="3843" max="3843" width="10.42578125" style="809" customWidth="1"/>
    <col min="3844" max="3844" width="14.5703125" style="809" customWidth="1"/>
    <col min="3845" max="3845" width="13.42578125" style="809" bestFit="1" customWidth="1"/>
    <col min="3846" max="3846" width="4.85546875" style="809" customWidth="1"/>
    <col min="3847" max="3847" width="11.5703125" style="809" customWidth="1"/>
    <col min="3848" max="3848" width="12" style="809" customWidth="1"/>
    <col min="3849" max="3849" width="9.5703125" style="809" customWidth="1"/>
    <col min="3850" max="3850" width="13.5703125" style="809" bestFit="1" customWidth="1"/>
    <col min="3851" max="4096" width="8.85546875" style="809"/>
    <col min="4097" max="4097" width="11.5703125" style="809" bestFit="1" customWidth="1"/>
    <col min="4098" max="4098" width="12.5703125" style="809" customWidth="1"/>
    <col min="4099" max="4099" width="10.42578125" style="809" customWidth="1"/>
    <col min="4100" max="4100" width="14.5703125" style="809" customWidth="1"/>
    <col min="4101" max="4101" width="13.42578125" style="809" bestFit="1" customWidth="1"/>
    <col min="4102" max="4102" width="4.85546875" style="809" customWidth="1"/>
    <col min="4103" max="4103" width="11.5703125" style="809" customWidth="1"/>
    <col min="4104" max="4104" width="12" style="809" customWidth="1"/>
    <col min="4105" max="4105" width="9.5703125" style="809" customWidth="1"/>
    <col min="4106" max="4106" width="13.5703125" style="809" bestFit="1" customWidth="1"/>
    <col min="4107" max="4352" width="8.85546875" style="809"/>
    <col min="4353" max="4353" width="11.5703125" style="809" bestFit="1" customWidth="1"/>
    <col min="4354" max="4354" width="12.5703125" style="809" customWidth="1"/>
    <col min="4355" max="4355" width="10.42578125" style="809" customWidth="1"/>
    <col min="4356" max="4356" width="14.5703125" style="809" customWidth="1"/>
    <col min="4357" max="4357" width="13.42578125" style="809" bestFit="1" customWidth="1"/>
    <col min="4358" max="4358" width="4.85546875" style="809" customWidth="1"/>
    <col min="4359" max="4359" width="11.5703125" style="809" customWidth="1"/>
    <col min="4360" max="4360" width="12" style="809" customWidth="1"/>
    <col min="4361" max="4361" width="9.5703125" style="809" customWidth="1"/>
    <col min="4362" max="4362" width="13.5703125" style="809" bestFit="1" customWidth="1"/>
    <col min="4363" max="4608" width="8.85546875" style="809"/>
    <col min="4609" max="4609" width="11.5703125" style="809" bestFit="1" customWidth="1"/>
    <col min="4610" max="4610" width="12.5703125" style="809" customWidth="1"/>
    <col min="4611" max="4611" width="10.42578125" style="809" customWidth="1"/>
    <col min="4612" max="4612" width="14.5703125" style="809" customWidth="1"/>
    <col min="4613" max="4613" width="13.42578125" style="809" bestFit="1" customWidth="1"/>
    <col min="4614" max="4614" width="4.85546875" style="809" customWidth="1"/>
    <col min="4615" max="4615" width="11.5703125" style="809" customWidth="1"/>
    <col min="4616" max="4616" width="12" style="809" customWidth="1"/>
    <col min="4617" max="4617" width="9.5703125" style="809" customWidth="1"/>
    <col min="4618" max="4618" width="13.5703125" style="809" bestFit="1" customWidth="1"/>
    <col min="4619" max="4864" width="8.85546875" style="809"/>
    <col min="4865" max="4865" width="11.5703125" style="809" bestFit="1" customWidth="1"/>
    <col min="4866" max="4866" width="12.5703125" style="809" customWidth="1"/>
    <col min="4867" max="4867" width="10.42578125" style="809" customWidth="1"/>
    <col min="4868" max="4868" width="14.5703125" style="809" customWidth="1"/>
    <col min="4869" max="4869" width="13.42578125" style="809" bestFit="1" customWidth="1"/>
    <col min="4870" max="4870" width="4.85546875" style="809" customWidth="1"/>
    <col min="4871" max="4871" width="11.5703125" style="809" customWidth="1"/>
    <col min="4872" max="4872" width="12" style="809" customWidth="1"/>
    <col min="4873" max="4873" width="9.5703125" style="809" customWidth="1"/>
    <col min="4874" max="4874" width="13.5703125" style="809" bestFit="1" customWidth="1"/>
    <col min="4875" max="5120" width="8.85546875" style="809"/>
    <col min="5121" max="5121" width="11.5703125" style="809" bestFit="1" customWidth="1"/>
    <col min="5122" max="5122" width="12.5703125" style="809" customWidth="1"/>
    <col min="5123" max="5123" width="10.42578125" style="809" customWidth="1"/>
    <col min="5124" max="5124" width="14.5703125" style="809" customWidth="1"/>
    <col min="5125" max="5125" width="13.42578125" style="809" bestFit="1" customWidth="1"/>
    <col min="5126" max="5126" width="4.85546875" style="809" customWidth="1"/>
    <col min="5127" max="5127" width="11.5703125" style="809" customWidth="1"/>
    <col min="5128" max="5128" width="12" style="809" customWidth="1"/>
    <col min="5129" max="5129" width="9.5703125" style="809" customWidth="1"/>
    <col min="5130" max="5130" width="13.5703125" style="809" bestFit="1" customWidth="1"/>
    <col min="5131" max="5376" width="8.85546875" style="809"/>
    <col min="5377" max="5377" width="11.5703125" style="809" bestFit="1" customWidth="1"/>
    <col min="5378" max="5378" width="12.5703125" style="809" customWidth="1"/>
    <col min="5379" max="5379" width="10.42578125" style="809" customWidth="1"/>
    <col min="5380" max="5380" width="14.5703125" style="809" customWidth="1"/>
    <col min="5381" max="5381" width="13.42578125" style="809" bestFit="1" customWidth="1"/>
    <col min="5382" max="5382" width="4.85546875" style="809" customWidth="1"/>
    <col min="5383" max="5383" width="11.5703125" style="809" customWidth="1"/>
    <col min="5384" max="5384" width="12" style="809" customWidth="1"/>
    <col min="5385" max="5385" width="9.5703125" style="809" customWidth="1"/>
    <col min="5386" max="5386" width="13.5703125" style="809" bestFit="1" customWidth="1"/>
    <col min="5387" max="5632" width="8.85546875" style="809"/>
    <col min="5633" max="5633" width="11.5703125" style="809" bestFit="1" customWidth="1"/>
    <col min="5634" max="5634" width="12.5703125" style="809" customWidth="1"/>
    <col min="5635" max="5635" width="10.42578125" style="809" customWidth="1"/>
    <col min="5636" max="5636" width="14.5703125" style="809" customWidth="1"/>
    <col min="5637" max="5637" width="13.42578125" style="809" bestFit="1" customWidth="1"/>
    <col min="5638" max="5638" width="4.85546875" style="809" customWidth="1"/>
    <col min="5639" max="5639" width="11.5703125" style="809" customWidth="1"/>
    <col min="5640" max="5640" width="12" style="809" customWidth="1"/>
    <col min="5641" max="5641" width="9.5703125" style="809" customWidth="1"/>
    <col min="5642" max="5642" width="13.5703125" style="809" bestFit="1" customWidth="1"/>
    <col min="5643" max="5888" width="8.85546875" style="809"/>
    <col min="5889" max="5889" width="11.5703125" style="809" bestFit="1" customWidth="1"/>
    <col min="5890" max="5890" width="12.5703125" style="809" customWidth="1"/>
    <col min="5891" max="5891" width="10.42578125" style="809" customWidth="1"/>
    <col min="5892" max="5892" width="14.5703125" style="809" customWidth="1"/>
    <col min="5893" max="5893" width="13.42578125" style="809" bestFit="1" customWidth="1"/>
    <col min="5894" max="5894" width="4.85546875" style="809" customWidth="1"/>
    <col min="5895" max="5895" width="11.5703125" style="809" customWidth="1"/>
    <col min="5896" max="5896" width="12" style="809" customWidth="1"/>
    <col min="5897" max="5897" width="9.5703125" style="809" customWidth="1"/>
    <col min="5898" max="5898" width="13.5703125" style="809" bestFit="1" customWidth="1"/>
    <col min="5899" max="6144" width="8.85546875" style="809"/>
    <col min="6145" max="6145" width="11.5703125" style="809" bestFit="1" customWidth="1"/>
    <col min="6146" max="6146" width="12.5703125" style="809" customWidth="1"/>
    <col min="6147" max="6147" width="10.42578125" style="809" customWidth="1"/>
    <col min="6148" max="6148" width="14.5703125" style="809" customWidth="1"/>
    <col min="6149" max="6149" width="13.42578125" style="809" bestFit="1" customWidth="1"/>
    <col min="6150" max="6150" width="4.85546875" style="809" customWidth="1"/>
    <col min="6151" max="6151" width="11.5703125" style="809" customWidth="1"/>
    <col min="6152" max="6152" width="12" style="809" customWidth="1"/>
    <col min="6153" max="6153" width="9.5703125" style="809" customWidth="1"/>
    <col min="6154" max="6154" width="13.5703125" style="809" bestFit="1" customWidth="1"/>
    <col min="6155" max="6400" width="8.85546875" style="809"/>
    <col min="6401" max="6401" width="11.5703125" style="809" bestFit="1" customWidth="1"/>
    <col min="6402" max="6402" width="12.5703125" style="809" customWidth="1"/>
    <col min="6403" max="6403" width="10.42578125" style="809" customWidth="1"/>
    <col min="6404" max="6404" width="14.5703125" style="809" customWidth="1"/>
    <col min="6405" max="6405" width="13.42578125" style="809" bestFit="1" customWidth="1"/>
    <col min="6406" max="6406" width="4.85546875" style="809" customWidth="1"/>
    <col min="6407" max="6407" width="11.5703125" style="809" customWidth="1"/>
    <col min="6408" max="6408" width="12" style="809" customWidth="1"/>
    <col min="6409" max="6409" width="9.5703125" style="809" customWidth="1"/>
    <col min="6410" max="6410" width="13.5703125" style="809" bestFit="1" customWidth="1"/>
    <col min="6411" max="6656" width="8.85546875" style="809"/>
    <col min="6657" max="6657" width="11.5703125" style="809" bestFit="1" customWidth="1"/>
    <col min="6658" max="6658" width="12.5703125" style="809" customWidth="1"/>
    <col min="6659" max="6659" width="10.42578125" style="809" customWidth="1"/>
    <col min="6660" max="6660" width="14.5703125" style="809" customWidth="1"/>
    <col min="6661" max="6661" width="13.42578125" style="809" bestFit="1" customWidth="1"/>
    <col min="6662" max="6662" width="4.85546875" style="809" customWidth="1"/>
    <col min="6663" max="6663" width="11.5703125" style="809" customWidth="1"/>
    <col min="6664" max="6664" width="12" style="809" customWidth="1"/>
    <col min="6665" max="6665" width="9.5703125" style="809" customWidth="1"/>
    <col min="6666" max="6666" width="13.5703125" style="809" bestFit="1" customWidth="1"/>
    <col min="6667" max="6912" width="8.85546875" style="809"/>
    <col min="6913" max="6913" width="11.5703125" style="809" bestFit="1" customWidth="1"/>
    <col min="6914" max="6914" width="12.5703125" style="809" customWidth="1"/>
    <col min="6915" max="6915" width="10.42578125" style="809" customWidth="1"/>
    <col min="6916" max="6916" width="14.5703125" style="809" customWidth="1"/>
    <col min="6917" max="6917" width="13.42578125" style="809" bestFit="1" customWidth="1"/>
    <col min="6918" max="6918" width="4.85546875" style="809" customWidth="1"/>
    <col min="6919" max="6919" width="11.5703125" style="809" customWidth="1"/>
    <col min="6920" max="6920" width="12" style="809" customWidth="1"/>
    <col min="6921" max="6921" width="9.5703125" style="809" customWidth="1"/>
    <col min="6922" max="6922" width="13.5703125" style="809" bestFit="1" customWidth="1"/>
    <col min="6923" max="7168" width="8.85546875" style="809"/>
    <col min="7169" max="7169" width="11.5703125" style="809" bestFit="1" customWidth="1"/>
    <col min="7170" max="7170" width="12.5703125" style="809" customWidth="1"/>
    <col min="7171" max="7171" width="10.42578125" style="809" customWidth="1"/>
    <col min="7172" max="7172" width="14.5703125" style="809" customWidth="1"/>
    <col min="7173" max="7173" width="13.42578125" style="809" bestFit="1" customWidth="1"/>
    <col min="7174" max="7174" width="4.85546875" style="809" customWidth="1"/>
    <col min="7175" max="7175" width="11.5703125" style="809" customWidth="1"/>
    <col min="7176" max="7176" width="12" style="809" customWidth="1"/>
    <col min="7177" max="7177" width="9.5703125" style="809" customWidth="1"/>
    <col min="7178" max="7178" width="13.5703125" style="809" bestFit="1" customWidth="1"/>
    <col min="7179" max="7424" width="8.85546875" style="809"/>
    <col min="7425" max="7425" width="11.5703125" style="809" bestFit="1" customWidth="1"/>
    <col min="7426" max="7426" width="12.5703125" style="809" customWidth="1"/>
    <col min="7427" max="7427" width="10.42578125" style="809" customWidth="1"/>
    <col min="7428" max="7428" width="14.5703125" style="809" customWidth="1"/>
    <col min="7429" max="7429" width="13.42578125" style="809" bestFit="1" customWidth="1"/>
    <col min="7430" max="7430" width="4.85546875" style="809" customWidth="1"/>
    <col min="7431" max="7431" width="11.5703125" style="809" customWidth="1"/>
    <col min="7432" max="7432" width="12" style="809" customWidth="1"/>
    <col min="7433" max="7433" width="9.5703125" style="809" customWidth="1"/>
    <col min="7434" max="7434" width="13.5703125" style="809" bestFit="1" customWidth="1"/>
    <col min="7435" max="7680" width="8.85546875" style="809"/>
    <col min="7681" max="7681" width="11.5703125" style="809" bestFit="1" customWidth="1"/>
    <col min="7682" max="7682" width="12.5703125" style="809" customWidth="1"/>
    <col min="7683" max="7683" width="10.42578125" style="809" customWidth="1"/>
    <col min="7684" max="7684" width="14.5703125" style="809" customWidth="1"/>
    <col min="7685" max="7685" width="13.42578125" style="809" bestFit="1" customWidth="1"/>
    <col min="7686" max="7686" width="4.85546875" style="809" customWidth="1"/>
    <col min="7687" max="7687" width="11.5703125" style="809" customWidth="1"/>
    <col min="7688" max="7688" width="12" style="809" customWidth="1"/>
    <col min="7689" max="7689" width="9.5703125" style="809" customWidth="1"/>
    <col min="7690" max="7690" width="13.5703125" style="809" bestFit="1" customWidth="1"/>
    <col min="7691" max="7936" width="8.85546875" style="809"/>
    <col min="7937" max="7937" width="11.5703125" style="809" bestFit="1" customWidth="1"/>
    <col min="7938" max="7938" width="12.5703125" style="809" customWidth="1"/>
    <col min="7939" max="7939" width="10.42578125" style="809" customWidth="1"/>
    <col min="7940" max="7940" width="14.5703125" style="809" customWidth="1"/>
    <col min="7941" max="7941" width="13.42578125" style="809" bestFit="1" customWidth="1"/>
    <col min="7942" max="7942" width="4.85546875" style="809" customWidth="1"/>
    <col min="7943" max="7943" width="11.5703125" style="809" customWidth="1"/>
    <col min="7944" max="7944" width="12" style="809" customWidth="1"/>
    <col min="7945" max="7945" width="9.5703125" style="809" customWidth="1"/>
    <col min="7946" max="7946" width="13.5703125" style="809" bestFit="1" customWidth="1"/>
    <col min="7947" max="8192" width="8.85546875" style="809"/>
    <col min="8193" max="8193" width="11.5703125" style="809" bestFit="1" customWidth="1"/>
    <col min="8194" max="8194" width="12.5703125" style="809" customWidth="1"/>
    <col min="8195" max="8195" width="10.42578125" style="809" customWidth="1"/>
    <col min="8196" max="8196" width="14.5703125" style="809" customWidth="1"/>
    <col min="8197" max="8197" width="13.42578125" style="809" bestFit="1" customWidth="1"/>
    <col min="8198" max="8198" width="4.85546875" style="809" customWidth="1"/>
    <col min="8199" max="8199" width="11.5703125" style="809" customWidth="1"/>
    <col min="8200" max="8200" width="12" style="809" customWidth="1"/>
    <col min="8201" max="8201" width="9.5703125" style="809" customWidth="1"/>
    <col min="8202" max="8202" width="13.5703125" style="809" bestFit="1" customWidth="1"/>
    <col min="8203" max="8448" width="8.85546875" style="809"/>
    <col min="8449" max="8449" width="11.5703125" style="809" bestFit="1" customWidth="1"/>
    <col min="8450" max="8450" width="12.5703125" style="809" customWidth="1"/>
    <col min="8451" max="8451" width="10.42578125" style="809" customWidth="1"/>
    <col min="8452" max="8452" width="14.5703125" style="809" customWidth="1"/>
    <col min="8453" max="8453" width="13.42578125" style="809" bestFit="1" customWidth="1"/>
    <col min="8454" max="8454" width="4.85546875" style="809" customWidth="1"/>
    <col min="8455" max="8455" width="11.5703125" style="809" customWidth="1"/>
    <col min="8456" max="8456" width="12" style="809" customWidth="1"/>
    <col min="8457" max="8457" width="9.5703125" style="809" customWidth="1"/>
    <col min="8458" max="8458" width="13.5703125" style="809" bestFit="1" customWidth="1"/>
    <col min="8459" max="8704" width="8.85546875" style="809"/>
    <col min="8705" max="8705" width="11.5703125" style="809" bestFit="1" customWidth="1"/>
    <col min="8706" max="8706" width="12.5703125" style="809" customWidth="1"/>
    <col min="8707" max="8707" width="10.42578125" style="809" customWidth="1"/>
    <col min="8708" max="8708" width="14.5703125" style="809" customWidth="1"/>
    <col min="8709" max="8709" width="13.42578125" style="809" bestFit="1" customWidth="1"/>
    <col min="8710" max="8710" width="4.85546875" style="809" customWidth="1"/>
    <col min="8711" max="8711" width="11.5703125" style="809" customWidth="1"/>
    <col min="8712" max="8712" width="12" style="809" customWidth="1"/>
    <col min="8713" max="8713" width="9.5703125" style="809" customWidth="1"/>
    <col min="8714" max="8714" width="13.5703125" style="809" bestFit="1" customWidth="1"/>
    <col min="8715" max="8960" width="8.85546875" style="809"/>
    <col min="8961" max="8961" width="11.5703125" style="809" bestFit="1" customWidth="1"/>
    <col min="8962" max="8962" width="12.5703125" style="809" customWidth="1"/>
    <col min="8963" max="8963" width="10.42578125" style="809" customWidth="1"/>
    <col min="8964" max="8964" width="14.5703125" style="809" customWidth="1"/>
    <col min="8965" max="8965" width="13.42578125" style="809" bestFit="1" customWidth="1"/>
    <col min="8966" max="8966" width="4.85546875" style="809" customWidth="1"/>
    <col min="8967" max="8967" width="11.5703125" style="809" customWidth="1"/>
    <col min="8968" max="8968" width="12" style="809" customWidth="1"/>
    <col min="8969" max="8969" width="9.5703125" style="809" customWidth="1"/>
    <col min="8970" max="8970" width="13.5703125" style="809" bestFit="1" customWidth="1"/>
    <col min="8971" max="9216" width="8.85546875" style="809"/>
    <col min="9217" max="9217" width="11.5703125" style="809" bestFit="1" customWidth="1"/>
    <col min="9218" max="9218" width="12.5703125" style="809" customWidth="1"/>
    <col min="9219" max="9219" width="10.42578125" style="809" customWidth="1"/>
    <col min="9220" max="9220" width="14.5703125" style="809" customWidth="1"/>
    <col min="9221" max="9221" width="13.42578125" style="809" bestFit="1" customWidth="1"/>
    <col min="9222" max="9222" width="4.85546875" style="809" customWidth="1"/>
    <col min="9223" max="9223" width="11.5703125" style="809" customWidth="1"/>
    <col min="9224" max="9224" width="12" style="809" customWidth="1"/>
    <col min="9225" max="9225" width="9.5703125" style="809" customWidth="1"/>
    <col min="9226" max="9226" width="13.5703125" style="809" bestFit="1" customWidth="1"/>
    <col min="9227" max="9472" width="8.85546875" style="809"/>
    <col min="9473" max="9473" width="11.5703125" style="809" bestFit="1" customWidth="1"/>
    <col min="9474" max="9474" width="12.5703125" style="809" customWidth="1"/>
    <col min="9475" max="9475" width="10.42578125" style="809" customWidth="1"/>
    <col min="9476" max="9476" width="14.5703125" style="809" customWidth="1"/>
    <col min="9477" max="9477" width="13.42578125" style="809" bestFit="1" customWidth="1"/>
    <col min="9478" max="9478" width="4.85546875" style="809" customWidth="1"/>
    <col min="9479" max="9479" width="11.5703125" style="809" customWidth="1"/>
    <col min="9480" max="9480" width="12" style="809" customWidth="1"/>
    <col min="9481" max="9481" width="9.5703125" style="809" customWidth="1"/>
    <col min="9482" max="9482" width="13.5703125" style="809" bestFit="1" customWidth="1"/>
    <col min="9483" max="9728" width="8.85546875" style="809"/>
    <col min="9729" max="9729" width="11.5703125" style="809" bestFit="1" customWidth="1"/>
    <col min="9730" max="9730" width="12.5703125" style="809" customWidth="1"/>
    <col min="9731" max="9731" width="10.42578125" style="809" customWidth="1"/>
    <col min="9732" max="9732" width="14.5703125" style="809" customWidth="1"/>
    <col min="9733" max="9733" width="13.42578125" style="809" bestFit="1" customWidth="1"/>
    <col min="9734" max="9734" width="4.85546875" style="809" customWidth="1"/>
    <col min="9735" max="9735" width="11.5703125" style="809" customWidth="1"/>
    <col min="9736" max="9736" width="12" style="809" customWidth="1"/>
    <col min="9737" max="9737" width="9.5703125" style="809" customWidth="1"/>
    <col min="9738" max="9738" width="13.5703125" style="809" bestFit="1" customWidth="1"/>
    <col min="9739" max="9984" width="8.85546875" style="809"/>
    <col min="9985" max="9985" width="11.5703125" style="809" bestFit="1" customWidth="1"/>
    <col min="9986" max="9986" width="12.5703125" style="809" customWidth="1"/>
    <col min="9987" max="9987" width="10.42578125" style="809" customWidth="1"/>
    <col min="9988" max="9988" width="14.5703125" style="809" customWidth="1"/>
    <col min="9989" max="9989" width="13.42578125" style="809" bestFit="1" customWidth="1"/>
    <col min="9990" max="9990" width="4.85546875" style="809" customWidth="1"/>
    <col min="9991" max="9991" width="11.5703125" style="809" customWidth="1"/>
    <col min="9992" max="9992" width="12" style="809" customWidth="1"/>
    <col min="9993" max="9993" width="9.5703125" style="809" customWidth="1"/>
    <col min="9994" max="9994" width="13.5703125" style="809" bestFit="1" customWidth="1"/>
    <col min="9995" max="10240" width="8.85546875" style="809"/>
    <col min="10241" max="10241" width="11.5703125" style="809" bestFit="1" customWidth="1"/>
    <col min="10242" max="10242" width="12.5703125" style="809" customWidth="1"/>
    <col min="10243" max="10243" width="10.42578125" style="809" customWidth="1"/>
    <col min="10244" max="10244" width="14.5703125" style="809" customWidth="1"/>
    <col min="10245" max="10245" width="13.42578125" style="809" bestFit="1" customWidth="1"/>
    <col min="10246" max="10246" width="4.85546875" style="809" customWidth="1"/>
    <col min="10247" max="10247" width="11.5703125" style="809" customWidth="1"/>
    <col min="10248" max="10248" width="12" style="809" customWidth="1"/>
    <col min="10249" max="10249" width="9.5703125" style="809" customWidth="1"/>
    <col min="10250" max="10250" width="13.5703125" style="809" bestFit="1" customWidth="1"/>
    <col min="10251" max="10496" width="8.85546875" style="809"/>
    <col min="10497" max="10497" width="11.5703125" style="809" bestFit="1" customWidth="1"/>
    <col min="10498" max="10498" width="12.5703125" style="809" customWidth="1"/>
    <col min="10499" max="10499" width="10.42578125" style="809" customWidth="1"/>
    <col min="10500" max="10500" width="14.5703125" style="809" customWidth="1"/>
    <col min="10501" max="10501" width="13.42578125" style="809" bestFit="1" customWidth="1"/>
    <col min="10502" max="10502" width="4.85546875" style="809" customWidth="1"/>
    <col min="10503" max="10503" width="11.5703125" style="809" customWidth="1"/>
    <col min="10504" max="10504" width="12" style="809" customWidth="1"/>
    <col min="10505" max="10505" width="9.5703125" style="809" customWidth="1"/>
    <col min="10506" max="10506" width="13.5703125" style="809" bestFit="1" customWidth="1"/>
    <col min="10507" max="10752" width="8.85546875" style="809"/>
    <col min="10753" max="10753" width="11.5703125" style="809" bestFit="1" customWidth="1"/>
    <col min="10754" max="10754" width="12.5703125" style="809" customWidth="1"/>
    <col min="10755" max="10755" width="10.42578125" style="809" customWidth="1"/>
    <col min="10756" max="10756" width="14.5703125" style="809" customWidth="1"/>
    <col min="10757" max="10757" width="13.42578125" style="809" bestFit="1" customWidth="1"/>
    <col min="10758" max="10758" width="4.85546875" style="809" customWidth="1"/>
    <col min="10759" max="10759" width="11.5703125" style="809" customWidth="1"/>
    <col min="10760" max="10760" width="12" style="809" customWidth="1"/>
    <col min="10761" max="10761" width="9.5703125" style="809" customWidth="1"/>
    <col min="10762" max="10762" width="13.5703125" style="809" bestFit="1" customWidth="1"/>
    <col min="10763" max="11008" width="8.85546875" style="809"/>
    <col min="11009" max="11009" width="11.5703125" style="809" bestFit="1" customWidth="1"/>
    <col min="11010" max="11010" width="12.5703125" style="809" customWidth="1"/>
    <col min="11011" max="11011" width="10.42578125" style="809" customWidth="1"/>
    <col min="11012" max="11012" width="14.5703125" style="809" customWidth="1"/>
    <col min="11013" max="11013" width="13.42578125" style="809" bestFit="1" customWidth="1"/>
    <col min="11014" max="11014" width="4.85546875" style="809" customWidth="1"/>
    <col min="11015" max="11015" width="11.5703125" style="809" customWidth="1"/>
    <col min="11016" max="11016" width="12" style="809" customWidth="1"/>
    <col min="11017" max="11017" width="9.5703125" style="809" customWidth="1"/>
    <col min="11018" max="11018" width="13.5703125" style="809" bestFit="1" customWidth="1"/>
    <col min="11019" max="11264" width="8.85546875" style="809"/>
    <col min="11265" max="11265" width="11.5703125" style="809" bestFit="1" customWidth="1"/>
    <col min="11266" max="11266" width="12.5703125" style="809" customWidth="1"/>
    <col min="11267" max="11267" width="10.42578125" style="809" customWidth="1"/>
    <col min="11268" max="11268" width="14.5703125" style="809" customWidth="1"/>
    <col min="11269" max="11269" width="13.42578125" style="809" bestFit="1" customWidth="1"/>
    <col min="11270" max="11270" width="4.85546875" style="809" customWidth="1"/>
    <col min="11271" max="11271" width="11.5703125" style="809" customWidth="1"/>
    <col min="11272" max="11272" width="12" style="809" customWidth="1"/>
    <col min="11273" max="11273" width="9.5703125" style="809" customWidth="1"/>
    <col min="11274" max="11274" width="13.5703125" style="809" bestFit="1" customWidth="1"/>
    <col min="11275" max="11520" width="8.85546875" style="809"/>
    <col min="11521" max="11521" width="11.5703125" style="809" bestFit="1" customWidth="1"/>
    <col min="11522" max="11522" width="12.5703125" style="809" customWidth="1"/>
    <col min="11523" max="11523" width="10.42578125" style="809" customWidth="1"/>
    <col min="11524" max="11524" width="14.5703125" style="809" customWidth="1"/>
    <col min="11525" max="11525" width="13.42578125" style="809" bestFit="1" customWidth="1"/>
    <col min="11526" max="11526" width="4.85546875" style="809" customWidth="1"/>
    <col min="11527" max="11527" width="11.5703125" style="809" customWidth="1"/>
    <col min="11528" max="11528" width="12" style="809" customWidth="1"/>
    <col min="11529" max="11529" width="9.5703125" style="809" customWidth="1"/>
    <col min="11530" max="11530" width="13.5703125" style="809" bestFit="1" customWidth="1"/>
    <col min="11531" max="11776" width="8.85546875" style="809"/>
    <col min="11777" max="11777" width="11.5703125" style="809" bestFit="1" customWidth="1"/>
    <col min="11778" max="11778" width="12.5703125" style="809" customWidth="1"/>
    <col min="11779" max="11779" width="10.42578125" style="809" customWidth="1"/>
    <col min="11780" max="11780" width="14.5703125" style="809" customWidth="1"/>
    <col min="11781" max="11781" width="13.42578125" style="809" bestFit="1" customWidth="1"/>
    <col min="11782" max="11782" width="4.85546875" style="809" customWidth="1"/>
    <col min="11783" max="11783" width="11.5703125" style="809" customWidth="1"/>
    <col min="11784" max="11784" width="12" style="809" customWidth="1"/>
    <col min="11785" max="11785" width="9.5703125" style="809" customWidth="1"/>
    <col min="11786" max="11786" width="13.5703125" style="809" bestFit="1" customWidth="1"/>
    <col min="11787" max="12032" width="8.85546875" style="809"/>
    <col min="12033" max="12033" width="11.5703125" style="809" bestFit="1" customWidth="1"/>
    <col min="12034" max="12034" width="12.5703125" style="809" customWidth="1"/>
    <col min="12035" max="12035" width="10.42578125" style="809" customWidth="1"/>
    <col min="12036" max="12036" width="14.5703125" style="809" customWidth="1"/>
    <col min="12037" max="12037" width="13.42578125" style="809" bestFit="1" customWidth="1"/>
    <col min="12038" max="12038" width="4.85546875" style="809" customWidth="1"/>
    <col min="12039" max="12039" width="11.5703125" style="809" customWidth="1"/>
    <col min="12040" max="12040" width="12" style="809" customWidth="1"/>
    <col min="12041" max="12041" width="9.5703125" style="809" customWidth="1"/>
    <col min="12042" max="12042" width="13.5703125" style="809" bestFit="1" customWidth="1"/>
    <col min="12043" max="12288" width="8.85546875" style="809"/>
    <col min="12289" max="12289" width="11.5703125" style="809" bestFit="1" customWidth="1"/>
    <col min="12290" max="12290" width="12.5703125" style="809" customWidth="1"/>
    <col min="12291" max="12291" width="10.42578125" style="809" customWidth="1"/>
    <col min="12292" max="12292" width="14.5703125" style="809" customWidth="1"/>
    <col min="12293" max="12293" width="13.42578125" style="809" bestFit="1" customWidth="1"/>
    <col min="12294" max="12294" width="4.85546875" style="809" customWidth="1"/>
    <col min="12295" max="12295" width="11.5703125" style="809" customWidth="1"/>
    <col min="12296" max="12296" width="12" style="809" customWidth="1"/>
    <col min="12297" max="12297" width="9.5703125" style="809" customWidth="1"/>
    <col min="12298" max="12298" width="13.5703125" style="809" bestFit="1" customWidth="1"/>
    <col min="12299" max="12544" width="8.85546875" style="809"/>
    <col min="12545" max="12545" width="11.5703125" style="809" bestFit="1" customWidth="1"/>
    <col min="12546" max="12546" width="12.5703125" style="809" customWidth="1"/>
    <col min="12547" max="12547" width="10.42578125" style="809" customWidth="1"/>
    <col min="12548" max="12548" width="14.5703125" style="809" customWidth="1"/>
    <col min="12549" max="12549" width="13.42578125" style="809" bestFit="1" customWidth="1"/>
    <col min="12550" max="12550" width="4.85546875" style="809" customWidth="1"/>
    <col min="12551" max="12551" width="11.5703125" style="809" customWidth="1"/>
    <col min="12552" max="12552" width="12" style="809" customWidth="1"/>
    <col min="12553" max="12553" width="9.5703125" style="809" customWidth="1"/>
    <col min="12554" max="12554" width="13.5703125" style="809" bestFit="1" customWidth="1"/>
    <col min="12555" max="12800" width="8.85546875" style="809"/>
    <col min="12801" max="12801" width="11.5703125" style="809" bestFit="1" customWidth="1"/>
    <col min="12802" max="12802" width="12.5703125" style="809" customWidth="1"/>
    <col min="12803" max="12803" width="10.42578125" style="809" customWidth="1"/>
    <col min="12804" max="12804" width="14.5703125" style="809" customWidth="1"/>
    <col min="12805" max="12805" width="13.42578125" style="809" bestFit="1" customWidth="1"/>
    <col min="12806" max="12806" width="4.85546875" style="809" customWidth="1"/>
    <col min="12807" max="12807" width="11.5703125" style="809" customWidth="1"/>
    <col min="12808" max="12808" width="12" style="809" customWidth="1"/>
    <col min="12809" max="12809" width="9.5703125" style="809" customWidth="1"/>
    <col min="12810" max="12810" width="13.5703125" style="809" bestFit="1" customWidth="1"/>
    <col min="12811" max="13056" width="8.85546875" style="809"/>
    <col min="13057" max="13057" width="11.5703125" style="809" bestFit="1" customWidth="1"/>
    <col min="13058" max="13058" width="12.5703125" style="809" customWidth="1"/>
    <col min="13059" max="13059" width="10.42578125" style="809" customWidth="1"/>
    <col min="13060" max="13060" width="14.5703125" style="809" customWidth="1"/>
    <col min="13061" max="13061" width="13.42578125" style="809" bestFit="1" customWidth="1"/>
    <col min="13062" max="13062" width="4.85546875" style="809" customWidth="1"/>
    <col min="13063" max="13063" width="11.5703125" style="809" customWidth="1"/>
    <col min="13064" max="13064" width="12" style="809" customWidth="1"/>
    <col min="13065" max="13065" width="9.5703125" style="809" customWidth="1"/>
    <col min="13066" max="13066" width="13.5703125" style="809" bestFit="1" customWidth="1"/>
    <col min="13067" max="13312" width="8.85546875" style="809"/>
    <col min="13313" max="13313" width="11.5703125" style="809" bestFit="1" customWidth="1"/>
    <col min="13314" max="13314" width="12.5703125" style="809" customWidth="1"/>
    <col min="13315" max="13315" width="10.42578125" style="809" customWidth="1"/>
    <col min="13316" max="13316" width="14.5703125" style="809" customWidth="1"/>
    <col min="13317" max="13317" width="13.42578125" style="809" bestFit="1" customWidth="1"/>
    <col min="13318" max="13318" width="4.85546875" style="809" customWidth="1"/>
    <col min="13319" max="13319" width="11.5703125" style="809" customWidth="1"/>
    <col min="13320" max="13320" width="12" style="809" customWidth="1"/>
    <col min="13321" max="13321" width="9.5703125" style="809" customWidth="1"/>
    <col min="13322" max="13322" width="13.5703125" style="809" bestFit="1" customWidth="1"/>
    <col min="13323" max="13568" width="8.85546875" style="809"/>
    <col min="13569" max="13569" width="11.5703125" style="809" bestFit="1" customWidth="1"/>
    <col min="13570" max="13570" width="12.5703125" style="809" customWidth="1"/>
    <col min="13571" max="13571" width="10.42578125" style="809" customWidth="1"/>
    <col min="13572" max="13572" width="14.5703125" style="809" customWidth="1"/>
    <col min="13573" max="13573" width="13.42578125" style="809" bestFit="1" customWidth="1"/>
    <col min="13574" max="13574" width="4.85546875" style="809" customWidth="1"/>
    <col min="13575" max="13575" width="11.5703125" style="809" customWidth="1"/>
    <col min="13576" max="13576" width="12" style="809" customWidth="1"/>
    <col min="13577" max="13577" width="9.5703125" style="809" customWidth="1"/>
    <col min="13578" max="13578" width="13.5703125" style="809" bestFit="1" customWidth="1"/>
    <col min="13579" max="13824" width="8.85546875" style="809"/>
    <col min="13825" max="13825" width="11.5703125" style="809" bestFit="1" customWidth="1"/>
    <col min="13826" max="13826" width="12.5703125" style="809" customWidth="1"/>
    <col min="13827" max="13827" width="10.42578125" style="809" customWidth="1"/>
    <col min="13828" max="13828" width="14.5703125" style="809" customWidth="1"/>
    <col min="13829" max="13829" width="13.42578125" style="809" bestFit="1" customWidth="1"/>
    <col min="13830" max="13830" width="4.85546875" style="809" customWidth="1"/>
    <col min="13831" max="13831" width="11.5703125" style="809" customWidth="1"/>
    <col min="13832" max="13832" width="12" style="809" customWidth="1"/>
    <col min="13833" max="13833" width="9.5703125" style="809" customWidth="1"/>
    <col min="13834" max="13834" width="13.5703125" style="809" bestFit="1" customWidth="1"/>
    <col min="13835" max="14080" width="8.85546875" style="809"/>
    <col min="14081" max="14081" width="11.5703125" style="809" bestFit="1" customWidth="1"/>
    <col min="14082" max="14082" width="12.5703125" style="809" customWidth="1"/>
    <col min="14083" max="14083" width="10.42578125" style="809" customWidth="1"/>
    <col min="14084" max="14084" width="14.5703125" style="809" customWidth="1"/>
    <col min="14085" max="14085" width="13.42578125" style="809" bestFit="1" customWidth="1"/>
    <col min="14086" max="14086" width="4.85546875" style="809" customWidth="1"/>
    <col min="14087" max="14087" width="11.5703125" style="809" customWidth="1"/>
    <col min="14088" max="14088" width="12" style="809" customWidth="1"/>
    <col min="14089" max="14089" width="9.5703125" style="809" customWidth="1"/>
    <col min="14090" max="14090" width="13.5703125" style="809" bestFit="1" customWidth="1"/>
    <col min="14091" max="14336" width="8.85546875" style="809"/>
    <col min="14337" max="14337" width="11.5703125" style="809" bestFit="1" customWidth="1"/>
    <col min="14338" max="14338" width="12.5703125" style="809" customWidth="1"/>
    <col min="14339" max="14339" width="10.42578125" style="809" customWidth="1"/>
    <col min="14340" max="14340" width="14.5703125" style="809" customWidth="1"/>
    <col min="14341" max="14341" width="13.42578125" style="809" bestFit="1" customWidth="1"/>
    <col min="14342" max="14342" width="4.85546875" style="809" customWidth="1"/>
    <col min="14343" max="14343" width="11.5703125" style="809" customWidth="1"/>
    <col min="14344" max="14344" width="12" style="809" customWidth="1"/>
    <col min="14345" max="14345" width="9.5703125" style="809" customWidth="1"/>
    <col min="14346" max="14346" width="13.5703125" style="809" bestFit="1" customWidth="1"/>
    <col min="14347" max="14592" width="8.85546875" style="809"/>
    <col min="14593" max="14593" width="11.5703125" style="809" bestFit="1" customWidth="1"/>
    <col min="14594" max="14594" width="12.5703125" style="809" customWidth="1"/>
    <col min="14595" max="14595" width="10.42578125" style="809" customWidth="1"/>
    <col min="14596" max="14596" width="14.5703125" style="809" customWidth="1"/>
    <col min="14597" max="14597" width="13.42578125" style="809" bestFit="1" customWidth="1"/>
    <col min="14598" max="14598" width="4.85546875" style="809" customWidth="1"/>
    <col min="14599" max="14599" width="11.5703125" style="809" customWidth="1"/>
    <col min="14600" max="14600" width="12" style="809" customWidth="1"/>
    <col min="14601" max="14601" width="9.5703125" style="809" customWidth="1"/>
    <col min="14602" max="14602" width="13.5703125" style="809" bestFit="1" customWidth="1"/>
    <col min="14603" max="14848" width="8.85546875" style="809"/>
    <col min="14849" max="14849" width="11.5703125" style="809" bestFit="1" customWidth="1"/>
    <col min="14850" max="14850" width="12.5703125" style="809" customWidth="1"/>
    <col min="14851" max="14851" width="10.42578125" style="809" customWidth="1"/>
    <col min="14852" max="14852" width="14.5703125" style="809" customWidth="1"/>
    <col min="14853" max="14853" width="13.42578125" style="809" bestFit="1" customWidth="1"/>
    <col min="14854" max="14854" width="4.85546875" style="809" customWidth="1"/>
    <col min="14855" max="14855" width="11.5703125" style="809" customWidth="1"/>
    <col min="14856" max="14856" width="12" style="809" customWidth="1"/>
    <col min="14857" max="14857" width="9.5703125" style="809" customWidth="1"/>
    <col min="14858" max="14858" width="13.5703125" style="809" bestFit="1" customWidth="1"/>
    <col min="14859" max="15104" width="8.85546875" style="809"/>
    <col min="15105" max="15105" width="11.5703125" style="809" bestFit="1" customWidth="1"/>
    <col min="15106" max="15106" width="12.5703125" style="809" customWidth="1"/>
    <col min="15107" max="15107" width="10.42578125" style="809" customWidth="1"/>
    <col min="15108" max="15108" width="14.5703125" style="809" customWidth="1"/>
    <col min="15109" max="15109" width="13.42578125" style="809" bestFit="1" customWidth="1"/>
    <col min="15110" max="15110" width="4.85546875" style="809" customWidth="1"/>
    <col min="15111" max="15111" width="11.5703125" style="809" customWidth="1"/>
    <col min="15112" max="15112" width="12" style="809" customWidth="1"/>
    <col min="15113" max="15113" width="9.5703125" style="809" customWidth="1"/>
    <col min="15114" max="15114" width="13.5703125" style="809" bestFit="1" customWidth="1"/>
    <col min="15115" max="15360" width="8.85546875" style="809"/>
    <col min="15361" max="15361" width="11.5703125" style="809" bestFit="1" customWidth="1"/>
    <col min="15362" max="15362" width="12.5703125" style="809" customWidth="1"/>
    <col min="15363" max="15363" width="10.42578125" style="809" customWidth="1"/>
    <col min="15364" max="15364" width="14.5703125" style="809" customWidth="1"/>
    <col min="15365" max="15365" width="13.42578125" style="809" bestFit="1" customWidth="1"/>
    <col min="15366" max="15366" width="4.85546875" style="809" customWidth="1"/>
    <col min="15367" max="15367" width="11.5703125" style="809" customWidth="1"/>
    <col min="15368" max="15368" width="12" style="809" customWidth="1"/>
    <col min="15369" max="15369" width="9.5703125" style="809" customWidth="1"/>
    <col min="15370" max="15370" width="13.5703125" style="809" bestFit="1" customWidth="1"/>
    <col min="15371" max="15616" width="8.85546875" style="809"/>
    <col min="15617" max="15617" width="11.5703125" style="809" bestFit="1" customWidth="1"/>
    <col min="15618" max="15618" width="12.5703125" style="809" customWidth="1"/>
    <col min="15619" max="15619" width="10.42578125" style="809" customWidth="1"/>
    <col min="15620" max="15620" width="14.5703125" style="809" customWidth="1"/>
    <col min="15621" max="15621" width="13.42578125" style="809" bestFit="1" customWidth="1"/>
    <col min="15622" max="15622" width="4.85546875" style="809" customWidth="1"/>
    <col min="15623" max="15623" width="11.5703125" style="809" customWidth="1"/>
    <col min="15624" max="15624" width="12" style="809" customWidth="1"/>
    <col min="15625" max="15625" width="9.5703125" style="809" customWidth="1"/>
    <col min="15626" max="15626" width="13.5703125" style="809" bestFit="1" customWidth="1"/>
    <col min="15627" max="15872" width="8.85546875" style="809"/>
    <col min="15873" max="15873" width="11.5703125" style="809" bestFit="1" customWidth="1"/>
    <col min="15874" max="15874" width="12.5703125" style="809" customWidth="1"/>
    <col min="15875" max="15875" width="10.42578125" style="809" customWidth="1"/>
    <col min="15876" max="15876" width="14.5703125" style="809" customWidth="1"/>
    <col min="15877" max="15877" width="13.42578125" style="809" bestFit="1" customWidth="1"/>
    <col min="15878" max="15878" width="4.85546875" style="809" customWidth="1"/>
    <col min="15879" max="15879" width="11.5703125" style="809" customWidth="1"/>
    <col min="15880" max="15880" width="12" style="809" customWidth="1"/>
    <col min="15881" max="15881" width="9.5703125" style="809" customWidth="1"/>
    <col min="15882" max="15882" width="13.5703125" style="809" bestFit="1" customWidth="1"/>
    <col min="15883" max="16128" width="8.85546875" style="809"/>
    <col min="16129" max="16129" width="11.5703125" style="809" bestFit="1" customWidth="1"/>
    <col min="16130" max="16130" width="12.5703125" style="809" customWidth="1"/>
    <col min="16131" max="16131" width="10.42578125" style="809" customWidth="1"/>
    <col min="16132" max="16132" width="14.5703125" style="809" customWidth="1"/>
    <col min="16133" max="16133" width="13.42578125" style="809" bestFit="1" customWidth="1"/>
    <col min="16134" max="16134" width="4.85546875" style="809" customWidth="1"/>
    <col min="16135" max="16135" width="11.5703125" style="809" customWidth="1"/>
    <col min="16136" max="16136" width="12" style="809" customWidth="1"/>
    <col min="16137" max="16137" width="9.5703125" style="809" customWidth="1"/>
    <col min="16138" max="16138" width="13.570312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Pointe North Village III</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4523</v>
      </c>
      <c r="D5" s="2249"/>
      <c r="E5" s="2250"/>
      <c r="F5" s="593"/>
      <c r="G5" s="2248" t="s">
        <v>4524</v>
      </c>
      <c r="H5" s="2249"/>
      <c r="I5" s="2250"/>
      <c r="J5" s="809"/>
      <c r="K5" s="2259" t="s">
        <v>4525</v>
      </c>
    </row>
    <row r="6" spans="1:11" s="814" customFormat="1" ht="15" customHeight="1">
      <c r="A6" s="813" t="s">
        <v>2732</v>
      </c>
      <c r="C6" s="815" t="s">
        <v>3559</v>
      </c>
      <c r="D6" s="815" t="s">
        <v>4526</v>
      </c>
      <c r="E6" s="815" t="s">
        <v>2006</v>
      </c>
      <c r="G6" s="815" t="s">
        <v>3560</v>
      </c>
      <c r="H6" s="815" t="s">
        <v>4527</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6</v>
      </c>
      <c r="E8" s="819">
        <f>C8*D8</f>
        <v>0</v>
      </c>
      <c r="G8" s="817"/>
      <c r="H8" s="818">
        <f>'Part VI-Revenues &amp; Expenses'!$K$62</f>
        <v>6</v>
      </c>
      <c r="I8" s="819">
        <f>G8*H8</f>
        <v>0</v>
      </c>
      <c r="K8" s="816" t="s">
        <v>3561</v>
      </c>
    </row>
    <row r="9" spans="1:11" s="593" customFormat="1" ht="13.5" customHeight="1">
      <c r="A9" s="593" t="s">
        <v>2731</v>
      </c>
      <c r="C9" s="817"/>
      <c r="D9" s="1407">
        <f>'Part VI-Revenues &amp; Expenses'!$L$58</f>
        <v>24</v>
      </c>
      <c r="E9" s="819">
        <f>C9*D9</f>
        <v>0</v>
      </c>
      <c r="G9" s="817"/>
      <c r="H9" s="818">
        <f>'Part VI-Revenues &amp; Expenses'!$L$62</f>
        <v>24</v>
      </c>
      <c r="I9" s="819">
        <f>G9*H9</f>
        <v>0</v>
      </c>
      <c r="K9" s="1414">
        <f>'Part IV-A-Uses of Funds'!$G$132</f>
        <v>10235578.982141985</v>
      </c>
    </row>
    <row r="10" spans="1:11" s="593" customFormat="1" ht="13.5" customHeight="1">
      <c r="A10" s="593" t="s">
        <v>2734</v>
      </c>
      <c r="C10" s="817"/>
      <c r="D10" s="1407">
        <f>'Part VI-Revenues &amp; Expenses'!$M$58</f>
        <v>24</v>
      </c>
      <c r="E10" s="819">
        <f>C10*D10</f>
        <v>0</v>
      </c>
      <c r="G10" s="817"/>
      <c r="H10" s="818">
        <f>'Part VI-Revenues &amp; Expenses'!$M$62</f>
        <v>24</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54</v>
      </c>
      <c r="E12" s="826"/>
      <c r="G12" s="825" t="s">
        <v>1806</v>
      </c>
      <c r="H12" s="1413">
        <f>SUM(H7:H11)</f>
        <v>54</v>
      </c>
      <c r="I12" s="826"/>
      <c r="K12" s="2252"/>
    </row>
    <row r="13" spans="1:11" s="593" customFormat="1" ht="13.5" customHeight="1" thickBot="1">
      <c r="A13" s="825" t="s">
        <v>3103</v>
      </c>
      <c r="B13" s="827"/>
      <c r="E13" s="828">
        <f>SUM(E7:E11)</f>
        <v>0</v>
      </c>
      <c r="G13" s="825" t="s">
        <v>3339</v>
      </c>
      <c r="H13" s="827"/>
      <c r="I13" s="829">
        <f>SUM(I7:I11)</f>
        <v>0</v>
      </c>
      <c r="K13" s="1414">
        <f>'Part VIII-Threshold Criteria'!$P$63</f>
        <v>11531334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4311</v>
      </c>
      <c r="F18" s="1416"/>
      <c r="G18" s="1416"/>
      <c r="H18" s="1416"/>
      <c r="I18" s="1416"/>
      <c r="K18" s="1392">
        <f>Overview!$E$13</f>
        <v>54</v>
      </c>
    </row>
    <row r="19" spans="1:11" s="593" customFormat="1" ht="13.5" customHeight="1">
      <c r="A19" s="593" t="s">
        <v>3104</v>
      </c>
      <c r="E19" s="1410"/>
      <c r="K19" s="680">
        <f>Overview!$C$13</f>
        <v>54</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10235578.982141985</v>
      </c>
    </row>
    <row r="24" spans="1:11" s="593" customFormat="1" ht="13.5" customHeight="1">
      <c r="A24" s="834" t="s">
        <v>1773</v>
      </c>
      <c r="E24" s="1410"/>
      <c r="K24" s="820">
        <f>'Part IV-A-Uses of Funds'!$G$122</f>
        <v>153109</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10082469.982141985</v>
      </c>
    </row>
    <row r="29" spans="1:11" ht="6.75" customHeight="1">
      <c r="A29" s="831"/>
      <c r="E29" s="1411"/>
      <c r="K29" s="839"/>
    </row>
    <row r="30" spans="1:11" s="593" customFormat="1" ht="15" customHeight="1">
      <c r="A30" s="827" t="s">
        <v>3111</v>
      </c>
      <c r="E30" s="1409" t="s">
        <v>3571</v>
      </c>
      <c r="F30" s="840"/>
      <c r="G30" s="840"/>
      <c r="H30" s="840"/>
      <c r="I30" s="840"/>
      <c r="K30" s="841">
        <f>K21*K28</f>
        <v>10082469.982141985</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805000</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4</v>
      </c>
    </row>
    <row r="39" spans="1:11" s="593" customFormat="1" ht="15.75" customHeight="1" thickBot="1">
      <c r="A39" s="2253"/>
      <c r="B39" s="2253"/>
      <c r="C39" s="2253"/>
      <c r="D39" s="2257">
        <f>K36</f>
        <v>805000</v>
      </c>
      <c r="E39" s="2257"/>
      <c r="F39" s="2258">
        <f>K28</f>
        <v>10082469.982141985</v>
      </c>
      <c r="G39" s="2258"/>
      <c r="H39" s="2258"/>
      <c r="I39" s="848">
        <f>K19</f>
        <v>54</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2018-041  Pointe North Village III</v>
      </c>
      <c r="B1" s="2262"/>
      <c r="C1" s="2262"/>
      <c r="D1" s="2262"/>
      <c r="E1" s="2262"/>
      <c r="F1" s="2262"/>
      <c r="G1" s="2262"/>
      <c r="H1" s="2262"/>
    </row>
    <row r="3" spans="1:13" ht="12" customHeight="1">
      <c r="A3" s="2263" t="s">
        <v>3530</v>
      </c>
      <c r="B3" s="2263"/>
      <c r="C3" s="2263"/>
      <c r="D3" s="2263"/>
      <c r="E3" s="2263"/>
      <c r="F3" s="2263"/>
      <c r="G3" s="2263"/>
      <c r="H3" s="2263"/>
      <c r="I3" s="1474"/>
      <c r="J3" s="2265" t="s">
        <v>4312</v>
      </c>
      <c r="K3" s="2265"/>
      <c r="L3" s="882"/>
      <c r="M3" s="882"/>
    </row>
    <row r="4" spans="1:13">
      <c r="J4" s="2265"/>
      <c r="K4" s="2265"/>
    </row>
    <row r="5" spans="1:13" ht="12" customHeight="1">
      <c r="A5" s="809">
        <v>1</v>
      </c>
      <c r="C5" s="809" t="s">
        <v>3113</v>
      </c>
      <c r="E5" s="864" t="str">
        <f>Overview!H9</f>
        <v>Pointe North Village III, LP</v>
      </c>
      <c r="J5" s="2265"/>
      <c r="K5" s="2265"/>
    </row>
    <row r="6" spans="1:13" ht="3" customHeight="1">
      <c r="H6" s="826"/>
      <c r="J6" s="2265"/>
      <c r="K6" s="2265"/>
    </row>
    <row r="7" spans="1:13" ht="12" customHeight="1">
      <c r="A7" s="809">
        <v>2</v>
      </c>
      <c r="C7" s="809" t="s">
        <v>3114</v>
      </c>
      <c r="E7" s="864" t="str">
        <f>'Part II-Development Team'!H6</f>
        <v>295 W Crossville Rd, Suite 720</v>
      </c>
      <c r="J7" s="2265"/>
      <c r="K7" s="2265"/>
    </row>
    <row r="8" spans="1:13" ht="12" customHeight="1">
      <c r="E8" s="864" t="str">
        <f>+'Part II-Development Team'!H7&amp;","&amp;" "&amp;'Part II-Development Team'!H8&amp;" "&amp;LEFT('Part II-Development Team'!J8,5)</f>
        <v>Roswell, GA 30075</v>
      </c>
      <c r="J8" s="2265"/>
      <c r="K8" s="2265"/>
    </row>
    <row r="9" spans="1:13" ht="12" customHeight="1">
      <c r="C9" s="809" t="s">
        <v>3115</v>
      </c>
      <c r="E9" s="2264" t="str">
        <f>'Part II-Development Team'!L7</f>
        <v>TBD</v>
      </c>
      <c r="F9" s="2264"/>
      <c r="J9" s="2265"/>
      <c r="K9" s="2265"/>
    </row>
    <row r="10" spans="1:13" ht="12" customHeight="1">
      <c r="C10" s="809" t="s">
        <v>3116</v>
      </c>
      <c r="E10" s="864" t="str">
        <f>'Part II-Development Team'!Q5</f>
        <v>Josh Thomason</v>
      </c>
    </row>
    <row r="11" spans="1:13" ht="12" customHeight="1">
      <c r="C11" s="809" t="s">
        <v>4317</v>
      </c>
      <c r="E11" s="864" t="str">
        <f>'Part II-Development Team'!L9</f>
        <v>josh@piedmonthousinggroup.com</v>
      </c>
    </row>
    <row r="12" spans="1:13" ht="12" customHeight="1">
      <c r="C12" s="809" t="s">
        <v>4313</v>
      </c>
      <c r="E12" s="1475">
        <f>'Part II-Development Team'!H9</f>
        <v>4042021357</v>
      </c>
    </row>
    <row r="13" spans="1:13" ht="12" customHeight="1">
      <c r="C13" s="809" t="s">
        <v>4316</v>
      </c>
      <c r="E13" s="1475">
        <f>'Part II-Development Team'!Q7</f>
        <v>4042021357</v>
      </c>
    </row>
    <row r="14" spans="1:13" ht="3" customHeight="1"/>
    <row r="15" spans="1:13" ht="12" customHeight="1">
      <c r="A15" s="809">
        <v>3</v>
      </c>
      <c r="C15" s="809" t="s">
        <v>3117</v>
      </c>
      <c r="E15" s="864" t="str">
        <f>Overview!C8</f>
        <v>Pointe North Village III</v>
      </c>
    </row>
    <row r="16" spans="1:13" ht="12" customHeight="1">
      <c r="C16" s="809" t="s">
        <v>3118</v>
      </c>
      <c r="E16" s="864" t="str">
        <f>'Part I-Project Information'!$F$35</f>
        <v>Located off Pointe North Blvd, Parcel # 00352/00001/01D</v>
      </c>
    </row>
    <row r="17" spans="1:8" ht="12" customHeight="1">
      <c r="E17" s="864" t="str">
        <f>+'Part I-Project Information'!$F$38&amp;","&amp;" GA "&amp;LEFT('Part I-Project Information'!$J$38,5)</f>
        <v>Albany, GA 31721</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206 Peach Way</v>
      </c>
    </row>
    <row r="21" spans="1:8" ht="12" customHeight="1">
      <c r="E21" s="864" t="str">
        <f>+'Part II-Development Team'!H94&amp;","&amp;" "&amp;'Part II-Development Team'!H95&amp;" "&amp;LEFT('Part II-Development Team'!L95,5)</f>
        <v>Columbia, MO 65203</v>
      </c>
    </row>
    <row r="22" spans="1:8" ht="12" customHeight="1">
      <c r="C22" s="809" t="s">
        <v>4313</v>
      </c>
      <c r="E22" s="1475">
        <f>'Part II-Development Team'!H96</f>
        <v>5734432021</v>
      </c>
    </row>
    <row r="23" spans="1:8" ht="12" customHeight="1">
      <c r="C23" s="809" t="s">
        <v>4316</v>
      </c>
      <c r="E23" s="1475">
        <f>'Part II-Development Team'!Q94</f>
        <v>5734432021</v>
      </c>
    </row>
    <row r="24" spans="1:8" ht="12" customHeight="1">
      <c r="C24" s="809" t="s">
        <v>4317</v>
      </c>
      <c r="E24" s="1475" t="str">
        <f>'Part II-Development Team'!L96</f>
        <v>bkimes@aepartners.com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7527811</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240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Dougherty Housing Ventures III, LLC</v>
      </c>
    </row>
    <row r="48" spans="1:7" ht="3" customHeight="1">
      <c r="E48" s="864"/>
    </row>
    <row r="49" spans="1:7" ht="12" customHeight="1">
      <c r="A49" s="809">
        <v>15</v>
      </c>
      <c r="C49" s="809" t="s">
        <v>4319</v>
      </c>
      <c r="E49" s="864" t="str">
        <f>'Part II-Development Team'!Q98</f>
        <v>Greg Clark</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54</v>
      </c>
    </row>
    <row r="53" spans="1:7" ht="3" customHeight="1">
      <c r="F53" s="854"/>
    </row>
    <row r="54" spans="1:7" ht="12" customHeight="1">
      <c r="A54" s="882">
        <v>17</v>
      </c>
      <c r="B54" s="882"/>
      <c r="C54" s="882" t="s">
        <v>3139</v>
      </c>
      <c r="D54" s="882"/>
      <c r="E54" s="882"/>
      <c r="F54" s="1482">
        <f>'Subsidy Layering WS'!K18</f>
        <v>54</v>
      </c>
      <c r="G54" s="882"/>
    </row>
    <row r="55" spans="1:7" ht="3" customHeight="1">
      <c r="F55" s="854"/>
    </row>
    <row r="56" spans="1:7" ht="12" customHeight="1">
      <c r="A56" s="809">
        <v>18</v>
      </c>
      <c r="C56" s="809" t="s">
        <v>3140</v>
      </c>
      <c r="F56" s="1482">
        <f>'Part VI-Revenues &amp; Expenses'!O61</f>
        <v>0</v>
      </c>
      <c r="G56" s="809" t="s">
        <v>4318</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Pointe North Village III,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153109</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61290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42578125" style="809" customWidth="1"/>
    <col min="11" max="16384" width="9.140625" style="809"/>
  </cols>
  <sheetData>
    <row r="1" spans="1:13" ht="15">
      <c r="A1" s="2280" t="s">
        <v>3341</v>
      </c>
      <c r="B1" s="2280"/>
      <c r="C1" s="2280"/>
      <c r="D1" s="2280"/>
      <c r="E1" s="2280"/>
      <c r="F1" s="2280"/>
      <c r="G1" s="2280"/>
      <c r="H1" s="2280"/>
      <c r="I1" s="2280"/>
      <c r="J1" s="2280"/>
    </row>
    <row r="2" spans="1:13" ht="15">
      <c r="A2" s="2280" t="str">
        <f>Overview!E8&amp;"  "&amp;Overview!C8</f>
        <v>2018-041  Pointe North Village III</v>
      </c>
      <c r="B2" s="2280"/>
      <c r="C2" s="2280"/>
      <c r="D2" s="2280"/>
      <c r="E2" s="2280"/>
      <c r="F2" s="2280"/>
      <c r="G2" s="2280"/>
      <c r="H2" s="2280"/>
      <c r="I2" s="2280"/>
      <c r="J2" s="2280"/>
    </row>
    <row r="3" spans="1:13" ht="6" customHeight="1">
      <c r="K3" s="2265" t="s">
        <v>4312</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Pointe North Village III,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3"/>
      <c r="E13" s="2273"/>
      <c r="F13" s="2273"/>
      <c r="G13" s="2273"/>
      <c r="H13" s="2273"/>
      <c r="I13" s="2273"/>
      <c r="J13" s="2273"/>
    </row>
    <row r="14" spans="1:13" ht="3" customHeight="1">
      <c r="G14" s="746"/>
      <c r="H14" s="851"/>
      <c r="I14" s="851"/>
    </row>
    <row r="15" spans="1:13" ht="12" customHeight="1">
      <c r="A15" s="809" t="s">
        <v>3158</v>
      </c>
      <c r="C15" s="853" t="str">
        <f>'Preview term'!E10</f>
        <v>Josh Thomason</v>
      </c>
      <c r="G15" s="746"/>
      <c r="I15" s="851"/>
    </row>
    <row r="16" spans="1:13" ht="12" customHeight="1">
      <c r="A16" s="864" t="s">
        <v>4528</v>
      </c>
      <c r="C16" s="853" t="str">
        <f>'Part II-Development Team'!Q6</f>
        <v>Manager of GP</v>
      </c>
      <c r="G16" s="746"/>
      <c r="I16" s="851"/>
    </row>
    <row r="17" spans="1:9" ht="3" customHeight="1">
      <c r="G17" s="746"/>
      <c r="H17" s="851"/>
      <c r="I17" s="851"/>
    </row>
    <row r="18" spans="1:9" ht="12" customHeight="1">
      <c r="A18" s="809" t="s">
        <v>3159</v>
      </c>
      <c r="C18" s="853" t="str">
        <f>'Preview term'!$E$7</f>
        <v>295 W Crossville Rd, Suite 720</v>
      </c>
      <c r="G18" s="746"/>
      <c r="I18" s="851"/>
    </row>
    <row r="19" spans="1:9" ht="12" customHeight="1">
      <c r="C19" s="853" t="str">
        <f>'Preview term'!$E$8</f>
        <v>Roswell, GA 30075</v>
      </c>
      <c r="G19" s="746"/>
      <c r="I19" s="851"/>
    </row>
    <row r="20" spans="1:9" ht="3" customHeight="1">
      <c r="G20" s="746"/>
      <c r="H20" s="851"/>
      <c r="I20" s="851"/>
    </row>
    <row r="21" spans="1:9" ht="12" customHeight="1">
      <c r="A21" s="809" t="s">
        <v>3160</v>
      </c>
      <c r="C21" s="853" t="str">
        <f>CONCATENATE('Preview term'!E49," of  ",'Preview term'!G49)</f>
        <v>Greg Clark of  Coleman Talley LLP</v>
      </c>
      <c r="G21" s="746"/>
      <c r="I21" s="851"/>
    </row>
    <row r="22" spans="1:9" ht="3" customHeight="1">
      <c r="C22" s="853"/>
      <c r="G22" s="746"/>
      <c r="I22" s="851"/>
    </row>
    <row r="23" spans="1:9" ht="12" customHeight="1">
      <c r="A23" s="809" t="s">
        <v>3161</v>
      </c>
      <c r="C23" s="853">
        <f>'Preview term'!E12</f>
        <v>4042021357</v>
      </c>
      <c r="G23" s="746"/>
      <c r="I23" s="851"/>
    </row>
    <row r="24" spans="1:9" ht="3" customHeight="1">
      <c r="C24" s="853"/>
      <c r="G24" s="746"/>
      <c r="I24" s="851"/>
    </row>
    <row r="25" spans="1:9" ht="12" customHeight="1">
      <c r="A25" s="809" t="s">
        <v>3162</v>
      </c>
      <c r="C25" s="1421" t="str">
        <f>'Preview term'!E11</f>
        <v>josh@piedmonthousinggroup.com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Pointe North Village III</v>
      </c>
      <c r="I28" s="851"/>
    </row>
    <row r="29" spans="1:9" ht="3" customHeight="1">
      <c r="C29" s="853"/>
      <c r="I29" s="851"/>
    </row>
    <row r="30" spans="1:9" ht="12" customHeight="1">
      <c r="A30" s="809" t="s">
        <v>3165</v>
      </c>
      <c r="C30" s="853" t="str">
        <f>'Preview term'!E16</f>
        <v>Located off Pointe North Blvd, Parcel # 00352/00001/01D</v>
      </c>
      <c r="I30" s="851"/>
    </row>
    <row r="31" spans="1:9">
      <c r="C31" s="851" t="str">
        <f>'Preview term'!E17</f>
        <v>Albany, GA 31721</v>
      </c>
      <c r="I31" s="851"/>
    </row>
    <row r="32" spans="1:9" ht="3" customHeight="1">
      <c r="C32" s="746"/>
      <c r="D32" s="746"/>
      <c r="I32" s="746"/>
    </row>
    <row r="33" spans="1:10" ht="12" customHeight="1">
      <c r="A33" s="809" t="s">
        <v>3166</v>
      </c>
      <c r="C33" s="746" t="s">
        <v>3167</v>
      </c>
      <c r="D33" s="1420">
        <f>'Preview term'!F54</f>
        <v>54</v>
      </c>
      <c r="I33" s="746"/>
    </row>
    <row r="34" spans="1:10" ht="12" customHeight="1">
      <c r="C34" s="746" t="s">
        <v>3168</v>
      </c>
      <c r="D34" s="855">
        <f>'Subsidy Layering WS'!H12-'Subsidy Layering WS'!D12</f>
        <v>0</v>
      </c>
      <c r="I34" s="746"/>
    </row>
    <row r="35" spans="1:10" ht="12" customHeight="1">
      <c r="C35" s="746" t="s">
        <v>3169</v>
      </c>
      <c r="D35" s="856">
        <f>SUM(D33:D34)</f>
        <v>54</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1"/>
      <c r="D39" s="2281"/>
      <c r="E39" s="2281"/>
      <c r="F39" s="2281"/>
      <c r="G39" s="2281"/>
      <c r="H39" s="2281"/>
      <c r="I39" s="2281"/>
      <c r="J39" s="2281"/>
    </row>
    <row r="40" spans="1:10" ht="3" customHeight="1">
      <c r="G40" s="746"/>
      <c r="H40" s="746"/>
      <c r="I40" s="746"/>
    </row>
    <row r="41" spans="1:10" ht="25.5" customHeight="1">
      <c r="A41" s="858" t="s">
        <v>3173</v>
      </c>
      <c r="C41" s="2282" t="s">
        <v>3534</v>
      </c>
      <c r="D41" s="2282"/>
      <c r="E41" s="2282"/>
      <c r="F41" s="2282"/>
      <c r="G41" s="2282"/>
      <c r="H41" s="2282"/>
      <c r="I41" s="2282"/>
      <c r="J41" s="2282"/>
    </row>
    <row r="42" spans="1:10" ht="3" customHeight="1">
      <c r="C42" s="591"/>
      <c r="D42" s="591"/>
      <c r="E42" s="591"/>
      <c r="F42" s="591"/>
      <c r="G42" s="591"/>
      <c r="H42" s="592"/>
      <c r="I42" s="593"/>
      <c r="J42" s="592"/>
    </row>
    <row r="43" spans="1:10" ht="12" customHeight="1">
      <c r="A43" s="809" t="s">
        <v>3174</v>
      </c>
      <c r="C43" s="678" t="str">
        <f>'Part I-Project Information'!J39</f>
        <v>Dougherty</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2" t="s">
        <v>580</v>
      </c>
      <c r="D49" s="2282"/>
      <c r="E49" s="2282"/>
      <c r="F49" s="2282"/>
      <c r="G49" s="2282"/>
      <c r="H49" s="2282"/>
      <c r="I49" s="2282"/>
      <c r="J49" s="2282"/>
    </row>
    <row r="50" spans="1:10" ht="12" customHeight="1">
      <c r="C50" s="2277" t="s">
        <v>1821</v>
      </c>
      <c r="D50" s="2277"/>
      <c r="E50" s="2277"/>
      <c r="F50" s="2277"/>
      <c r="G50" s="2277"/>
      <c r="H50" s="2277"/>
      <c r="I50" s="2277"/>
      <c r="J50" s="2277"/>
    </row>
    <row r="51" spans="1:10" ht="3" customHeight="1">
      <c r="D51" s="861"/>
      <c r="E51" s="861"/>
      <c r="F51" s="861"/>
      <c r="G51" s="862"/>
      <c r="H51" s="746"/>
      <c r="I51" s="861"/>
      <c r="J51" s="861"/>
    </row>
    <row r="52" spans="1:10" ht="12" customHeight="1">
      <c r="A52" s="858" t="s">
        <v>3178</v>
      </c>
      <c r="B52" s="858"/>
      <c r="C52" s="863" t="s">
        <v>3179</v>
      </c>
      <c r="D52" s="863" t="s">
        <v>3535</v>
      </c>
      <c r="E52" s="2278"/>
      <c r="F52" s="2278"/>
      <c r="G52" s="2278"/>
      <c r="H52" s="2278"/>
      <c r="I52" s="2278"/>
      <c r="J52" s="2278"/>
    </row>
    <row r="53" spans="1:10" ht="12" customHeight="1">
      <c r="A53" s="858"/>
      <c r="B53" s="858"/>
      <c r="C53" s="858"/>
      <c r="D53" s="863" t="s">
        <v>3536</v>
      </c>
      <c r="E53" s="2279"/>
      <c r="F53" s="2279"/>
      <c r="G53" s="2279"/>
      <c r="H53" s="2279"/>
      <c r="I53" s="2279"/>
      <c r="J53" s="2279"/>
    </row>
    <row r="54" spans="1:10" ht="12" customHeight="1">
      <c r="A54" s="850" t="s">
        <v>3180</v>
      </c>
      <c r="G54" s="746"/>
      <c r="H54" s="746"/>
      <c r="I54" s="746"/>
    </row>
    <row r="55" spans="1:10" ht="18" customHeight="1">
      <c r="A55" s="809" t="s">
        <v>3181</v>
      </c>
      <c r="C55" s="852" t="str">
        <f>Overview!C10</f>
        <v>Dougherty Housing Ventures III,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7527811</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3"/>
      <c r="E68" s="2273"/>
      <c r="F68" s="2273"/>
      <c r="G68" s="2273"/>
      <c r="H68" s="2273"/>
      <c r="I68" s="2273"/>
      <c r="J68" s="2273"/>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240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448105.52452721621</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v>
      </c>
      <c r="I92" s="746"/>
    </row>
    <row r="93" spans="1:9" ht="12" customHeight="1">
      <c r="C93" s="878"/>
      <c r="D93" s="746"/>
      <c r="E93" s="864" t="s">
        <v>1810</v>
      </c>
      <c r="F93" s="2268"/>
      <c r="G93" s="2268"/>
      <c r="H93" s="2268"/>
      <c r="I93" s="746"/>
    </row>
    <row r="94" spans="1:9" ht="12" customHeight="1">
      <c r="C94" s="864"/>
      <c r="D94" s="746"/>
      <c r="E94" s="864" t="s">
        <v>1998</v>
      </c>
      <c r="F94" s="2269"/>
      <c r="G94" s="2269"/>
      <c r="H94" s="2269"/>
      <c r="I94" s="746"/>
    </row>
    <row r="95" spans="1:9" ht="12" customHeight="1">
      <c r="C95" s="864"/>
      <c r="D95" s="746"/>
      <c r="E95" s="864" t="s">
        <v>1813</v>
      </c>
      <c r="F95" s="2270"/>
      <c r="G95" s="2270"/>
      <c r="H95" s="2270"/>
      <c r="I95" s="746"/>
    </row>
    <row r="96" spans="1:9" ht="12" customHeight="1">
      <c r="B96" s="854"/>
      <c r="C96" s="867" t="s">
        <v>3353</v>
      </c>
      <c r="D96" s="746" t="s">
        <v>3207</v>
      </c>
      <c r="E96" s="864" t="str">
        <f>'Part III-Sources of Funds'!E37</f>
        <v>Sterling Bank</v>
      </c>
      <c r="I96" s="746"/>
    </row>
    <row r="97" spans="1:10" ht="12" customHeight="1">
      <c r="C97" s="864"/>
      <c r="D97" s="746"/>
      <c r="E97" s="864" t="s">
        <v>1810</v>
      </c>
      <c r="F97" s="2268"/>
      <c r="G97" s="2268"/>
      <c r="H97" s="2268"/>
      <c r="I97" s="746"/>
    </row>
    <row r="98" spans="1:10" ht="12" customHeight="1">
      <c r="C98" s="864"/>
      <c r="D98" s="746"/>
      <c r="E98" s="864" t="s">
        <v>1998</v>
      </c>
      <c r="F98" s="2269"/>
      <c r="G98" s="2269"/>
      <c r="H98" s="2269"/>
      <c r="I98" s="746"/>
    </row>
    <row r="99" spans="1:10" ht="12" customHeight="1">
      <c r="C99" s="864"/>
      <c r="D99" s="746"/>
      <c r="E99" s="864" t="s">
        <v>1813</v>
      </c>
      <c r="F99" s="2270"/>
      <c r="G99" s="2270"/>
      <c r="H99" s="2270"/>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1"/>
      <c r="E106" s="2271"/>
      <c r="F106" s="2271"/>
      <c r="G106" s="2271"/>
      <c r="H106" s="2271"/>
      <c r="I106" s="2271"/>
      <c r="J106" s="2272"/>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5" t="s">
        <v>4322</v>
      </c>
      <c r="F119" s="2275"/>
      <c r="G119" s="2275"/>
      <c r="H119" s="2275"/>
      <c r="I119" s="2275"/>
      <c r="J119" s="2275"/>
    </row>
    <row r="120" spans="1:10" ht="12" customHeight="1">
      <c r="C120" s="746" t="s">
        <v>3218</v>
      </c>
      <c r="D120" s="1429"/>
      <c r="E120" s="2275"/>
      <c r="F120" s="2275"/>
      <c r="G120" s="2275"/>
      <c r="H120" s="2275"/>
      <c r="I120" s="2275"/>
      <c r="J120" s="2275"/>
    </row>
    <row r="121" spans="1:10" ht="12" customHeight="1">
      <c r="C121" s="746" t="s">
        <v>3219</v>
      </c>
      <c r="D121" s="1429"/>
      <c r="E121" s="2275"/>
      <c r="F121" s="2275"/>
      <c r="G121" s="2275"/>
      <c r="H121" s="2275"/>
      <c r="I121" s="2275"/>
      <c r="J121" s="2275"/>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Piedmont Housing Group,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611017.99107099266</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Pointe North Village III, LP</v>
      </c>
      <c r="G139" s="746"/>
      <c r="I139" s="851"/>
      <c r="J139" s="882"/>
    </row>
    <row r="140" spans="1:10" ht="3" customHeight="1">
      <c r="C140" s="853"/>
      <c r="G140" s="746"/>
      <c r="I140" s="851"/>
      <c r="J140" s="882"/>
    </row>
    <row r="141" spans="1:10" ht="12" customHeight="1">
      <c r="A141" s="809" t="s">
        <v>3231</v>
      </c>
      <c r="C141" s="853" t="str">
        <f>C18</f>
        <v>295 W Crossville Rd, Suite 720</v>
      </c>
      <c r="G141" s="746"/>
      <c r="I141" s="851"/>
      <c r="J141" s="882"/>
    </row>
    <row r="142" spans="1:10">
      <c r="C142" s="853" t="str">
        <f>C19</f>
        <v>Roswell, GA 30075</v>
      </c>
      <c r="G142" s="746"/>
      <c r="I142" s="851"/>
      <c r="J142" s="882"/>
    </row>
    <row r="143" spans="1:10" ht="3" customHeight="1">
      <c r="C143" s="883"/>
      <c r="G143" s="746"/>
      <c r="I143" s="851"/>
      <c r="J143" s="882"/>
    </row>
    <row r="144" spans="1:10" ht="12" customHeight="1">
      <c r="A144" s="809" t="s">
        <v>3232</v>
      </c>
      <c r="C144" s="853" t="str">
        <f>Overview!H10</f>
        <v>Affordable Equity Partners, Inc. (PROPOSED)</v>
      </c>
      <c r="G144" s="746"/>
      <c r="I144" s="851"/>
      <c r="J144" s="881"/>
    </row>
    <row r="145" spans="1:10" ht="3" customHeight="1">
      <c r="C145" s="853"/>
      <c r="G145" s="746"/>
      <c r="I145" s="851"/>
      <c r="J145" s="882"/>
    </row>
    <row r="146" spans="1:10" ht="12" customHeight="1">
      <c r="A146" s="809" t="s">
        <v>3233</v>
      </c>
      <c r="C146" s="853" t="str">
        <f>Overview!K10</f>
        <v>Affordable Equity Partners, Inc. (PROPOSED)</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3"/>
      <c r="F164" s="2273"/>
      <c r="G164" s="2273"/>
      <c r="I164" s="746"/>
    </row>
    <row r="165" spans="1:13" ht="3" customHeight="1">
      <c r="E165" s="746"/>
      <c r="G165" s="746"/>
      <c r="I165" s="746"/>
    </row>
    <row r="166" spans="1:13" ht="12" customHeight="1">
      <c r="A166" s="809" t="s">
        <v>3242</v>
      </c>
      <c r="C166" s="809" t="s">
        <v>3243</v>
      </c>
      <c r="E166" s="885">
        <f>'Preview term'!F71</f>
        <v>153109</v>
      </c>
      <c r="G166" s="746"/>
      <c r="I166" s="746"/>
    </row>
    <row r="167" spans="1:13" ht="12" customHeight="1">
      <c r="C167" s="809" t="s">
        <v>3541</v>
      </c>
      <c r="E167" s="2273"/>
      <c r="F167" s="2273"/>
      <c r="G167" s="2273"/>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13500</v>
      </c>
      <c r="F172" s="851" t="s">
        <v>3247</v>
      </c>
      <c r="J172" s="882"/>
      <c r="K172" s="882"/>
      <c r="L172" s="882"/>
      <c r="M172" s="882"/>
    </row>
    <row r="173" spans="1:13">
      <c r="E173" s="885">
        <f>E172/12</f>
        <v>1125</v>
      </c>
      <c r="F173" s="746" t="s">
        <v>3099</v>
      </c>
    </row>
    <row r="174" spans="1:13" ht="12" customHeight="1">
      <c r="C174" s="809" t="s">
        <v>3542</v>
      </c>
      <c r="E174" s="2273"/>
      <c r="F174" s="2273"/>
      <c r="G174" s="2273"/>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3"/>
      <c r="G179" s="2273"/>
      <c r="H179" s="2273"/>
      <c r="I179" s="2273"/>
      <c r="J179" s="2273"/>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61290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4">
        <f>'Part VIII-Threshold Criteria'!E393</f>
        <v>0</v>
      </c>
      <c r="G197" s="2274"/>
      <c r="H197" s="2274"/>
      <c r="I197" s="2274"/>
      <c r="J197" s="2274"/>
    </row>
    <row r="198" spans="1:10" ht="9" customHeight="1">
      <c r="G198" s="746"/>
      <c r="H198" s="746"/>
      <c r="I198" s="746"/>
    </row>
    <row r="199" spans="1:10" ht="12" customHeight="1">
      <c r="A199" s="887" t="s">
        <v>3342</v>
      </c>
      <c r="G199" s="746"/>
      <c r="H199" s="746"/>
      <c r="I199" s="871"/>
    </row>
    <row r="200" spans="1:10" ht="25.5" hidden="1" customHeight="1">
      <c r="A200" s="2276" t="str">
        <f>'Subsidy Layering Memo'!A98</f>
        <v>Include any reserve requirements; explain any reserves far in excess of 6 month ODR, 3 mo lease up, 1 year RR, 6 mo T&amp;I standards.</v>
      </c>
      <c r="B200" s="2276"/>
      <c r="C200" s="2276"/>
      <c r="D200" s="2276"/>
      <c r="E200" s="2276"/>
      <c r="F200" s="2276"/>
      <c r="G200" s="2276"/>
      <c r="H200" s="2276"/>
      <c r="I200" s="2276"/>
      <c r="J200" s="2276"/>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6" t="s">
        <v>2964</v>
      </c>
      <c r="B204" s="2266"/>
      <c r="C204" s="2266"/>
      <c r="D204" s="2266"/>
      <c r="E204" s="2266"/>
      <c r="F204" s="2266"/>
      <c r="G204" s="2266"/>
      <c r="H204" s="2266"/>
      <c r="I204" s="2266"/>
      <c r="J204" s="2266"/>
    </row>
    <row r="205" spans="1:10">
      <c r="A205" s="746" t="s">
        <v>2965</v>
      </c>
      <c r="G205" s="746"/>
      <c r="H205" s="746"/>
      <c r="I205" s="746"/>
    </row>
    <row r="206" spans="1:10" ht="38.25" customHeight="1">
      <c r="A206" s="2266" t="str">
        <f>'Subsidy Layering Memo'!A37&amp;".  "&amp;'Subsidy Layering Memo'!A38</f>
        <v xml:space="preserve">.  </v>
      </c>
      <c r="B206" s="2267"/>
      <c r="C206" s="2267"/>
      <c r="D206" s="2267"/>
      <c r="E206" s="2267"/>
      <c r="F206" s="2267"/>
      <c r="G206" s="2267"/>
      <c r="H206" s="2267"/>
      <c r="I206" s="2267"/>
      <c r="J206" s="2267"/>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42578125" style="809" customWidth="1"/>
    <col min="3" max="3" width="18.5703125" style="809" customWidth="1"/>
    <col min="4" max="4" width="2.5703125" style="809" customWidth="1"/>
    <col min="5" max="5" width="6.5703125" style="809" customWidth="1"/>
    <col min="6" max="6" width="39.425781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Pointe North Village III</v>
      </c>
    </row>
    <row r="2" spans="1:11">
      <c r="A2" s="746" t="s">
        <v>3259</v>
      </c>
      <c r="H2" s="809" t="str">
        <f>Overview!E8</f>
        <v>2018-041</v>
      </c>
    </row>
    <row r="3" spans="1:11" ht="3" customHeight="1"/>
    <row r="4" spans="1:11" ht="51.75" customHeight="1">
      <c r="A4" s="2267" t="s">
        <v>3359</v>
      </c>
      <c r="B4" s="2267"/>
      <c r="C4" s="2267"/>
      <c r="D4" s="2267"/>
      <c r="E4" s="2267"/>
      <c r="F4" s="2267"/>
      <c r="G4" s="2267"/>
      <c r="H4" s="2267"/>
      <c r="J4" s="1444">
        <f>SUM('Part VII-Pro Forma'!B14:B16)/12</f>
        <v>29139.094800000003</v>
      </c>
      <c r="K4" s="1443" t="s">
        <v>4529</v>
      </c>
    </row>
    <row r="5" spans="1:11" ht="1.5" customHeight="1">
      <c r="C5" s="888"/>
      <c r="D5" s="888"/>
      <c r="E5" s="888"/>
      <c r="F5" s="888"/>
      <c r="G5" s="888"/>
      <c r="H5" s="888"/>
    </row>
    <row r="6" spans="1:11" ht="12.75" customHeight="1">
      <c r="B6" s="889" t="s">
        <v>2451</v>
      </c>
      <c r="C6" s="2267" t="s">
        <v>3260</v>
      </c>
      <c r="D6" s="2267"/>
      <c r="E6" s="2267"/>
      <c r="F6" s="2267"/>
      <c r="G6" s="2267"/>
      <c r="H6" s="2267"/>
    </row>
    <row r="7" spans="1:11" ht="12.75" customHeight="1">
      <c r="B7" s="889" t="s">
        <v>2452</v>
      </c>
      <c r="C7" s="2267" t="s">
        <v>3261</v>
      </c>
      <c r="D7" s="2267"/>
      <c r="E7" s="2267"/>
      <c r="F7" s="2267"/>
      <c r="G7" s="2267"/>
      <c r="H7" s="2267"/>
    </row>
    <row r="8" spans="1:11" ht="3" customHeight="1"/>
    <row r="9" spans="1:11">
      <c r="A9" s="809" t="s">
        <v>3262</v>
      </c>
    </row>
    <row r="10" spans="1:11" ht="1.5" customHeight="1"/>
    <row r="11" spans="1:11" ht="26.25" customHeight="1">
      <c r="A11" s="890" t="s">
        <v>1999</v>
      </c>
      <c r="B11" s="2286" t="s">
        <v>3356</v>
      </c>
      <c r="C11" s="2286"/>
      <c r="D11" s="2286"/>
      <c r="E11" s="2286"/>
      <c r="F11" s="2286"/>
      <c r="G11" s="2287">
        <f>'Part III-Sources of Funds'!I49+'Part III-Sources of Funds'!I50</f>
        <v>9429635</v>
      </c>
      <c r="H11" s="2287"/>
    </row>
    <row r="12" spans="1:11" ht="1.5" customHeight="1">
      <c r="G12" s="858"/>
      <c r="H12" s="858"/>
    </row>
    <row r="13" spans="1:11" ht="26.25" customHeight="1">
      <c r="A13" s="890" t="s">
        <v>2001</v>
      </c>
      <c r="B13" s="2286" t="s">
        <v>3357</v>
      </c>
      <c r="C13" s="2286"/>
      <c r="D13" s="2286"/>
      <c r="E13" s="2286"/>
      <c r="F13" s="2286"/>
      <c r="G13" s="2288" t="s">
        <v>3188</v>
      </c>
      <c r="H13" s="2288"/>
    </row>
    <row r="14" spans="1:11" ht="12" hidden="1" customHeight="1">
      <c r="A14" s="890"/>
      <c r="B14" s="2281"/>
      <c r="C14" s="2281"/>
      <c r="D14" s="2281"/>
      <c r="E14" s="2281"/>
      <c r="F14" s="2281"/>
      <c r="G14" s="2281"/>
      <c r="H14" s="2281"/>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81" t="s">
        <v>2842</v>
      </c>
      <c r="H18" s="2281"/>
    </row>
    <row r="19" spans="1:8" ht="12" hidden="1" customHeight="1">
      <c r="B19" s="2281"/>
      <c r="C19" s="2281"/>
      <c r="D19" s="2281"/>
      <c r="E19" s="2281"/>
      <c r="F19" s="2281"/>
      <c r="G19" s="2281"/>
      <c r="H19" s="2281"/>
    </row>
    <row r="20" spans="1:8" ht="13.5" customHeight="1"/>
    <row r="21" spans="1:8" ht="12" customHeight="1">
      <c r="A21" s="746" t="s">
        <v>3263</v>
      </c>
    </row>
    <row r="22" spans="1:8" ht="3" customHeight="1"/>
    <row r="23" spans="1:8" ht="26.25" customHeight="1">
      <c r="A23" s="2284" t="s">
        <v>3360</v>
      </c>
      <c r="B23" s="2284"/>
      <c r="C23" s="2284"/>
      <c r="D23" s="2284"/>
      <c r="E23" s="2284"/>
      <c r="F23" s="2284"/>
      <c r="G23" s="2284"/>
      <c r="H23" s="2284"/>
    </row>
    <row r="24" spans="1:8" ht="26.25" customHeight="1">
      <c r="A24" s="2285" t="s">
        <v>3264</v>
      </c>
      <c r="B24" s="2285"/>
      <c r="C24" s="2285"/>
      <c r="D24" s="2285"/>
      <c r="E24" s="2285"/>
      <c r="F24" s="2285"/>
      <c r="G24" s="2285"/>
      <c r="H24" s="2285"/>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7" t="s">
        <v>3266</v>
      </c>
      <c r="G28" s="2267"/>
      <c r="H28" s="2267"/>
    </row>
    <row r="29" spans="1:8" ht="12.75" customHeight="1">
      <c r="C29" s="895" t="s">
        <v>1365</v>
      </c>
      <c r="D29" s="893" t="s">
        <v>2004</v>
      </c>
      <c r="E29" s="2267" t="s">
        <v>3367</v>
      </c>
      <c r="F29" s="2267"/>
      <c r="G29" s="2267"/>
      <c r="H29" s="2267"/>
    </row>
    <row r="30" spans="1:8" ht="12.75" customHeight="1">
      <c r="E30" s="2267" t="s">
        <v>3547</v>
      </c>
      <c r="F30" s="2267"/>
      <c r="G30" s="2267"/>
      <c r="H30" s="2267"/>
    </row>
    <row r="31" spans="1:8" ht="12.75" customHeight="1">
      <c r="D31" s="896" t="s">
        <v>3366</v>
      </c>
      <c r="E31" s="2267" t="s">
        <v>3548</v>
      </c>
      <c r="F31" s="2267"/>
      <c r="G31" s="2267"/>
      <c r="H31" s="2267"/>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7" t="s">
        <v>3266</v>
      </c>
      <c r="G35" s="2267"/>
      <c r="H35" s="2267"/>
    </row>
    <row r="36" spans="1:11" ht="12.75" customHeight="1">
      <c r="C36" s="895" t="s">
        <v>1365</v>
      </c>
      <c r="D36" s="893" t="s">
        <v>2004</v>
      </c>
      <c r="E36" s="2267" t="s">
        <v>3368</v>
      </c>
      <c r="F36" s="2267"/>
      <c r="G36" s="2267"/>
      <c r="H36" s="2267"/>
    </row>
    <row r="37" spans="1:11" ht="12.75" customHeight="1">
      <c r="E37" s="2267" t="s">
        <v>3547</v>
      </c>
      <c r="F37" s="2267"/>
      <c r="G37" s="2267"/>
      <c r="H37" s="2267"/>
    </row>
    <row r="38" spans="1:11" ht="12.75" customHeight="1">
      <c r="D38" s="896" t="s">
        <v>3366</v>
      </c>
      <c r="E38" s="2267" t="s">
        <v>3548</v>
      </c>
      <c r="F38" s="2267"/>
      <c r="G38" s="2267"/>
      <c r="H38" s="2267"/>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7" t="s">
        <v>3266</v>
      </c>
      <c r="G42" s="2267"/>
      <c r="H42" s="2267"/>
      <c r="K42" s="809" t="s">
        <v>245</v>
      </c>
    </row>
    <row r="43" spans="1:11" ht="12.75" customHeight="1">
      <c r="C43" s="895" t="s">
        <v>1365</v>
      </c>
      <c r="D43" s="893" t="s">
        <v>2004</v>
      </c>
      <c r="E43" s="2267" t="s">
        <v>3368</v>
      </c>
      <c r="F43" s="2267"/>
      <c r="G43" s="2267"/>
      <c r="H43" s="2267"/>
    </row>
    <row r="44" spans="1:11" ht="12.75" customHeight="1">
      <c r="E44" s="2267" t="s">
        <v>3547</v>
      </c>
      <c r="F44" s="2267"/>
      <c r="G44" s="2267"/>
      <c r="H44" s="2267"/>
    </row>
    <row r="45" spans="1:11" ht="12.75" customHeight="1">
      <c r="D45" s="896" t="s">
        <v>3366</v>
      </c>
      <c r="E45" s="2267" t="s">
        <v>3548</v>
      </c>
      <c r="F45" s="2267"/>
      <c r="G45" s="2267"/>
      <c r="H45" s="2267"/>
    </row>
    <row r="46" spans="1:11" ht="9" customHeight="1"/>
    <row r="47" spans="1:11" ht="7.5" customHeight="1">
      <c r="E47" s="2267"/>
      <c r="F47" s="2267"/>
      <c r="G47" s="2267"/>
      <c r="H47" s="2267"/>
    </row>
    <row r="48" spans="1:11" ht="24.75" customHeight="1">
      <c r="A48" s="2283" t="s">
        <v>4293</v>
      </c>
      <c r="B48" s="2283"/>
      <c r="C48" s="2283"/>
      <c r="D48" s="2283"/>
      <c r="E48" s="2283"/>
      <c r="F48" s="2283"/>
      <c r="G48" s="2283"/>
      <c r="H48" s="2283"/>
    </row>
    <row r="49" spans="1:11" ht="9" customHeight="1"/>
    <row r="50" spans="1:11" ht="26.25" customHeight="1">
      <c r="A50" s="2284" t="s">
        <v>3549</v>
      </c>
      <c r="B50" s="2284"/>
      <c r="C50" s="2284"/>
      <c r="D50" s="2284"/>
      <c r="E50" s="2284"/>
      <c r="F50" s="2284"/>
      <c r="G50" s="2284"/>
      <c r="H50" s="2284"/>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7" t="s">
        <v>3266</v>
      </c>
      <c r="G54" s="2267"/>
      <c r="H54" s="2267"/>
    </row>
    <row r="55" spans="1:11" ht="12.75" customHeight="1">
      <c r="C55" s="895" t="s">
        <v>1365</v>
      </c>
      <c r="D55" s="893" t="s">
        <v>2004</v>
      </c>
      <c r="E55" s="2267" t="s">
        <v>3556</v>
      </c>
      <c r="F55" s="2267"/>
      <c r="G55" s="2267"/>
      <c r="H55" s="2267"/>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7" t="s">
        <v>3266</v>
      </c>
      <c r="G59" s="2267"/>
      <c r="H59" s="2267"/>
    </row>
    <row r="60" spans="1:11" ht="12.75" customHeight="1">
      <c r="C60" s="895" t="s">
        <v>1365</v>
      </c>
      <c r="D60" s="893" t="s">
        <v>2004</v>
      </c>
      <c r="E60" s="2267" t="s">
        <v>3556</v>
      </c>
      <c r="F60" s="2267"/>
      <c r="G60" s="2267"/>
      <c r="H60" s="2267"/>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7" t="s">
        <v>3266</v>
      </c>
      <c r="G64" s="2267"/>
      <c r="H64" s="2267"/>
      <c r="K64" s="809" t="s">
        <v>245</v>
      </c>
    </row>
    <row r="65" spans="3:8" ht="12.75" customHeight="1">
      <c r="C65" s="895" t="s">
        <v>1365</v>
      </c>
      <c r="D65" s="893" t="s">
        <v>2004</v>
      </c>
      <c r="E65" s="2267" t="s">
        <v>3556</v>
      </c>
      <c r="F65" s="2267"/>
      <c r="G65" s="2267"/>
      <c r="H65" s="2267"/>
    </row>
    <row r="66" spans="3:8" ht="7.5" customHeight="1">
      <c r="E66" s="2267"/>
      <c r="F66" s="2267"/>
      <c r="G66" s="2267"/>
      <c r="H66" s="2267"/>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42578125" style="1490" customWidth="1"/>
    <col min="2" max="3" width="12.42578125" style="1490" customWidth="1"/>
    <col min="4" max="4" width="9.570312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4" t="s">
        <v>4336</v>
      </c>
      <c r="C1" s="2304"/>
      <c r="D1" s="2304"/>
      <c r="E1" s="2304"/>
      <c r="F1" s="2304"/>
      <c r="G1" s="2304"/>
      <c r="H1" s="2304"/>
      <c r="I1" s="2304"/>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5" t="s">
        <v>3267</v>
      </c>
      <c r="C4" s="2305"/>
      <c r="D4" s="2305"/>
      <c r="E4" s="2311" t="s">
        <v>3268</v>
      </c>
      <c r="F4" s="2313"/>
      <c r="G4" s="2311" t="s">
        <v>623</v>
      </c>
      <c r="H4" s="2312"/>
      <c r="I4" s="2313"/>
      <c r="J4" s="1485" t="s">
        <v>3112</v>
      </c>
      <c r="K4" s="1485"/>
      <c r="L4" s="1493"/>
      <c r="M4" s="1493"/>
    </row>
    <row r="5" spans="2:13">
      <c r="B5" s="2306" t="str">
        <f>'Closing term sheet'!C8</f>
        <v>Pointe North Village III, LP</v>
      </c>
      <c r="C5" s="2307"/>
      <c r="D5" s="2307"/>
      <c r="E5" s="2317"/>
      <c r="F5" s="2318"/>
      <c r="G5" s="2314" t="str">
        <f>'Closing term sheet'!C28</f>
        <v>Pointe North Village III</v>
      </c>
      <c r="H5" s="2315"/>
      <c r="I5" s="2316"/>
      <c r="K5" s="809"/>
    </row>
    <row r="6" spans="2:13" ht="4.5" customHeight="1">
      <c r="D6" s="1494"/>
      <c r="E6" s="1494"/>
      <c r="F6" s="1494"/>
      <c r="G6" s="1494"/>
      <c r="H6" s="1494"/>
      <c r="I6" s="1494"/>
      <c r="K6" s="809"/>
    </row>
    <row r="7" spans="2:13">
      <c r="B7" s="2308" t="s">
        <v>3269</v>
      </c>
      <c r="C7" s="2308"/>
      <c r="D7" s="1495"/>
      <c r="E7" s="1495"/>
      <c r="F7" s="1495"/>
      <c r="G7" s="1495"/>
      <c r="H7" s="2309" t="str">
        <f>'Preview term'!E9</f>
        <v>TBD</v>
      </c>
      <c r="I7" s="2310"/>
    </row>
    <row r="8" spans="2:13" ht="4.5" customHeight="1">
      <c r="B8" s="1495"/>
      <c r="C8" s="1495"/>
      <c r="D8" s="1495"/>
      <c r="E8" s="1495"/>
      <c r="F8" s="1495"/>
      <c r="G8" s="1495"/>
      <c r="H8" s="1495"/>
      <c r="I8" s="1495"/>
      <c r="J8" s="1495"/>
    </row>
    <row r="9" spans="2:13">
      <c r="B9" s="1496" t="s">
        <v>3270</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4327</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289" t="s">
        <v>4344</v>
      </c>
      <c r="I35" s="2290"/>
    </row>
    <row r="36" spans="2:9">
      <c r="B36" s="1522" t="s">
        <v>4343</v>
      </c>
      <c r="C36" s="1520"/>
      <c r="D36" s="1520"/>
      <c r="E36" s="1495"/>
      <c r="F36" s="1523"/>
      <c r="G36" s="1524"/>
      <c r="H36" s="2289"/>
      <c r="I36" s="2290"/>
    </row>
    <row r="37" spans="2:9">
      <c r="B37" s="1522" t="s">
        <v>4341</v>
      </c>
      <c r="D37" s="1520"/>
      <c r="E37" s="1495"/>
      <c r="F37" s="1525"/>
      <c r="G37" s="1524"/>
      <c r="H37" s="2289"/>
      <c r="I37" s="2290"/>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3282</v>
      </c>
      <c r="C48" s="1520"/>
      <c r="D48" s="1520" t="s">
        <v>3283</v>
      </c>
      <c r="E48" s="1495"/>
      <c r="F48" s="2298" t="str">
        <f>'Closing term sheet'!$C$30</f>
        <v>Located off Pointe North Blvd, Parcel # 00352/00001/01D</v>
      </c>
      <c r="G48" s="2299"/>
      <c r="H48" s="2299"/>
      <c r="I48" s="2300"/>
    </row>
    <row r="49" spans="2:9">
      <c r="B49" s="1511" t="s">
        <v>3284</v>
      </c>
      <c r="D49" s="1520" t="s">
        <v>3285</v>
      </c>
      <c r="E49" s="1495"/>
      <c r="F49" s="2301"/>
      <c r="G49" s="2302"/>
      <c r="H49" s="2302"/>
      <c r="I49" s="2303"/>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4346</v>
      </c>
      <c r="C52" s="2321" t="str">
        <f>'Part I-Project Information'!F38</f>
        <v>Albany</v>
      </c>
      <c r="D52" s="2322"/>
      <c r="E52" s="1539" t="s">
        <v>4347</v>
      </c>
      <c r="F52" s="1497" t="s">
        <v>856</v>
      </c>
      <c r="G52" s="1539" t="s">
        <v>4348</v>
      </c>
      <c r="H52" s="1540">
        <f>'Part I-Project Information'!J38</f>
        <v>317211586</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54</v>
      </c>
      <c r="E55" s="1543"/>
      <c r="F55" s="866" t="s">
        <v>3287</v>
      </c>
      <c r="G55" s="1495"/>
      <c r="H55" s="1495"/>
      <c r="I55" s="1505"/>
    </row>
    <row r="56" spans="2:9">
      <c r="B56" s="1531" t="s">
        <v>4514</v>
      </c>
      <c r="D56" s="1544">
        <f>'Closing term sheet'!$D$62</f>
        <v>7527811</v>
      </c>
      <c r="E56" s="1545"/>
      <c r="F56" s="866" t="s">
        <v>3288</v>
      </c>
      <c r="G56" s="1495"/>
      <c r="H56" s="1495"/>
      <c r="I56" s="1505"/>
    </row>
    <row r="57" spans="2:9">
      <c r="B57" s="1522" t="s">
        <v>4513</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6" t="s">
        <v>3290</v>
      </c>
      <c r="C61" s="2327"/>
      <c r="D61" s="2327"/>
      <c r="E61" s="2327"/>
      <c r="F61" s="2327"/>
      <c r="G61" s="2327"/>
      <c r="H61" s="2327"/>
      <c r="I61" s="2328"/>
    </row>
    <row r="62" spans="2:9" ht="7.5" customHeight="1">
      <c r="B62" s="2323"/>
      <c r="C62" s="2324"/>
      <c r="D62" s="2324"/>
      <c r="E62" s="1495"/>
      <c r="F62" s="1495"/>
      <c r="G62" s="1547"/>
      <c r="H62" s="1495"/>
      <c r="I62" s="1505"/>
    </row>
    <row r="63" spans="2:9">
      <c r="B63" s="1548" t="s">
        <v>3292</v>
      </c>
      <c r="C63" s="1495"/>
      <c r="D63" s="1542">
        <v>4</v>
      </c>
      <c r="F63" s="1495"/>
      <c r="G63" s="2308" t="s">
        <v>3291</v>
      </c>
      <c r="H63" s="2308"/>
      <c r="I63" s="2325"/>
    </row>
    <row r="64" spans="2:9">
      <c r="B64" s="1503"/>
      <c r="C64" s="1520" t="s">
        <v>3295</v>
      </c>
      <c r="D64" s="1520" t="s">
        <v>3296</v>
      </c>
      <c r="F64" s="1495"/>
      <c r="G64" s="878" t="s">
        <v>3293</v>
      </c>
      <c r="H64" s="1495"/>
      <c r="I64" s="1549">
        <f>'Closing term sheet'!$D$35</f>
        <v>54</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6" t="s">
        <v>3303</v>
      </c>
      <c r="C81" s="2327"/>
      <c r="D81" s="2327"/>
      <c r="E81" s="2327"/>
      <c r="F81" s="2327"/>
      <c r="G81" s="2327"/>
      <c r="H81" s="2327"/>
      <c r="I81" s="2328"/>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4">
        <f>'Closing term sheet'!D62</f>
        <v>7527811</v>
      </c>
      <c r="G84" s="2294"/>
      <c r="H84" s="1495"/>
      <c r="I84" s="1505"/>
    </row>
    <row r="85" spans="2:9">
      <c r="B85" s="1503"/>
      <c r="C85" s="886" t="s">
        <v>3306</v>
      </c>
      <c r="D85" s="1495"/>
      <c r="E85" s="1495"/>
      <c r="F85" s="2320">
        <f>'Part III-Sources of Funds'!I44+'Part III-Sources of Funds'!I45</f>
        <v>944.00301472849355</v>
      </c>
      <c r="G85" s="2320"/>
      <c r="H85" s="1495"/>
      <c r="I85" s="1505"/>
    </row>
    <row r="86" spans="2:9">
      <c r="B86" s="1503"/>
      <c r="C86" s="886" t="s">
        <v>3307</v>
      </c>
      <c r="D86" s="1495"/>
      <c r="E86" s="1495"/>
      <c r="F86" s="2319"/>
      <c r="G86" s="2319"/>
      <c r="H86" s="1495"/>
      <c r="I86" s="1505"/>
    </row>
    <row r="87" spans="2:9">
      <c r="B87" s="1503"/>
      <c r="C87" s="1520" t="s">
        <v>3308</v>
      </c>
      <c r="D87" s="1495"/>
      <c r="E87" s="1495"/>
      <c r="F87" s="2320">
        <v>11000</v>
      </c>
      <c r="G87" s="2320"/>
      <c r="H87" s="1495"/>
      <c r="I87" s="1505"/>
    </row>
    <row r="88" spans="2:9">
      <c r="B88" s="1503"/>
      <c r="C88" s="886" t="s">
        <v>3309</v>
      </c>
      <c r="D88" s="1495"/>
      <c r="E88" s="1495"/>
      <c r="F88" s="2297"/>
      <c r="G88" s="2297"/>
      <c r="H88" s="1495"/>
      <c r="I88" s="1505"/>
    </row>
    <row r="89" spans="2:9">
      <c r="B89" s="1503"/>
      <c r="C89" s="866" t="s">
        <v>3310</v>
      </c>
      <c r="D89" s="1495"/>
      <c r="E89" s="1495"/>
      <c r="F89" s="2292">
        <f>SUM(F84:G88)</f>
        <v>7539755.0030147284</v>
      </c>
      <c r="G89" s="2292"/>
      <c r="H89" s="1495"/>
      <c r="I89" s="1505"/>
    </row>
    <row r="90" spans="2:9">
      <c r="B90" s="1503"/>
      <c r="C90" s="1495"/>
      <c r="D90" s="1495"/>
      <c r="E90" s="1495"/>
      <c r="F90" s="2293"/>
      <c r="G90" s="2293"/>
      <c r="H90" s="1495"/>
      <c r="I90" s="1505"/>
    </row>
    <row r="91" spans="2:9">
      <c r="B91" s="1506" t="s">
        <v>3311</v>
      </c>
      <c r="C91" s="1495"/>
      <c r="D91" s="1495"/>
      <c r="E91" s="1495"/>
      <c r="F91" s="1495"/>
      <c r="G91" s="1495"/>
      <c r="H91" s="1495"/>
      <c r="I91" s="1505"/>
    </row>
    <row r="92" spans="2:9">
      <c r="B92" s="1503"/>
      <c r="C92" s="886" t="s">
        <v>3312</v>
      </c>
      <c r="D92" s="1495"/>
      <c r="E92" s="1495"/>
      <c r="F92" s="2294"/>
      <c r="G92" s="2294"/>
      <c r="H92" s="1495"/>
      <c r="I92" s="1505"/>
    </row>
    <row r="93" spans="2:9">
      <c r="B93" s="1503"/>
      <c r="C93" s="886" t="s">
        <v>3313</v>
      </c>
      <c r="D93" s="1495"/>
      <c r="E93" s="1495"/>
      <c r="F93" s="2295"/>
      <c r="G93" s="2295"/>
      <c r="H93" s="1495"/>
      <c r="I93" s="1505"/>
    </row>
    <row r="94" spans="2:9">
      <c r="B94" s="1503"/>
      <c r="C94" s="886" t="s">
        <v>3314</v>
      </c>
      <c r="D94" s="1495"/>
      <c r="E94" s="1495"/>
      <c r="F94" s="2296" t="s">
        <v>3188</v>
      </c>
      <c r="G94" s="2291"/>
      <c r="H94" s="1495"/>
      <c r="I94" s="1505"/>
    </row>
    <row r="95" spans="2:9">
      <c r="B95" s="1503"/>
      <c r="C95" s="866" t="s">
        <v>3315</v>
      </c>
      <c r="D95" s="1495"/>
      <c r="E95" s="1495"/>
      <c r="F95" s="2292">
        <f>+SUM(F92:G94)</f>
        <v>0</v>
      </c>
      <c r="G95" s="2292"/>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4"/>
      <c r="G98" s="2294"/>
      <c r="H98" s="1495"/>
      <c r="I98" s="1505"/>
    </row>
    <row r="99" spans="2:9">
      <c r="B99" s="1503"/>
      <c r="C99" s="886" t="s">
        <v>3318</v>
      </c>
      <c r="D99" s="1495"/>
      <c r="E99" s="1495"/>
      <c r="F99" s="2295"/>
      <c r="G99" s="2295"/>
      <c r="H99" s="1495"/>
      <c r="I99" s="1505"/>
    </row>
    <row r="100" spans="2:9">
      <c r="B100" s="1503"/>
      <c r="C100" s="886" t="s">
        <v>3319</v>
      </c>
      <c r="D100" s="1495"/>
      <c r="E100" s="1495"/>
      <c r="F100" s="2297"/>
      <c r="G100" s="2297"/>
      <c r="H100" s="1495"/>
      <c r="I100" s="1505"/>
    </row>
    <row r="101" spans="2:9">
      <c r="B101" s="1503"/>
      <c r="C101" s="866" t="s">
        <v>3320</v>
      </c>
      <c r="D101" s="1495"/>
      <c r="E101" s="1495"/>
      <c r="F101" s="2292">
        <f>+SUM(F98:G100)</f>
        <v>0</v>
      </c>
      <c r="G101" s="2292"/>
      <c r="H101" s="1495"/>
      <c r="I101" s="1505"/>
    </row>
    <row r="102" spans="2:9">
      <c r="B102" s="1503"/>
      <c r="C102" s="1495"/>
      <c r="D102" s="1495"/>
      <c r="E102" s="1495"/>
      <c r="F102" s="1495"/>
      <c r="G102" s="1495"/>
      <c r="H102" s="1495"/>
      <c r="I102" s="1505"/>
    </row>
    <row r="103" spans="2:9">
      <c r="B103" s="1548" t="s">
        <v>3321</v>
      </c>
      <c r="C103" s="886"/>
      <c r="D103" s="1495"/>
      <c r="E103" s="1495"/>
      <c r="F103" s="2291">
        <f>'Part III-Sources of Funds'!I46+'Part III-Sources of Funds'!I47</f>
        <v>0</v>
      </c>
      <c r="G103" s="2291"/>
      <c r="H103" s="1495"/>
      <c r="I103" s="1505"/>
    </row>
    <row r="104" spans="2:9">
      <c r="B104" s="1503"/>
      <c r="C104" s="1495"/>
      <c r="D104" s="1495"/>
      <c r="E104" s="1495"/>
      <c r="F104" s="1495"/>
      <c r="G104" s="1495"/>
      <c r="H104" s="1495"/>
      <c r="I104" s="1553" t="s">
        <v>3322</v>
      </c>
    </row>
    <row r="105" spans="2:9">
      <c r="B105" s="1506" t="s">
        <v>3323</v>
      </c>
      <c r="C105" s="1495"/>
      <c r="D105" s="1495"/>
      <c r="E105" s="1495"/>
      <c r="F105" s="2291">
        <f>+F103+F101+F95+F89</f>
        <v>7539755.0030147284</v>
      </c>
      <c r="G105" s="2291"/>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42578125" style="2902" customWidth="1"/>
    <col min="2" max="13" width="7.570312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4128</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3702</v>
      </c>
      <c r="C13" s="2912"/>
      <c r="D13" s="2912"/>
      <c r="E13" s="2912"/>
      <c r="F13" s="2912"/>
      <c r="G13" s="2912"/>
      <c r="H13" s="2912"/>
      <c r="I13" s="2912"/>
      <c r="J13" s="2912"/>
      <c r="K13" s="2912"/>
      <c r="L13" s="2912"/>
      <c r="M13" s="2912"/>
    </row>
    <row r="14" spans="1:26" ht="47.25" customHeight="1">
      <c r="A14" s="2911" t="s">
        <v>1751</v>
      </c>
      <c r="B14" s="2912" t="s">
        <v>3703</v>
      </c>
      <c r="C14" s="2912"/>
      <c r="D14" s="2912"/>
      <c r="E14" s="2912"/>
      <c r="F14" s="2912"/>
      <c r="G14" s="2912"/>
      <c r="H14" s="2912"/>
      <c r="I14" s="2912"/>
      <c r="J14" s="2912"/>
      <c r="K14" s="2912"/>
      <c r="L14" s="2912"/>
      <c r="M14" s="2912"/>
    </row>
    <row r="15" spans="1:26" ht="117" customHeight="1">
      <c r="A15" s="2911" t="s">
        <v>1752</v>
      </c>
      <c r="B15" s="2912" t="s">
        <v>3704</v>
      </c>
      <c r="C15" s="2912"/>
      <c r="D15" s="2912"/>
      <c r="E15" s="2912"/>
      <c r="F15" s="2912"/>
      <c r="G15" s="2912"/>
      <c r="H15" s="2912"/>
      <c r="I15" s="2912"/>
      <c r="J15" s="2912"/>
      <c r="K15" s="2912"/>
      <c r="L15" s="2912"/>
      <c r="M15" s="2912"/>
    </row>
    <row r="16" spans="1:26" ht="147" customHeight="1">
      <c r="A16" s="2911" t="s">
        <v>2381</v>
      </c>
      <c r="B16" s="2912" t="s">
        <v>3480</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3479</v>
      </c>
      <c r="C18" s="2912"/>
      <c r="D18" s="2912"/>
      <c r="E18" s="2912"/>
      <c r="F18" s="2912"/>
      <c r="G18" s="2912"/>
      <c r="H18" s="2912"/>
      <c r="I18" s="2912"/>
      <c r="J18" s="2912"/>
      <c r="K18" s="2912"/>
      <c r="L18" s="2912"/>
      <c r="M18" s="2912"/>
    </row>
    <row r="19" spans="1:13" ht="48.75" customHeight="1">
      <c r="A19" s="2911" t="s">
        <v>99</v>
      </c>
      <c r="B19" s="2913" t="s">
        <v>3705</v>
      </c>
      <c r="C19" s="2913"/>
      <c r="D19" s="2913"/>
      <c r="E19" s="2913"/>
      <c r="F19" s="2913"/>
      <c r="G19" s="2913"/>
      <c r="H19" s="2913"/>
      <c r="I19" s="2913"/>
      <c r="J19" s="2913"/>
      <c r="K19" s="2913"/>
      <c r="L19" s="2913"/>
      <c r="M19" s="2913"/>
    </row>
    <row r="20" spans="1:13" ht="50.25" customHeight="1">
      <c r="A20" s="2911" t="s">
        <v>516</v>
      </c>
      <c r="B20" s="2912" t="s">
        <v>3482</v>
      </c>
      <c r="C20" s="2912"/>
      <c r="D20" s="2912"/>
      <c r="E20" s="2912"/>
      <c r="F20" s="2912"/>
      <c r="G20" s="2912"/>
      <c r="H20" s="2912"/>
      <c r="I20" s="2912"/>
      <c r="J20" s="2912"/>
      <c r="K20" s="2912"/>
      <c r="L20" s="2912"/>
      <c r="M20" s="2912"/>
    </row>
    <row r="21" spans="1:13" ht="31.5" customHeight="1">
      <c r="A21" s="2911" t="s">
        <v>517</v>
      </c>
      <c r="B21" s="2912" t="s">
        <v>3510</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3511</v>
      </c>
      <c r="C25" s="2912"/>
      <c r="D25" s="2912"/>
      <c r="E25" s="2912"/>
      <c r="F25" s="2912"/>
      <c r="G25" s="2912"/>
      <c r="H25" s="2912"/>
      <c r="I25" s="2912"/>
      <c r="J25" s="2912"/>
      <c r="K25" s="2912"/>
      <c r="L25" s="2912"/>
      <c r="M25" s="2912"/>
    </row>
    <row r="26" spans="1:13" ht="31.5" customHeight="1">
      <c r="A26" s="2911" t="s">
        <v>1478</v>
      </c>
      <c r="B26" s="2912" t="s">
        <v>3512</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2NcXxUZos2Q0iIS9Yg4/z4OkFt9xQ8jidmLvCw5kb93PvFd7VV66NmzfYR3kIRflqPN+13/CcSQr5uDVbATNFQ==" saltValue="PeSM7+CCPq0JCti9VqU+7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58" zoomScale="155" zoomScaleNormal="155" workbookViewId="0">
      <selection sqref="A1:XFD1048576"/>
    </sheetView>
  </sheetViews>
  <sheetFormatPr defaultColWidth="8.85546875" defaultRowHeight="12.75"/>
  <cols>
    <col min="1" max="1" width="1.5703125" style="28" customWidth="1"/>
    <col min="2" max="2" width="5.42578125" style="28" customWidth="1"/>
    <col min="3" max="3" width="9.5703125" style="28" customWidth="1"/>
    <col min="4" max="6" width="7.5703125" style="28" customWidth="1"/>
    <col min="7" max="7" width="10.85546875" style="28" customWidth="1"/>
    <col min="8" max="8" width="7.5703125" style="28" customWidth="1"/>
    <col min="9" max="9" width="17.5703125" style="28" customWidth="1"/>
    <col min="10" max="10" width="7.5703125" style="28" customWidth="1"/>
    <col min="11" max="11" width="7.42578125" style="28" customWidth="1"/>
    <col min="12" max="12" width="7.5703125" style="28" customWidth="1"/>
    <col min="13" max="13" width="7.42578125" style="28" customWidth="1"/>
    <col min="14" max="16" width="7.570312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35" customHeight="1">
      <c r="A2" s="2338" t="s">
        <v>729</v>
      </c>
      <c r="B2" s="2339"/>
      <c r="C2" s="2339"/>
      <c r="D2" s="2339"/>
      <c r="E2" s="2339"/>
      <c r="F2" s="2339"/>
      <c r="G2" s="2339"/>
      <c r="H2" s="2339"/>
      <c r="I2" s="2339"/>
      <c r="J2" s="2339"/>
      <c r="K2" s="2339"/>
      <c r="L2" s="2339"/>
      <c r="M2" s="2339"/>
      <c r="N2" s="2339"/>
      <c r="O2" s="2339"/>
      <c r="P2" s="2339"/>
      <c r="Q2" s="2339"/>
      <c r="R2" s="2340"/>
      <c r="S2" s="175"/>
      <c r="T2" s="175"/>
      <c r="U2" s="175"/>
      <c r="AA2" s="536"/>
      <c r="AB2" s="536"/>
    </row>
    <row r="3" spans="1:28" s="280" customFormat="1" ht="4.3499999999999996"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3499999999999996"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1" t="s">
        <v>3381</v>
      </c>
      <c r="G14" s="2342"/>
      <c r="H14" s="2342"/>
      <c r="I14" s="2342"/>
      <c r="J14" s="2343"/>
      <c r="K14" s="290"/>
      <c r="L14" s="597" t="s">
        <v>3604</v>
      </c>
      <c r="M14" s="290"/>
      <c r="N14" s="2341" t="s">
        <v>3381</v>
      </c>
      <c r="O14" s="2342"/>
      <c r="P14" s="2342"/>
      <c r="Q14" s="2342"/>
      <c r="R14" s="2343"/>
      <c r="S14" s="301"/>
      <c r="T14" s="175"/>
      <c r="U14" s="175"/>
      <c r="V14" s="1056"/>
      <c r="W14" s="1056"/>
      <c r="X14" s="1056"/>
      <c r="AA14" s="536"/>
      <c r="AB14" s="536"/>
    </row>
    <row r="15" spans="1:28" s="280" customFormat="1" ht="11.45" customHeight="1">
      <c r="A15" s="177"/>
      <c r="D15" s="598" t="s">
        <v>2630</v>
      </c>
      <c r="E15" s="598" t="s">
        <v>1308</v>
      </c>
      <c r="F15" s="599">
        <v>0</v>
      </c>
      <c r="G15" s="600">
        <v>1</v>
      </c>
      <c r="H15" s="1600">
        <v>2</v>
      </c>
      <c r="I15" s="1600">
        <v>3</v>
      </c>
      <c r="J15" s="601" t="s">
        <v>3378</v>
      </c>
      <c r="L15" s="598" t="s">
        <v>2630</v>
      </c>
      <c r="M15" s="598" t="s">
        <v>1308</v>
      </c>
      <c r="N15" s="599">
        <v>0</v>
      </c>
      <c r="O15" s="600">
        <v>1</v>
      </c>
      <c r="P15" s="1600">
        <v>2</v>
      </c>
      <c r="Q15" s="1600">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2330">
        <v>1000</v>
      </c>
      <c r="R78" s="2331"/>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0">
        <v>500</v>
      </c>
      <c r="R79" s="2331"/>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0">
        <v>1500</v>
      </c>
      <c r="R80" s="2331"/>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0">
        <v>1500</v>
      </c>
      <c r="R81" s="2331"/>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0">
        <v>1500</v>
      </c>
      <c r="R82" s="2331"/>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0">
        <v>1500</v>
      </c>
      <c r="R83" s="2331"/>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0">
        <v>6500</v>
      </c>
      <c r="R84" s="2331"/>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0">
        <v>5500</v>
      </c>
      <c r="R85" s="2331"/>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0">
        <v>5000</v>
      </c>
      <c r="R86" s="2331"/>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0">
        <v>1500</v>
      </c>
      <c r="R87" s="2331"/>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9">
        <v>0.08</v>
      </c>
      <c r="R88" s="2329"/>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9">
        <v>0.08</v>
      </c>
      <c r="R89" s="2329"/>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0">
        <v>3000</v>
      </c>
      <c r="R90" s="2331"/>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0">
        <v>1500</v>
      </c>
      <c r="R91" s="2331"/>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0">
        <v>75</v>
      </c>
      <c r="R96" s="2331"/>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35">
        <v>1800000</v>
      </c>
      <c r="R97" s="2336"/>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5">
        <v>3500000</v>
      </c>
      <c r="R98" s="2336"/>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3">
        <v>0.15</v>
      </c>
      <c r="R99" s="2334"/>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33">
        <v>0.15</v>
      </c>
      <c r="R100" s="2334"/>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3">
        <v>0.15</v>
      </c>
      <c r="R101" s="2334"/>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3">
        <v>0.15</v>
      </c>
      <c r="R102" s="2334"/>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3">
        <v>0.15</v>
      </c>
      <c r="R103" s="2334"/>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3">
        <v>0.15</v>
      </c>
      <c r="R104" s="2334"/>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3" t="s">
        <v>2389</v>
      </c>
      <c r="R105" s="2334"/>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0">
        <v>3000</v>
      </c>
      <c r="R111" s="2331"/>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1.1"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9">
        <v>0.02</v>
      </c>
      <c r="R119" s="2329"/>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9">
        <v>7.0000000000000007E-2</v>
      </c>
      <c r="R120" s="2329"/>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9">
        <v>7.0000000000000007E-2</v>
      </c>
      <c r="R121" s="2329"/>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9">
        <v>0.03</v>
      </c>
      <c r="R122" s="2329"/>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9">
        <v>0.03</v>
      </c>
      <c r="R123" s="2329"/>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9">
        <v>0</v>
      </c>
      <c r="R124" s="2329"/>
      <c r="S124" s="292"/>
      <c r="T124" s="292"/>
      <c r="U124" s="292"/>
      <c r="AA124" s="536"/>
      <c r="AB124" s="536"/>
    </row>
    <row r="125" spans="1:28" s="280" customFormat="1" ht="4.3499999999999996"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9">
        <v>0.1</v>
      </c>
      <c r="R126" s="2329"/>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2">
        <v>1000000</v>
      </c>
      <c r="R127" s="2332"/>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2">
        <v>1500000</v>
      </c>
      <c r="R128" s="2332"/>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2">
        <v>375000</v>
      </c>
      <c r="R129" s="2332"/>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2">
        <v>4000000</v>
      </c>
      <c r="R130" s="2332"/>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9">
        <v>0.35</v>
      </c>
      <c r="R133" s="2329"/>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9" t="s">
        <v>2838</v>
      </c>
      <c r="R134" s="2329"/>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29">
        <v>0.05</v>
      </c>
      <c r="R136" s="2329"/>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29">
        <v>0.4</v>
      </c>
      <c r="R137" s="2329"/>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29">
        <v>0.02</v>
      </c>
      <c r="R138" s="2329"/>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3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7" t="s">
        <v>4231</v>
      </c>
      <c r="E151" s="292"/>
      <c r="F151" s="292"/>
    </row>
    <row r="152" spans="2:30" ht="10.5" customHeight="1">
      <c r="C152" s="2337"/>
      <c r="E152" s="292"/>
      <c r="F152" s="292"/>
    </row>
    <row r="153" spans="2:30" ht="10.5" customHeight="1">
      <c r="C153" s="2337"/>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4349</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4350</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4351</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4352</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4353</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4354</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4355</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4356</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4357</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4358</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4359</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4360</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4361</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4362</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4363</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4364</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4365</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4366</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4367</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4368</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4369</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4370</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4371</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4372</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4373</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4374</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4375</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4376</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4377</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4378</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4379</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4380</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4381</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4382</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4383</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4384</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4385</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4386</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4387</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4388</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4389</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4390</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4391</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4392</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4393</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4394</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4395</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4396</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4397</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4398</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4399</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4400</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4401</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4402</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4403</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4404</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4405</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4406</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4407</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4408</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4409</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4410</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4411</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4412</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4413</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4414</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4415</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4416</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4417</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4418</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4419</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4420</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4421</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4422</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4423</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4424</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4425</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4426</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4427</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4428</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4429</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4430</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4431</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4432</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4433</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4434</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4435</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4436</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4437</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4438</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901" t="s">
        <v>2616</v>
      </c>
      <c r="N244" s="2901" t="s">
        <v>1342</v>
      </c>
      <c r="O244" s="2900" t="s">
        <v>4439</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4440</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4441</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4442</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4443</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4444</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4445</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4446</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4447</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4448</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4449</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4450</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4451</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4452</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901" t="s">
        <v>2616</v>
      </c>
      <c r="N258" s="2901" t="s">
        <v>1217</v>
      </c>
      <c r="O258" s="2900" t="s">
        <v>4453</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4454</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4455</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4456</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4457</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4458</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4459</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4460</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4461</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4462</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4463</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4464</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4465</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4466</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4467</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4468</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4469</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4470</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4471</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4472</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4473</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4474</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4475</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4476</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4477</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4478</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4479</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4480</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4481</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4482</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4483</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4484</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4485</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4486</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4487</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4488</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4489</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4490</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4491</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4492</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4493</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4494</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4495</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4496</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4497</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4498</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4499</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4500</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4501</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4502</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4503</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4504</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4505</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4506</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4507</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4508</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4509</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8tQ4m9EXysL6JRYUUNls7Ehz9YcYHyGR70ajLxXBBpIhEnl2IzK9iTg1uYiW2OKtmI4zv2AlWjTfXDUA6mJCdg==" saltValue="zTNLOOWTu4GEv2+pbqvwV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0" zoomScale="130" zoomScaleNormal="130" workbookViewId="0">
      <selection sqref="A1:XFD1048576"/>
    </sheetView>
  </sheetViews>
  <sheetFormatPr defaultColWidth="9.140625" defaultRowHeight="12.75"/>
  <cols>
    <col min="1" max="1" width="9.5703125" style="683" bestFit="1" customWidth="1"/>
    <col min="2" max="2" width="10.7109375" style="683" bestFit="1" customWidth="1"/>
    <col min="3" max="6" width="9.5703125" style="683" bestFit="1" customWidth="1"/>
    <col min="7" max="7" width="9.85546875" style="683" bestFit="1" customWidth="1"/>
    <col min="8" max="8" width="12.28515625" style="683" bestFit="1" customWidth="1"/>
    <col min="9" max="10" width="14.5703125" style="683" bestFit="1" customWidth="1"/>
    <col min="11" max="14" width="9.5703125" style="683" bestFit="1" customWidth="1"/>
    <col min="15" max="15" width="12.28515625" style="683" bestFit="1" customWidth="1"/>
    <col min="16" max="16" width="15.42578125" style="683" bestFit="1" customWidth="1"/>
    <col min="17" max="17" width="11.7109375" style="683" bestFit="1" customWidth="1"/>
    <col min="18" max="278" width="9.5703125" style="683" bestFit="1" customWidth="1"/>
    <col min="279" max="16384" width="9.140625" style="683"/>
  </cols>
  <sheetData>
    <row r="1" spans="1:16" ht="15.75">
      <c r="A1" s="2344" t="s">
        <v>988</v>
      </c>
    </row>
    <row r="2" spans="1:16" ht="16.5">
      <c r="A2" s="2345" t="str">
        <f>'Part I-Project Information'!F34</f>
        <v>Pointe North Village III</v>
      </c>
    </row>
    <row r="3" spans="1:16" ht="16.5">
      <c r="A3" s="2345" t="str">
        <f>CONCATENATE('Part I-Project Information'!F38,", ", 'Part I-Project Information'!J39," County")</f>
        <v>Albany, Dougherty County</v>
      </c>
    </row>
    <row r="5" spans="1:16" ht="12.75" customHeight="1">
      <c r="A5" s="2346" t="str">
        <f>'Project Narrative'!$A$5</f>
        <v xml:space="preserve">  Pointe North Village III is a proposed 54 unit housing development that will serve a family tenancy and will compete in the Flexible Pool.  Pointe North Village III will be located in Albany, Dougherty County, Georgia.  The property is located off Pointe North Blvd, Parcel # 00352/00001/01D in Albany, GA 31721.  We believe that the development of Pointe North Village III will provide quality affordable housing to the residents of Albany.  Not only will Pointe North Village III provide the needed housing and economic boost, but it will provide it in the most beneficial and desirable location.  Pointe North Village III is within one mile of a Publix, Target, the Albany Mall and dining and healthcare options.  Furthermore, Pointe North Village III is within one mile of a transit hub which is located at the bus stop (which serves three bus routes) directly outside of the Albany Mall.  The site entrance to Pointe North Village III is also located within one quarter mile of a bus stop.  
  Pointe North Village III will consist of two three-story residential buildings and a separate community building.  As stated previously, Pointe North Village III will serve a family tenancy and will have amenities geared towards that population, such as:  a community building for community events, a furnished exercise/fitness center, a fully equipped computer center, a centralized laundry facility, a covered pavilion with a bbq area, a fenced community garden and a wellness center.
  Furthermore, Pointe North Village III has committed to obtaining the Platinum certification under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furthermore ensure that the residents of Pointe North Village III are afforded a more enjoyable and sustainable environment in which to live.
  In conclusion, Pointe North Village III will be financed with equity from Affordable Equity Partners and construction and permanent loans from from Sterling Bank.  Affordable Equity Partners and Sterling Bank believe that investing in Pointe North Village III is a sound decision, both from a financial and sociological perspective.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300756229, 317012534,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4518</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4722</v>
      </c>
      <c r="H16" s="2350"/>
      <c r="I16" s="2350"/>
      <c r="J16" s="2350"/>
      <c r="K16" s="2350"/>
      <c r="L16" s="2348"/>
      <c r="M16" s="2350"/>
      <c r="N16" s="2350"/>
      <c r="O16" s="2350"/>
      <c r="P16" s="2353" t="s">
        <v>3899</v>
      </c>
    </row>
    <row r="17" spans="1:16" ht="14.25" customHeight="1">
      <c r="A17" s="2350"/>
      <c r="B17" s="2354"/>
      <c r="C17" s="2354"/>
      <c r="D17" s="2354"/>
      <c r="E17" s="2354"/>
      <c r="F17" s="2348"/>
      <c r="G17" s="2352" t="s">
        <v>4723</v>
      </c>
      <c r="H17" s="2355"/>
      <c r="I17" s="2355"/>
      <c r="J17" s="2355"/>
      <c r="K17" s="2350"/>
      <c r="L17" s="2350"/>
      <c r="M17" s="2350"/>
      <c r="N17" s="2350"/>
      <c r="O17" s="2347" t="str">
        <f>'Part I-Project Information'!$O$6</f>
        <v>2018-041</v>
      </c>
      <c r="P17" s="2347"/>
    </row>
    <row r="18" spans="1:16">
      <c r="A18" s="2350"/>
      <c r="B18" s="2354"/>
      <c r="C18" s="2354"/>
      <c r="D18" s="2354"/>
      <c r="E18" s="2354"/>
      <c r="F18" s="2347"/>
      <c r="G18" s="2356" t="s">
        <v>3340</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3826</v>
      </c>
      <c r="G20" s="2350"/>
      <c r="H20" s="2350"/>
      <c r="I20" s="2359">
        <f>'Part IV-A-Uses of Funds'!$J$175</f>
        <v>772998</v>
      </c>
      <c r="J20" s="2359"/>
      <c r="K20" s="2350"/>
      <c r="L20" s="2350" t="s">
        <v>3827</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3742</v>
      </c>
      <c r="J22" s="2347" t="s">
        <v>4724</v>
      </c>
      <c r="K22" s="2347"/>
      <c r="L22" s="2355"/>
      <c r="M22" s="2350"/>
      <c r="N22" s="2350"/>
      <c r="O22" s="2350">
        <f>'Part I-Project Information'!$O$11</f>
        <v>0</v>
      </c>
      <c r="P22" s="2350"/>
    </row>
    <row r="23" spans="1:16" ht="13.5" customHeight="1">
      <c r="A23" s="2348"/>
      <c r="B23" s="2364" t="s">
        <v>4519</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3824</v>
      </c>
      <c r="K25" s="2350"/>
      <c r="L25" s="2350"/>
      <c r="M25" s="2350"/>
      <c r="N25" s="2350"/>
      <c r="O25" s="2350"/>
      <c r="P25" s="2350"/>
    </row>
    <row r="26" spans="1:16">
      <c r="A26" s="2348"/>
      <c r="B26" s="2350" t="s">
        <v>3900</v>
      </c>
      <c r="C26" s="2350"/>
      <c r="D26" s="2347"/>
      <c r="E26" s="2350"/>
      <c r="F26" s="2366">
        <f>'Part I-Project Information'!$F$15</f>
        <v>0</v>
      </c>
      <c r="G26" s="2366"/>
      <c r="H26" s="2366"/>
      <c r="I26" s="2366"/>
      <c r="J26" s="2366"/>
      <c r="K26" s="2366"/>
      <c r="L26" s="2350" t="s">
        <v>3823</v>
      </c>
      <c r="M26" s="2350"/>
      <c r="N26" s="2350"/>
      <c r="O26" s="2350">
        <f>'Part I-Project Information'!$O$15</f>
        <v>0</v>
      </c>
      <c r="P26" s="2350"/>
    </row>
    <row r="27" spans="1:16">
      <c r="A27" s="2348"/>
      <c r="B27" s="2350" t="s">
        <v>3825</v>
      </c>
      <c r="C27" s="2350"/>
      <c r="D27" s="2350"/>
      <c r="E27" s="2350"/>
      <c r="F27" s="2365">
        <f>'Part I-Project Information'!F16</f>
        <v>0</v>
      </c>
      <c r="G27" s="2350" t="s">
        <v>3882</v>
      </c>
      <c r="H27" s="2355"/>
      <c r="I27" s="2356"/>
      <c r="J27" s="2358"/>
      <c r="K27" s="2350"/>
      <c r="L27" s="2350"/>
      <c r="M27" s="2367">
        <f>'Part I-Project Information'!M16</f>
        <v>0</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3911</v>
      </c>
      <c r="C31" s="2350"/>
      <c r="D31" s="2350"/>
      <c r="E31" s="2350"/>
      <c r="F31" s="2350" t="str">
        <f>'Part I-Project Information'!F20</f>
        <v>Piedmont Housing Group, LLC</v>
      </c>
      <c r="G31" s="2350">
        <f>'Part I-Project Information'!G20</f>
        <v>0</v>
      </c>
      <c r="H31" s="2350">
        <f>'Part I-Project Information'!H20</f>
        <v>0</v>
      </c>
      <c r="I31" s="2350" t="s">
        <v>1810</v>
      </c>
      <c r="J31" s="2350" t="str">
        <f>'Part I-Project Information'!J20</f>
        <v>Josh Thomason</v>
      </c>
      <c r="K31" s="2350">
        <f>'Part I-Project Information'!K20</f>
        <v>0</v>
      </c>
      <c r="L31" s="2350">
        <f>'Part I-Project Information'!L20</f>
        <v>0</v>
      </c>
      <c r="M31" s="2358" t="s">
        <v>1996</v>
      </c>
      <c r="N31" s="2350" t="str">
        <f>'Part I-Project Information'!N20</f>
        <v>Managing Member</v>
      </c>
      <c r="O31" s="2350">
        <f>'Part I-Project Information'!O20</f>
        <v>0</v>
      </c>
      <c r="P31" s="2350">
        <f>'Part I-Project Information'!P20</f>
        <v>0</v>
      </c>
    </row>
    <row r="32" spans="1:16" ht="12.75" customHeight="1">
      <c r="A32" s="2350"/>
      <c r="B32" s="2358" t="s">
        <v>1997</v>
      </c>
      <c r="C32" s="2350"/>
      <c r="D32" s="2350"/>
      <c r="E32" s="2350"/>
      <c r="F32" s="2350" t="str">
        <f>'Part I-Project Information'!F21</f>
        <v>295 W Crossville Rd, Suite 720</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3910</v>
      </c>
      <c r="N32" s="2368"/>
      <c r="O32" s="2368"/>
      <c r="P32" s="2368"/>
    </row>
    <row r="33" spans="1:16" ht="12.75" customHeight="1">
      <c r="A33" s="2350"/>
      <c r="B33" s="2358" t="s">
        <v>624</v>
      </c>
      <c r="C33" s="2350"/>
      <c r="D33" s="2350"/>
      <c r="E33" s="2350"/>
      <c r="F33" s="2350" t="str">
        <f>'Part I-Project Information'!F22</f>
        <v>Roswell</v>
      </c>
      <c r="G33" s="2350">
        <f>'Part I-Project Information'!G22</f>
        <v>0</v>
      </c>
      <c r="H33" s="2350">
        <f>'Part I-Project Information'!H22</f>
        <v>0</v>
      </c>
      <c r="I33" s="2358" t="s">
        <v>1812</v>
      </c>
      <c r="J33" s="2369" t="str">
        <f>'Part I-Project Information'!J22</f>
        <v>GA</v>
      </c>
      <c r="K33" s="2350"/>
      <c r="L33" s="2350"/>
      <c r="M33" s="2368"/>
      <c r="N33" s="2368"/>
      <c r="O33" s="2368"/>
      <c r="P33" s="2368"/>
    </row>
    <row r="34" spans="1:16">
      <c r="A34" s="2350"/>
      <c r="B34" s="2358" t="s">
        <v>2245</v>
      </c>
      <c r="C34" s="2350"/>
      <c r="D34" s="2350"/>
      <c r="E34" s="2350"/>
      <c r="F34" s="2370">
        <f>'Part I-Project Information'!F23</f>
        <v>300756229</v>
      </c>
      <c r="G34" s="2370">
        <f>'Part I-Project Information'!G23</f>
        <v>0</v>
      </c>
      <c r="H34" s="2370">
        <f>'Part I-Project Information'!H23</f>
        <v>0</v>
      </c>
      <c r="I34" s="2358" t="s">
        <v>1733</v>
      </c>
      <c r="J34" s="2371">
        <f>'Part I-Project Information'!J23</f>
        <v>4042021357</v>
      </c>
      <c r="K34" s="2371">
        <f>'Part I-Project Information'!K23</f>
        <v>0</v>
      </c>
      <c r="L34" s="2355" t="s">
        <v>1732</v>
      </c>
      <c r="M34" s="2355">
        <f>'Part I-Project Information'!M23</f>
        <v>0</v>
      </c>
      <c r="N34" s="2358" t="s">
        <v>1734</v>
      </c>
      <c r="O34" s="2371">
        <f>'Part I-Project Information'!O23</f>
        <v>4042021357</v>
      </c>
      <c r="P34" s="2371">
        <f>'Part I-Project Information'!P23</f>
        <v>0</v>
      </c>
    </row>
    <row r="35" spans="1:16">
      <c r="A35" s="2350"/>
      <c r="B35" s="2358" t="s">
        <v>2000</v>
      </c>
      <c r="C35" s="2350"/>
      <c r="D35" s="2350"/>
      <c r="E35" s="2350"/>
      <c r="F35" s="2350" t="str">
        <f>'Part I-Project Information'!F24</f>
        <v>josh@piedmonthousinggroup.com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4042021357</v>
      </c>
      <c r="P35" s="2371">
        <f>'Part I-Project Information'!P24</f>
        <v>0</v>
      </c>
    </row>
    <row r="36" spans="1:16">
      <c r="A36" s="2348"/>
      <c r="B36" s="2347" t="s">
        <v>4112</v>
      </c>
      <c r="C36" s="2357"/>
      <c r="D36" s="2350"/>
      <c r="E36" s="2350"/>
      <c r="F36" s="2350"/>
      <c r="G36" s="2350"/>
      <c r="H36" s="2355"/>
      <c r="I36" s="2350"/>
      <c r="J36" s="2357"/>
      <c r="K36" s="2350"/>
      <c r="L36" s="2350"/>
      <c r="M36" s="2350"/>
      <c r="N36" s="2350"/>
      <c r="O36" s="2350"/>
      <c r="P36" s="2372"/>
    </row>
    <row r="37" spans="1:16">
      <c r="A37" s="2350"/>
      <c r="B37" s="2350" t="s">
        <v>3911</v>
      </c>
      <c r="C37" s="2350"/>
      <c r="D37" s="2350"/>
      <c r="E37" s="2350"/>
      <c r="F37" s="2350" t="str">
        <f>'Part I-Project Information'!F26</f>
        <v>Piedmont Housing Group, LLC</v>
      </c>
      <c r="G37" s="2350">
        <f>'Part I-Project Information'!G26</f>
        <v>0</v>
      </c>
      <c r="H37" s="2350">
        <f>'Part I-Project Information'!H26</f>
        <v>0</v>
      </c>
      <c r="I37" s="2350" t="s">
        <v>1810</v>
      </c>
      <c r="J37" s="2350" t="str">
        <f>'Part I-Project Information'!J26</f>
        <v>Jon McKnight</v>
      </c>
      <c r="K37" s="2350">
        <f>'Part I-Project Information'!K26</f>
        <v>0</v>
      </c>
      <c r="L37" s="2350">
        <f>'Part I-Project Information'!L26</f>
        <v>0</v>
      </c>
      <c r="M37" s="2358" t="s">
        <v>1996</v>
      </c>
      <c r="N37" s="2350" t="str">
        <f>'Part I-Project Information'!N26</f>
        <v>Managing Member</v>
      </c>
      <c r="O37" s="2350">
        <f>'Part I-Project Information'!O26</f>
        <v>0</v>
      </c>
      <c r="P37" s="2350">
        <f>'Part I-Project Information'!P26</f>
        <v>0</v>
      </c>
    </row>
    <row r="38" spans="1:16" ht="12.75" customHeight="1">
      <c r="A38" s="2350"/>
      <c r="B38" s="2358" t="s">
        <v>1997</v>
      </c>
      <c r="C38" s="2350"/>
      <c r="D38" s="2350"/>
      <c r="E38" s="2350"/>
      <c r="F38" s="2350" t="str">
        <f>'Part I-Project Information'!F27</f>
        <v>295 W Crossville Rd, Suite 720</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3910</v>
      </c>
      <c r="N38" s="2368"/>
      <c r="O38" s="2368"/>
      <c r="P38" s="2368"/>
    </row>
    <row r="39" spans="1:16" ht="12.75" customHeight="1">
      <c r="A39" s="2350"/>
      <c r="B39" s="2358" t="s">
        <v>624</v>
      </c>
      <c r="C39" s="2350"/>
      <c r="D39" s="2350"/>
      <c r="E39" s="2350"/>
      <c r="F39" s="2350" t="str">
        <f>'Part I-Project Information'!F28</f>
        <v>Roswell</v>
      </c>
      <c r="G39" s="2350">
        <f>'Part I-Project Information'!G28</f>
        <v>0</v>
      </c>
      <c r="H39" s="2350">
        <f>'Part I-Project Information'!H28</f>
        <v>0</v>
      </c>
      <c r="I39" s="2358" t="s">
        <v>1812</v>
      </c>
      <c r="J39" s="2369" t="str">
        <f>'Part I-Project Information'!J28</f>
        <v>GA</v>
      </c>
      <c r="K39" s="2350"/>
      <c r="L39" s="2350"/>
      <c r="M39" s="2368"/>
      <c r="N39" s="2368"/>
      <c r="O39" s="2368"/>
      <c r="P39" s="2368"/>
    </row>
    <row r="40" spans="1:16">
      <c r="A40" s="2350"/>
      <c r="B40" s="2358" t="s">
        <v>2245</v>
      </c>
      <c r="C40" s="2350"/>
      <c r="D40" s="2350"/>
      <c r="E40" s="2350"/>
      <c r="F40" s="2370">
        <f>'Part I-Project Information'!F29</f>
        <v>300756229</v>
      </c>
      <c r="G40" s="2370">
        <f>'Part I-Project Information'!G29</f>
        <v>0</v>
      </c>
      <c r="H40" s="2370">
        <f>'Part I-Project Information'!H29</f>
        <v>0</v>
      </c>
      <c r="I40" s="2358" t="s">
        <v>1733</v>
      </c>
      <c r="J40" s="2371">
        <f>'Part I-Project Information'!J29</f>
        <v>4042027129</v>
      </c>
      <c r="K40" s="2371">
        <f>'Part I-Project Information'!K29</f>
        <v>0</v>
      </c>
      <c r="L40" s="2355" t="s">
        <v>1732</v>
      </c>
      <c r="M40" s="2355">
        <f>'Part I-Project Information'!M29</f>
        <v>0</v>
      </c>
      <c r="N40" s="2358" t="s">
        <v>1734</v>
      </c>
      <c r="O40" s="2371">
        <f>'Part I-Project Information'!O29</f>
        <v>4042027129</v>
      </c>
      <c r="P40" s="2371">
        <f>'Part I-Project Information'!P29</f>
        <v>0</v>
      </c>
    </row>
    <row r="41" spans="1:16">
      <c r="A41" s="2350"/>
      <c r="B41" s="2358" t="s">
        <v>2000</v>
      </c>
      <c r="C41" s="2350"/>
      <c r="D41" s="2350"/>
      <c r="E41" s="2350"/>
      <c r="F41" s="2350" t="str">
        <f>'Part I-Project Information'!F30</f>
        <v>jon@piedmonthousinggroup.com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4042027129</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Pointe North Village III</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Located off Pointe North Blvd, Parcel # 00352/00001/01D</v>
      </c>
      <c r="G46" s="2350">
        <f>'Part I-Project Information'!G35</f>
        <v>0</v>
      </c>
      <c r="H46" s="2350">
        <f>'Part I-Project Information'!H35</f>
        <v>0</v>
      </c>
      <c r="I46" s="2350">
        <f>'Part I-Project Information'!I35</f>
        <v>0</v>
      </c>
      <c r="J46" s="2350">
        <f>'Part I-Project Information'!J35</f>
        <v>0</v>
      </c>
      <c r="K46" s="2350">
        <f>'Part I-Project Information'!K35</f>
        <v>0</v>
      </c>
      <c r="L46" s="2350" t="s">
        <v>3708</v>
      </c>
      <c r="M46" s="2350"/>
      <c r="N46" s="2350"/>
      <c r="O46" s="2350" t="str">
        <f>'Part I-Project Information'!O35</f>
        <v>N/A</v>
      </c>
      <c r="P46" s="2350">
        <f>'Part I-Project Information'!P35</f>
        <v>0</v>
      </c>
    </row>
    <row r="47" spans="1:16">
      <c r="A47" s="2353"/>
      <c r="B47" s="2350" t="s">
        <v>4725</v>
      </c>
      <c r="C47" s="2350"/>
      <c r="D47" s="2361"/>
      <c r="E47" s="2350"/>
      <c r="F47" s="2350" t="str">
        <f>'Part I-Project Information'!F36</f>
        <v>2713 Pointe North Blvd.</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3707</v>
      </c>
      <c r="P47" s="2355">
        <f>'Part I-Project Information'!P36</f>
        <v>1</v>
      </c>
    </row>
    <row r="48" spans="1:16">
      <c r="A48" s="2353"/>
      <c r="B48" s="2350" t="s">
        <v>3764</v>
      </c>
      <c r="C48" s="2350"/>
      <c r="D48" s="2361"/>
      <c r="E48" s="2350"/>
      <c r="F48" s="2350" t="s">
        <v>3744</v>
      </c>
      <c r="G48" s="2373">
        <f>'Part I-Project Information'!G37</f>
        <v>31.617716000000001</v>
      </c>
      <c r="H48" s="2373">
        <f>'Part I-Project Information'!H37</f>
        <v>0</v>
      </c>
      <c r="I48" s="2355" t="s">
        <v>3745</v>
      </c>
      <c r="J48" s="2373">
        <f>'Part I-Project Information'!J37</f>
        <v>-84.227119999999999</v>
      </c>
      <c r="K48" s="2373">
        <f>'Part I-Project Information'!K37</f>
        <v>0</v>
      </c>
      <c r="L48" s="2358" t="s">
        <v>2299</v>
      </c>
      <c r="M48" s="2350"/>
      <c r="N48" s="2350"/>
      <c r="O48" s="2374">
        <f>'Part I-Project Information'!O37</f>
        <v>3</v>
      </c>
      <c r="P48" s="2374">
        <f>'Part I-Project Information'!P37</f>
        <v>0</v>
      </c>
    </row>
    <row r="49" spans="1:16" ht="16.5">
      <c r="A49" s="2348"/>
      <c r="B49" s="2350" t="s">
        <v>624</v>
      </c>
      <c r="C49" s="2350"/>
      <c r="D49" s="2350"/>
      <c r="E49" s="2350"/>
      <c r="F49" s="2350" t="str">
        <f>'Part I-Project Information'!F38</f>
        <v>Albany</v>
      </c>
      <c r="G49" s="2350">
        <f>'Part I-Project Information'!G38</f>
        <v>0</v>
      </c>
      <c r="H49" s="2350">
        <f>'Part I-Project Information'!H38</f>
        <v>0</v>
      </c>
      <c r="I49" s="2375" t="s">
        <v>4726</v>
      </c>
      <c r="J49" s="2370">
        <f>'Part I-Project Information'!J38</f>
        <v>317211586</v>
      </c>
      <c r="K49" s="2370">
        <f>'Part I-Project Information'!K38</f>
        <v>0</v>
      </c>
      <c r="L49" s="2347" t="str">
        <f>IF(AND(NOT(F45=""),NOT(F49="Select from list"),J49=""),"Enter Zip!","")</f>
        <v/>
      </c>
      <c r="M49" s="2376" t="s">
        <v>2926</v>
      </c>
      <c r="N49" s="2350"/>
      <c r="O49" s="2377" t="str">
        <f>'Part I-Project Information'!O38</f>
        <v>104.01</v>
      </c>
      <c r="P49" s="2378">
        <f>'Part I-Project Information'!P38</f>
        <v>0</v>
      </c>
    </row>
    <row r="50" spans="1:16">
      <c r="A50" s="2348"/>
      <c r="B50" s="2350" t="s">
        <v>3592</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Dougherty</v>
      </c>
      <c r="K50" s="2366">
        <f>'Part I-Project Information'!K39</f>
        <v>0</v>
      </c>
      <c r="L50" s="2350"/>
      <c r="M50" s="2358" t="s">
        <v>455</v>
      </c>
      <c r="N50" s="2380" t="str">
        <f>'Part I-Project Information'!N39</f>
        <v>No</v>
      </c>
      <c r="O50" s="2355" t="s">
        <v>456</v>
      </c>
      <c r="P50" s="2380" t="str">
        <f>'Part I-Project Information'!P39</f>
        <v>Yes</v>
      </c>
    </row>
    <row r="51" spans="1:16">
      <c r="A51" s="2348"/>
      <c r="B51" s="2347"/>
      <c r="C51" s="2350" t="s">
        <v>1570</v>
      </c>
      <c r="D51" s="2350"/>
      <c r="E51" s="2350"/>
      <c r="F51" s="2358" t="str">
        <f>'Part I-Project Information'!F40</f>
        <v>No</v>
      </c>
      <c r="G51" s="2350" t="s">
        <v>2799</v>
      </c>
      <c r="H51" s="2350"/>
      <c r="I51" s="2355" t="str">
        <f>'Part I-Project Information'!I40</f>
        <v>No</v>
      </c>
      <c r="J51" s="2355" t="s">
        <v>2819</v>
      </c>
      <c r="K51" s="2355" t="str">
        <f>'Part I-Project Information'!K40</f>
        <v>Urban</v>
      </c>
      <c r="L51" s="2350"/>
      <c r="M51" s="2358" t="s">
        <v>2628</v>
      </c>
      <c r="N51" s="2348" t="str">
        <f>'Part I-Project Information'!N40</f>
        <v>MSA</v>
      </c>
      <c r="O51" s="2350" t="str">
        <f>'Part I-Project Information'!O40</f>
        <v>Albany</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4727</v>
      </c>
      <c r="D53" s="2350"/>
      <c r="E53" s="2350"/>
      <c r="F53" s="2381" t="s">
        <v>2780</v>
      </c>
      <c r="G53" s="2381"/>
      <c r="H53" s="2350" t="s">
        <v>744</v>
      </c>
      <c r="I53" s="2350"/>
      <c r="J53" s="2350" t="s">
        <v>745</v>
      </c>
      <c r="K53" s="2350"/>
      <c r="L53" s="2382" t="s">
        <v>4541</v>
      </c>
      <c r="M53" s="2350"/>
      <c r="N53" s="2350"/>
      <c r="O53" s="2350"/>
      <c r="P53" s="2350"/>
    </row>
    <row r="54" spans="1:16">
      <c r="A54" s="2348"/>
      <c r="B54" s="2350" t="s">
        <v>4728</v>
      </c>
      <c r="C54" s="2350"/>
      <c r="D54" s="2347"/>
      <c r="E54" s="2350"/>
      <c r="F54" s="2383">
        <f>'Part I-Project Information'!F43</f>
        <v>2</v>
      </c>
      <c r="G54" s="2383">
        <f>'Part I-Project Information'!G43</f>
        <v>0</v>
      </c>
      <c r="H54" s="2383">
        <f>'Part I-Project Information'!H43</f>
        <v>12</v>
      </c>
      <c r="I54" s="2383">
        <f>'Part I-Project Information'!I43</f>
        <v>0</v>
      </c>
      <c r="J54" s="2383">
        <f>'Part I-Project Information'!J43</f>
        <v>153</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Albany</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http://www.albanyga.gov/home</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Dorothy Hubbard</v>
      </c>
      <c r="G58" s="2386">
        <f>'Part I-Project Information'!G47</f>
        <v>0</v>
      </c>
      <c r="H58" s="2386">
        <f>'Part I-Project Information'!H47</f>
        <v>0</v>
      </c>
      <c r="I58" s="2355" t="s">
        <v>1996</v>
      </c>
      <c r="J58" s="2350" t="str">
        <f>'Part I-Project Information'!J47</f>
        <v>Mayor</v>
      </c>
      <c r="K58" s="2350">
        <f>'Part I-Project Information'!K47</f>
        <v>0</v>
      </c>
      <c r="L58" s="2387"/>
      <c r="M58" s="2350"/>
      <c r="N58" s="2350"/>
      <c r="O58" s="2350"/>
      <c r="P58" s="2350"/>
    </row>
    <row r="59" spans="1:16">
      <c r="A59" s="2348"/>
      <c r="B59" s="2350" t="s">
        <v>1997</v>
      </c>
      <c r="C59" s="2350"/>
      <c r="D59" s="2350"/>
      <c r="E59" s="2350"/>
      <c r="F59" s="2386" t="str">
        <f>'Part I-Project Information'!F48</f>
        <v>401 Pine Avenue</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Albany</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317012534</v>
      </c>
      <c r="G60" s="2370">
        <f>'Part I-Project Information'!G49</f>
        <v>0</v>
      </c>
      <c r="H60" s="2355" t="s">
        <v>1998</v>
      </c>
      <c r="I60" s="2371">
        <f>'Part I-Project Information'!I49</f>
        <v>2294313244</v>
      </c>
      <c r="J60" s="2371">
        <f>'Part I-Project Information'!J49</f>
        <v>0</v>
      </c>
      <c r="K60" s="2371">
        <f>'Part I-Project Information'!K49</f>
        <v>0</v>
      </c>
      <c r="L60" s="2358" t="s">
        <v>1813</v>
      </c>
      <c r="M60" s="2386" t="str">
        <f>'Part I-Project Information'!M49</f>
        <v>dhubbard@albanyga.gov</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4729</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54</v>
      </c>
      <c r="I66" s="2357"/>
      <c r="J66" s="2357"/>
      <c r="K66" s="2358" t="s">
        <v>3699</v>
      </c>
      <c r="L66" s="2350"/>
      <c r="M66" s="2391" t="s">
        <v>3698</v>
      </c>
      <c r="N66" s="2390">
        <f>'Part VI-Revenues &amp; Expenses'!$O$81</f>
        <v>0</v>
      </c>
      <c r="O66" s="2392" t="s">
        <v>3379</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2931</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3588</v>
      </c>
      <c r="J72" s="2353" t="s">
        <v>2131</v>
      </c>
      <c r="K72" s="2398" t="s">
        <v>2318</v>
      </c>
      <c r="L72" s="2350"/>
      <c r="M72" s="2350"/>
      <c r="N72" s="2350"/>
      <c r="O72" s="2350"/>
      <c r="P72" s="2355"/>
    </row>
    <row r="73" spans="1:16">
      <c r="A73" s="2348"/>
      <c r="B73" s="2369"/>
      <c r="C73" s="2357" t="s">
        <v>2293</v>
      </c>
      <c r="D73" s="2350"/>
      <c r="E73" s="2350"/>
      <c r="F73" s="2350"/>
      <c r="G73" s="2350"/>
      <c r="H73" s="2399">
        <f>SUM(H74:H75)</f>
        <v>54</v>
      </c>
      <c r="I73" s="2399">
        <f>SUM(I74:I75)</f>
        <v>0</v>
      </c>
      <c r="J73" s="2348"/>
      <c r="K73" s="2357" t="s">
        <v>2791</v>
      </c>
      <c r="L73" s="2350"/>
      <c r="M73" s="2350"/>
      <c r="N73" s="2350"/>
      <c r="O73" s="2350"/>
      <c r="P73" s="2399">
        <f>'Part VI-Revenues &amp; Expenses'!$O$115</f>
        <v>54900</v>
      </c>
    </row>
    <row r="74" spans="1:16">
      <c r="A74" s="2348"/>
      <c r="B74" s="2357"/>
      <c r="C74" s="2350"/>
      <c r="D74" s="2381" t="s">
        <v>387</v>
      </c>
      <c r="E74" s="2350"/>
      <c r="F74" s="2350"/>
      <c r="G74" s="2350"/>
      <c r="H74" s="2399">
        <f>'Part VI-Revenues &amp; Expenses'!$O$57</f>
        <v>12</v>
      </c>
      <c r="I74" s="2399">
        <f>'Part VI-Revenues &amp; Expenses'!$O$65</f>
        <v>0</v>
      </c>
      <c r="J74" s="2350"/>
      <c r="K74" s="2357" t="s">
        <v>2792</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42</v>
      </c>
      <c r="I75" s="2399">
        <f>'Part VI-Revenues &amp; Expenses'!$O$64</f>
        <v>0</v>
      </c>
      <c r="J75" s="2350"/>
      <c r="K75" s="2357" t="s">
        <v>2793</v>
      </c>
      <c r="L75" s="2350"/>
      <c r="M75" s="2350"/>
      <c r="N75" s="2350"/>
      <c r="O75" s="2350"/>
      <c r="P75" s="2399">
        <f>P73+P74</f>
        <v>54900</v>
      </c>
    </row>
    <row r="76" spans="1:16">
      <c r="A76" s="2348"/>
      <c r="B76" s="2350"/>
      <c r="C76" s="2357" t="s">
        <v>255</v>
      </c>
      <c r="D76" s="2350"/>
      <c r="E76" s="2350"/>
      <c r="F76" s="2350"/>
      <c r="G76" s="2350"/>
      <c r="H76" s="2399">
        <f>'Part VI-Revenues &amp; Expenses'!$O$59</f>
        <v>0</v>
      </c>
      <c r="I76" s="2350"/>
      <c r="J76" s="2348"/>
      <c r="K76" s="2357" t="s">
        <v>2794</v>
      </c>
      <c r="L76" s="2350"/>
      <c r="M76" s="2350"/>
      <c r="N76" s="2350"/>
      <c r="O76" s="2350"/>
      <c r="P76" s="2399">
        <f>'Part VI-Revenues &amp; Expenses'!$O$118</f>
        <v>0</v>
      </c>
    </row>
    <row r="77" spans="1:16">
      <c r="A77" s="2348"/>
      <c r="B77" s="2350"/>
      <c r="C77" s="2357" t="s">
        <v>2423</v>
      </c>
      <c r="D77" s="2350"/>
      <c r="E77" s="2350"/>
      <c r="F77" s="2350"/>
      <c r="G77" s="2350"/>
      <c r="H77" s="2399">
        <f>H73+H76</f>
        <v>54</v>
      </c>
      <c r="I77" s="2350"/>
      <c r="J77" s="2348"/>
      <c r="K77" s="2357" t="s">
        <v>1432</v>
      </c>
      <c r="L77" s="2350"/>
      <c r="M77" s="2350"/>
      <c r="N77" s="2350"/>
      <c r="O77" s="2350"/>
      <c r="P77" s="2399">
        <f>+P75+P76</f>
        <v>54900</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54</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2</v>
      </c>
      <c r="I81" s="2350"/>
      <c r="J81" s="2350"/>
      <c r="K81" s="2357" t="s">
        <v>4102</v>
      </c>
      <c r="L81" s="2350"/>
      <c r="M81" s="2350"/>
      <c r="N81" s="2350"/>
      <c r="O81" s="2350"/>
      <c r="P81" s="2399">
        <f>'Part I-Project Information'!P70</f>
        <v>2000</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56900</v>
      </c>
    </row>
    <row r="83" spans="1:16">
      <c r="A83" s="2348"/>
      <c r="B83" s="2348"/>
      <c r="C83" s="2350"/>
      <c r="D83" s="2369" t="s">
        <v>2014</v>
      </c>
      <c r="E83" s="2350"/>
      <c r="F83" s="2350"/>
      <c r="G83" s="2350"/>
      <c r="H83" s="2399">
        <f>+H81+H82</f>
        <v>3</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2861</v>
      </c>
      <c r="D85" s="2350"/>
      <c r="E85" s="2350"/>
      <c r="F85" s="2350"/>
      <c r="G85" s="2350"/>
      <c r="H85" s="2399">
        <f>'Part I-Project Information'!H74</f>
        <v>108</v>
      </c>
      <c r="I85" s="2350"/>
      <c r="J85" s="2350"/>
      <c r="K85" s="2346" t="s">
        <v>3883</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4730</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3905</v>
      </c>
      <c r="I91" s="2346"/>
      <c r="J91" s="2350"/>
      <c r="K91" s="2402" t="s">
        <v>2932</v>
      </c>
      <c r="L91" s="2399">
        <f>'Part I-Project Information'!L80</f>
        <v>54</v>
      </c>
      <c r="M91" s="2402" t="s">
        <v>2933</v>
      </c>
      <c r="N91" s="2399">
        <f>'Part I-Project Information'!N80</f>
        <v>0</v>
      </c>
      <c r="O91" s="2350"/>
      <c r="P91" s="2361" t="s">
        <v>3907</v>
      </c>
    </row>
    <row r="92" spans="1:16">
      <c r="A92" s="2348"/>
      <c r="B92" s="2348"/>
      <c r="C92" s="2350"/>
      <c r="D92" s="2358"/>
      <c r="E92" s="2401"/>
      <c r="F92" s="2350"/>
      <c r="G92" s="2350"/>
      <c r="H92" s="2346"/>
      <c r="I92" s="2346"/>
      <c r="J92" s="2350"/>
      <c r="K92" s="2361" t="s">
        <v>2934</v>
      </c>
      <c r="L92" s="2399">
        <f>'Part I-Project Information'!L81</f>
        <v>0</v>
      </c>
      <c r="M92" s="2361" t="s">
        <v>3906</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3</v>
      </c>
      <c r="I94" s="2350"/>
      <c r="J94" s="2350"/>
      <c r="K94" s="2350" t="s">
        <v>525</v>
      </c>
      <c r="L94" s="2350"/>
      <c r="M94" s="2350"/>
      <c r="N94" s="2403">
        <f>IF('Part VI-Revenues &amp; Expenses'!$O$62=0,0,H94/'Part VI-Revenues &amp; Expenses'!$O$62)</f>
        <v>5.5555555555555552E-2</v>
      </c>
      <c r="O94" s="2361" t="s">
        <v>3722</v>
      </c>
      <c r="P94" s="2404">
        <f>'DCA Underwriting Assumptions'!$Q$136</f>
        <v>0.05</v>
      </c>
    </row>
    <row r="95" spans="1:16">
      <c r="A95" s="2348"/>
      <c r="B95" s="2348"/>
      <c r="C95" s="2350"/>
      <c r="D95" s="2369" t="s">
        <v>2859</v>
      </c>
      <c r="E95" s="2369"/>
      <c r="F95" s="2369" t="s">
        <v>804</v>
      </c>
      <c r="G95" s="2350"/>
      <c r="H95" s="2399">
        <f>'Part VIII-Threshold Criteria'!K302</f>
        <v>0</v>
      </c>
      <c r="I95" s="2350"/>
      <c r="J95" s="2350"/>
      <c r="K95" s="2350" t="s">
        <v>2860</v>
      </c>
      <c r="L95" s="2350"/>
      <c r="M95" s="2350"/>
      <c r="N95" s="2403">
        <f>IF(H94=0,0,H95/H94)</f>
        <v>0</v>
      </c>
      <c r="O95" s="2361" t="s">
        <v>3722</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3722</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No</v>
      </c>
      <c r="I107" s="2350"/>
      <c r="J107" s="2350"/>
      <c r="K107" s="2381" t="s">
        <v>3929</v>
      </c>
      <c r="L107" s="2355" t="str">
        <f>'Part I-Project Information'!L96</f>
        <v>Yes</v>
      </c>
      <c r="M107" s="2350"/>
      <c r="N107" s="2350"/>
      <c r="O107" s="2361" t="s">
        <v>3923</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Flexible</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3689</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3</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2060206</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Piedmont Housing Group, LLC</v>
      </c>
      <c r="D131" s="2362">
        <f>'Part I-Project Information'!D120</f>
        <v>0</v>
      </c>
      <c r="E131" s="2362">
        <f>'Part I-Project Information'!E120</f>
        <v>0</v>
      </c>
      <c r="F131" s="2362" t="str">
        <f>'Part I-Project Information'!F120</f>
        <v>Cartmell Senior Village</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t="str">
        <f>'Part I-Project Information'!C121</f>
        <v>Piedmont Housing Group, LLC</v>
      </c>
      <c r="D132" s="2362">
        <f>'Part I-Project Information'!D121</f>
        <v>0</v>
      </c>
      <c r="E132" s="2362">
        <f>'Part I-Project Information'!E121</f>
        <v>0</v>
      </c>
      <c r="F132" s="2362" t="str">
        <f>'Part I-Project Information'!F121</f>
        <v>Vinings Senior Village</v>
      </c>
      <c r="G132" s="2362">
        <f>'Part I-Project Information'!G121</f>
        <v>0</v>
      </c>
      <c r="H132" s="2362">
        <f>'Part I-Project Information'!H121</f>
        <v>0</v>
      </c>
      <c r="I132" s="2362" t="str">
        <f>'Part I-Project Information'!I121</f>
        <v>Direct</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f>'Part I-Project Information'!I138</f>
        <v>0</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f>'Part I-Project Information'!I140</f>
        <v>0</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f>'Part I-Project Information'!I144</f>
        <v>0</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f>'Part I-Project Information'!I147</f>
        <v>0</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4731</v>
      </c>
      <c r="D161" s="2369"/>
      <c r="E161" s="2369"/>
      <c r="F161" s="2355"/>
      <c r="G161" s="2355"/>
      <c r="H161" s="2350"/>
      <c r="I161" s="2375">
        <f>'Part I-Project Information'!I150</f>
        <v>0</v>
      </c>
      <c r="J161" s="2350"/>
      <c r="K161" s="2369" t="s">
        <v>1547</v>
      </c>
      <c r="L161" s="2369"/>
      <c r="M161" s="2355"/>
      <c r="N161" s="2355"/>
      <c r="O161" s="2375">
        <f>'Part I-Project Information'!O150</f>
        <v>0</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f>'Part I-Project Information'!K155</f>
        <v>0</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4732</v>
      </c>
      <c r="D168" s="2350"/>
      <c r="E168" s="2350"/>
      <c r="F168" s="2350"/>
      <c r="G168" s="2350"/>
      <c r="H168" s="2399">
        <f>'Part I-Project Information'!H157</f>
        <v>0</v>
      </c>
      <c r="I168" s="2356"/>
      <c r="J168" s="2414" t="s">
        <v>3753</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2245</v>
      </c>
      <c r="J171" s="2370">
        <f>'Part I-Project Information'!J160</f>
        <v>0</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f>'Part I-Project Information'!I163</f>
        <v>0</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2771</v>
      </c>
      <c r="K180" s="2350"/>
      <c r="L180" s="2381" t="s">
        <v>4733</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2864</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3506</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2922</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43983</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t="str">
        <f>'Part I-Project Information'!A186</f>
        <v>XIII.  Additional Project Information, E. Waivers and/or pre-approvals: - The Project Team for the Applicant applied for a qualification determination during the 2018 pre-application for Cartmell Senior Village (PA18-036) and received a determination of "Qualified".   The Project Team for Cartmell Senior Village is identical to the Project Team for Pointe North Village III.  Furthermore, both Pointe North Village III and Cartmell Senior Village are both new construction developments and are similarly sized developments (Cartmell Senior Village is 46 units and Pointe North Village Phase III is 54 units).  Therefore, the Project Team for Pointe North Village III is also qualified.  A copy of the Qualification Determination Letter received for Cartmell Senior Village (PA18-036) signed by the Applicant has been included in Tab 19 (XIX) "Qualifications for General Project Participants". 
IV.  Project Location:  Phased Project - Though the development is named Pointe North Village III, it isn't a phased development per the QAP.  The QAP states that a phased development means one tax credit development that will be developed in several adjacent phases...under common planning documents.  This isn't true for Pointe North Village III, so the Applicant answered "No" regarding the Phased Development Question.</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2018-041 Pointe North Village III,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4517</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4314</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Pointe North Village III,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Josh Thomason</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295 W Crossville Rd, Suite 720</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Manager of GP</v>
      </c>
      <c r="R209" s="2350">
        <f>'Part II-Development Team'!R6</f>
        <v>0</v>
      </c>
      <c r="S209" s="2350">
        <f>'Part II-Development Team'!S6</f>
        <v>0</v>
      </c>
    </row>
    <row r="210" spans="1:19">
      <c r="A210" s="2350"/>
      <c r="B210" s="2350"/>
      <c r="C210" s="2350"/>
      <c r="D210" s="2423"/>
      <c r="E210" s="2358" t="s">
        <v>624</v>
      </c>
      <c r="F210" s="2350"/>
      <c r="G210" s="2350"/>
      <c r="H210" s="2350" t="str">
        <f>'Part II-Development Team'!H7</f>
        <v>Roswell</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4042021357</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GA</v>
      </c>
      <c r="I211" s="2355" t="s">
        <v>2245</v>
      </c>
      <c r="J211" s="2370">
        <f>'Part II-Development Team'!J8</f>
        <v>300756229</v>
      </c>
      <c r="K211" s="2370">
        <f>'Part II-Development Team'!K8</f>
        <v>0</v>
      </c>
      <c r="L211" s="2350" t="s">
        <v>3714</v>
      </c>
      <c r="M211" s="2350" t="str">
        <f>'Part II-Development Team'!M8</f>
        <v>For Profit</v>
      </c>
      <c r="N211" s="2350">
        <f>'Part II-Development Team'!N8</f>
        <v>0</v>
      </c>
      <c r="O211" s="2358" t="s">
        <v>1995</v>
      </c>
      <c r="P211" s="2350"/>
      <c r="Q211" s="2371">
        <f>'Part II-Development Team'!Q8</f>
        <v>4042021357</v>
      </c>
      <c r="R211" s="2371">
        <f>'Part II-Development Team'!R8</f>
        <v>0</v>
      </c>
      <c r="S211" s="2371">
        <f>'Part II-Development Team'!S8</f>
        <v>0</v>
      </c>
    </row>
    <row r="212" spans="1:19">
      <c r="A212" s="2350"/>
      <c r="B212" s="2350"/>
      <c r="C212" s="2350"/>
      <c r="D212" s="2423"/>
      <c r="E212" s="2358" t="s">
        <v>4315</v>
      </c>
      <c r="F212" s="2350"/>
      <c r="G212" s="2350"/>
      <c r="H212" s="2371">
        <f>'Part II-Development Team'!H9</f>
        <v>4042021357</v>
      </c>
      <c r="I212" s="2371">
        <f>'Part II-Development Team'!I9</f>
        <v>0</v>
      </c>
      <c r="J212" s="2375">
        <f>'Part II-Development Team'!J9</f>
        <v>0</v>
      </c>
      <c r="K212" s="2355" t="s">
        <v>2000</v>
      </c>
      <c r="L212" s="2366" t="str">
        <f>'Part II-Development Team'!L9</f>
        <v>josh@piedmonthousinggroup.com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4314</v>
      </c>
      <c r="F213" s="2350"/>
      <c r="G213" s="2350"/>
      <c r="H213" s="2415"/>
      <c r="I213" s="2350"/>
      <c r="J213" s="2350"/>
      <c r="K213" s="2362"/>
      <c r="L213" s="2350"/>
      <c r="M213" s="2350"/>
      <c r="N213" s="2347" t="s">
        <v>4542</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Dougherty Housing Ventures III,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Josh Thomason</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295 W Crossville Rd, Suite 720</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Manager of GP</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Roswell</v>
      </c>
      <c r="I219" s="2350">
        <f>'Part II-Development Team'!I16</f>
        <v>0</v>
      </c>
      <c r="J219" s="2350">
        <f>'Part II-Development Team'!J16</f>
        <v>0</v>
      </c>
      <c r="K219" s="2355" t="s">
        <v>2722</v>
      </c>
      <c r="L219" s="2350" t="str">
        <f>'Part II-Development Team'!L16</f>
        <v>piedmonthousinggroup.com</v>
      </c>
      <c r="M219" s="2350">
        <f>'Part II-Development Team'!M16</f>
        <v>0</v>
      </c>
      <c r="N219" s="2350">
        <f>'Part II-Development Team'!N16</f>
        <v>0</v>
      </c>
      <c r="O219" s="2358" t="s">
        <v>1734</v>
      </c>
      <c r="P219" s="2350"/>
      <c r="Q219" s="2371">
        <f>'Part II-Development Team'!Q16</f>
        <v>4042021357</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GA</v>
      </c>
      <c r="I220" s="2350"/>
      <c r="J220" s="2350"/>
      <c r="K220" s="2355" t="s">
        <v>2245</v>
      </c>
      <c r="L220" s="2370">
        <f>'Part II-Development Team'!L17</f>
        <v>300756229</v>
      </c>
      <c r="M220" s="2370">
        <f>'Part II-Development Team'!M17</f>
        <v>0</v>
      </c>
      <c r="N220" s="2350"/>
      <c r="O220" s="2358" t="s">
        <v>1995</v>
      </c>
      <c r="P220" s="2350"/>
      <c r="Q220" s="2371">
        <f>'Part II-Development Team'!Q17</f>
        <v>4042021357</v>
      </c>
      <c r="R220" s="2371">
        <f>'Part II-Development Team'!R17</f>
        <v>0</v>
      </c>
      <c r="S220" s="2371">
        <f>'Part II-Development Team'!S17</f>
        <v>0</v>
      </c>
    </row>
    <row r="221" spans="1:19">
      <c r="A221" s="2350"/>
      <c r="B221" s="2350"/>
      <c r="C221" s="2350"/>
      <c r="D221" s="2423"/>
      <c r="E221" s="2358" t="s">
        <v>4315</v>
      </c>
      <c r="F221" s="2350"/>
      <c r="G221" s="2350"/>
      <c r="H221" s="2371">
        <f>'Part II-Development Team'!H18</f>
        <v>4042021357</v>
      </c>
      <c r="I221" s="2371">
        <f>'Part II-Development Team'!I18</f>
        <v>0</v>
      </c>
      <c r="J221" s="2375">
        <f>'Part II-Development Team'!J18</f>
        <v>0</v>
      </c>
      <c r="K221" s="2355" t="s">
        <v>2000</v>
      </c>
      <c r="L221" s="2366" t="str">
        <f>'Part II-Development Team'!L18</f>
        <v>josh@piedmonthousinggroup.com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2722</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2245</v>
      </c>
      <c r="L226" s="2370">
        <f>'Part II-Development Team'!L23</f>
        <v>0</v>
      </c>
      <c r="M226" s="2370">
        <f>'Part II-Development Team'!M23</f>
        <v>0</v>
      </c>
      <c r="N226" s="2350"/>
      <c r="O226" s="2358" t="s">
        <v>1995</v>
      </c>
      <c r="P226" s="2350"/>
      <c r="Q226" s="2371">
        <f>'Part II-Development Team'!Q23</f>
        <v>0</v>
      </c>
      <c r="R226" s="2371">
        <f>'Part II-Development Team'!R23</f>
        <v>0</v>
      </c>
      <c r="S226" s="2371">
        <f>'Part II-Development Team'!S23</f>
        <v>0</v>
      </c>
    </row>
    <row r="227" spans="1:19">
      <c r="A227" s="2350"/>
      <c r="B227" s="2350"/>
      <c r="C227" s="2350"/>
      <c r="D227" s="2423"/>
      <c r="E227" s="2358" t="s">
        <v>4315</v>
      </c>
      <c r="F227" s="2350"/>
      <c r="G227" s="2350"/>
      <c r="H227" s="2371">
        <f>'Part II-Development Team'!H24</f>
        <v>0</v>
      </c>
      <c r="I227" s="2371">
        <f>'Part II-Development Team'!I24</f>
        <v>0</v>
      </c>
      <c r="J227" s="2375">
        <f>'Part II-Development Team'!J24</f>
        <v>0</v>
      </c>
      <c r="K227" s="2355" t="s">
        <v>2000</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4315</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4314</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Affordable Equity Partners, Inc. (PROPOSED)</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Brian Kimes</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206 Peach Way</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Columbia</v>
      </c>
      <c r="I238" s="2350">
        <f>'Part II-Development Team'!I35</f>
        <v>0</v>
      </c>
      <c r="J238" s="2350">
        <f>'Part II-Development Team'!J35</f>
        <v>0</v>
      </c>
      <c r="K238" s="2355" t="s">
        <v>2722</v>
      </c>
      <c r="L238" s="2350" t="str">
        <f>'Part II-Development Team'!L35</f>
        <v>www.aepartners.com</v>
      </c>
      <c r="M238" s="2350">
        <f>'Part II-Development Team'!M35</f>
        <v>0</v>
      </c>
      <c r="N238" s="2350">
        <f>'Part II-Development Team'!N35</f>
        <v>0</v>
      </c>
      <c r="O238" s="2358" t="s">
        <v>1734</v>
      </c>
      <c r="P238" s="2350"/>
      <c r="Q238" s="2371">
        <f>'Part II-Development Team'!Q35</f>
        <v>5734432021</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MO</v>
      </c>
      <c r="I239" s="2350"/>
      <c r="J239" s="2350"/>
      <c r="K239" s="2355" t="s">
        <v>2245</v>
      </c>
      <c r="L239" s="2370">
        <f>'Part II-Development Team'!L36</f>
        <v>652034924</v>
      </c>
      <c r="M239" s="2370">
        <f>'Part II-Development Team'!M36</f>
        <v>0</v>
      </c>
      <c r="N239" s="2350"/>
      <c r="O239" s="2358" t="s">
        <v>1995</v>
      </c>
      <c r="P239" s="2350"/>
      <c r="Q239" s="2371">
        <f>'Part II-Development Team'!Q36</f>
        <v>5734248811</v>
      </c>
      <c r="R239" s="2371">
        <f>'Part II-Development Team'!R36</f>
        <v>0</v>
      </c>
      <c r="S239" s="2371">
        <f>'Part II-Development Team'!S36</f>
        <v>0</v>
      </c>
    </row>
    <row r="240" spans="1:19">
      <c r="A240" s="2350"/>
      <c r="B240" s="2350"/>
      <c r="C240" s="2350"/>
      <c r="D240" s="2423"/>
      <c r="E240" s="2358" t="s">
        <v>4315</v>
      </c>
      <c r="F240" s="2350"/>
      <c r="G240" s="2350"/>
      <c r="H240" s="2371">
        <f>'Part II-Development Team'!H37</f>
        <v>5734432021</v>
      </c>
      <c r="I240" s="2371">
        <f>'Part II-Development Team'!I37</f>
        <v>0</v>
      </c>
      <c r="J240" s="2375">
        <f>'Part II-Development Team'!J37</f>
        <v>0</v>
      </c>
      <c r="K240" s="2355" t="s">
        <v>2000</v>
      </c>
      <c r="L240" s="2366" t="str">
        <f>'Part II-Development Team'!L37</f>
        <v>bkimes@aepartners.com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Affordable Equity Partners, Inc. (PROPOSED)</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Brian Kimes</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206 Peach Way</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Vice 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Columbia</v>
      </c>
      <c r="I244" s="2350">
        <f>'Part II-Development Team'!I41</f>
        <v>0</v>
      </c>
      <c r="J244" s="2350">
        <f>'Part II-Development Team'!J41</f>
        <v>0</v>
      </c>
      <c r="K244" s="2355" t="s">
        <v>2722</v>
      </c>
      <c r="L244" s="2350" t="str">
        <f>'Part II-Development Team'!L41</f>
        <v>www.aepartners.com</v>
      </c>
      <c r="M244" s="2350">
        <f>'Part II-Development Team'!M41</f>
        <v>0</v>
      </c>
      <c r="N244" s="2350">
        <f>'Part II-Development Team'!N41</f>
        <v>0</v>
      </c>
      <c r="O244" s="2358" t="s">
        <v>1734</v>
      </c>
      <c r="P244" s="2350"/>
      <c r="Q244" s="2371">
        <f>'Part II-Development Team'!Q41</f>
        <v>5734432021</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2245</v>
      </c>
      <c r="L245" s="2370">
        <f>'Part II-Development Team'!L42</f>
        <v>652034924</v>
      </c>
      <c r="M245" s="2370">
        <f>'Part II-Development Team'!M42</f>
        <v>0</v>
      </c>
      <c r="N245" s="2350"/>
      <c r="O245" s="2358" t="s">
        <v>1995</v>
      </c>
      <c r="P245" s="2350"/>
      <c r="Q245" s="2371">
        <f>'Part II-Development Team'!Q42</f>
        <v>5734248811</v>
      </c>
      <c r="R245" s="2371">
        <f>'Part II-Development Team'!R42</f>
        <v>0</v>
      </c>
      <c r="S245" s="2371">
        <f>'Part II-Development Team'!S42</f>
        <v>0</v>
      </c>
    </row>
    <row r="246" spans="1:19">
      <c r="A246" s="2350"/>
      <c r="B246" s="2350"/>
      <c r="C246" s="2350"/>
      <c r="D246" s="2423"/>
      <c r="E246" s="2358" t="s">
        <v>4315</v>
      </c>
      <c r="F246" s="2350"/>
      <c r="G246" s="2350"/>
      <c r="H246" s="2371">
        <f>'Part II-Development Team'!H43</f>
        <v>5734432021</v>
      </c>
      <c r="I246" s="2371">
        <f>'Part II-Development Team'!I43</f>
        <v>0</v>
      </c>
      <c r="J246" s="2375">
        <f>'Part II-Development Team'!J43</f>
        <v>0</v>
      </c>
      <c r="K246" s="2355" t="s">
        <v>2000</v>
      </c>
      <c r="L246" s="2366" t="str">
        <f>'Part II-Development Team'!L43</f>
        <v>bkimes@aepartners.com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4314</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2245</v>
      </c>
      <c r="L252" s="2370">
        <f>'Part II-Development Team'!L49</f>
        <v>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4315</v>
      </c>
      <c r="F253" s="2350"/>
      <c r="G253" s="2350"/>
      <c r="H253" s="2371">
        <f>'Part II-Development Team'!H50</f>
        <v>0</v>
      </c>
      <c r="I253" s="2371">
        <f>'Part II-Development Team'!I50</f>
        <v>0</v>
      </c>
      <c r="J253" s="2375">
        <f>'Part II-Development Team'!J50</f>
        <v>0</v>
      </c>
      <c r="K253" s="2355" t="s">
        <v>2000</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4314</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Piedmont Housing Group,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Josh Thomason</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295 W Crossville Rd, Suite 720</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Developer</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Roswell</v>
      </c>
      <c r="I259" s="2350">
        <f>'Part II-Development Team'!I56</f>
        <v>0</v>
      </c>
      <c r="J259" s="2350">
        <f>'Part II-Development Team'!J56</f>
        <v>0</v>
      </c>
      <c r="K259" s="2355" t="s">
        <v>2722</v>
      </c>
      <c r="L259" s="2350" t="str">
        <f>'Part II-Development Team'!L56</f>
        <v>piedmonthousinggroup.com</v>
      </c>
      <c r="M259" s="2350">
        <f>'Part II-Development Team'!M56</f>
        <v>0</v>
      </c>
      <c r="N259" s="2350">
        <f>'Part II-Development Team'!N56</f>
        <v>0</v>
      </c>
      <c r="O259" s="2358" t="s">
        <v>1734</v>
      </c>
      <c r="P259" s="2350"/>
      <c r="Q259" s="2371">
        <f>'Part II-Development Team'!Q56</f>
        <v>4042021357</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GA</v>
      </c>
      <c r="I260" s="2350"/>
      <c r="J260" s="2350"/>
      <c r="K260" s="2355" t="s">
        <v>2245</v>
      </c>
      <c r="L260" s="2370">
        <f>'Part II-Development Team'!L57</f>
        <v>300756229</v>
      </c>
      <c r="M260" s="2370">
        <f>'Part II-Development Team'!M57</f>
        <v>0</v>
      </c>
      <c r="N260" s="2350"/>
      <c r="O260" s="2358" t="s">
        <v>1995</v>
      </c>
      <c r="P260" s="2350"/>
      <c r="Q260" s="2371">
        <f>'Part II-Development Team'!Q57</f>
        <v>4042021357</v>
      </c>
      <c r="R260" s="2371">
        <f>'Part II-Development Team'!R57</f>
        <v>0</v>
      </c>
      <c r="S260" s="2371">
        <f>'Part II-Development Team'!S57</f>
        <v>0</v>
      </c>
    </row>
    <row r="261" spans="1:19">
      <c r="A261" s="2350"/>
      <c r="B261" s="2350"/>
      <c r="C261" s="2350"/>
      <c r="D261" s="2423"/>
      <c r="E261" s="2358" t="s">
        <v>4315</v>
      </c>
      <c r="F261" s="2350"/>
      <c r="G261" s="2350"/>
      <c r="H261" s="2371">
        <f>'Part II-Development Team'!H58</f>
        <v>4042021357</v>
      </c>
      <c r="I261" s="2371">
        <f>'Part II-Development Team'!I58</f>
        <v>0</v>
      </c>
      <c r="J261" s="2375">
        <f>'Part II-Development Team'!J58</f>
        <v>0</v>
      </c>
      <c r="K261" s="2355" t="s">
        <v>2000</v>
      </c>
      <c r="L261" s="2366" t="str">
        <f>'Part II-Development Team'!L58</f>
        <v>josh@piedmonthousinggroup.com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2722</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2245</v>
      </c>
      <c r="L266" s="2370">
        <f>'Part II-Development Team'!L63</f>
        <v>0</v>
      </c>
      <c r="M266" s="2370">
        <f>'Part II-Development Team'!M63</f>
        <v>0</v>
      </c>
      <c r="N266" s="2350"/>
      <c r="O266" s="2358" t="s">
        <v>1995</v>
      </c>
      <c r="P266" s="2350"/>
      <c r="Q266" s="2371">
        <f>'Part II-Development Team'!Q63</f>
        <v>0</v>
      </c>
      <c r="R266" s="2371">
        <f>'Part II-Development Team'!R63</f>
        <v>0</v>
      </c>
      <c r="S266" s="2371">
        <f>'Part II-Development Team'!S63</f>
        <v>0</v>
      </c>
    </row>
    <row r="267" spans="1:19">
      <c r="A267" s="2350"/>
      <c r="B267" s="2350"/>
      <c r="C267" s="2350"/>
      <c r="D267" s="2423"/>
      <c r="E267" s="2358" t="s">
        <v>4315</v>
      </c>
      <c r="F267" s="2350"/>
      <c r="G267" s="2350"/>
      <c r="H267" s="2371">
        <f>'Part II-Development Team'!H64</f>
        <v>0</v>
      </c>
      <c r="I267" s="2371">
        <f>'Part II-Development Team'!I64</f>
        <v>0</v>
      </c>
      <c r="J267" s="2375">
        <f>'Part II-Development Team'!J64</f>
        <v>0</v>
      </c>
      <c r="K267" s="2355" t="s">
        <v>2000</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4315</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4315</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4314</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4315</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Fairway Construction Co.,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Will Markel</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206 Peach Way</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Vice 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Columbia</v>
      </c>
      <c r="I291" s="2350">
        <f>'Part II-Development Team'!I88</f>
        <v>0</v>
      </c>
      <c r="J291" s="2350">
        <f>'Part II-Development Team'!J88</f>
        <v>0</v>
      </c>
      <c r="K291" s="2355" t="s">
        <v>2722</v>
      </c>
      <c r="L291" s="2350" t="str">
        <f>'Part II-Development Team'!L88</f>
        <v>www.fairwayconstruction.com</v>
      </c>
      <c r="M291" s="2350">
        <f>'Part II-Development Team'!M88</f>
        <v>0</v>
      </c>
      <c r="N291" s="2350">
        <f>'Part II-Development Team'!N88</f>
        <v>0</v>
      </c>
      <c r="O291" s="2358" t="s">
        <v>1734</v>
      </c>
      <c r="P291" s="2350"/>
      <c r="Q291" s="2371">
        <f>'Part II-Development Team'!Q88</f>
        <v>5734432021</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MO</v>
      </c>
      <c r="I292" s="2350"/>
      <c r="J292" s="2350"/>
      <c r="K292" s="2355" t="s">
        <v>2245</v>
      </c>
      <c r="L292" s="2370">
        <f>'Part II-Development Team'!L89</f>
        <v>652034924</v>
      </c>
      <c r="M292" s="2370">
        <f>'Part II-Development Team'!M89</f>
        <v>0</v>
      </c>
      <c r="N292" s="2350"/>
      <c r="O292" s="2358" t="s">
        <v>1995</v>
      </c>
      <c r="P292" s="2350"/>
      <c r="Q292" s="2371">
        <f>'Part II-Development Team'!Q89</f>
        <v>0</v>
      </c>
      <c r="R292" s="2371">
        <f>'Part II-Development Team'!R89</f>
        <v>0</v>
      </c>
      <c r="S292" s="2371">
        <f>'Part II-Development Team'!S89</f>
        <v>0</v>
      </c>
    </row>
    <row r="293" spans="1:19">
      <c r="A293" s="2350"/>
      <c r="B293" s="2350"/>
      <c r="C293" s="2350"/>
      <c r="D293" s="2423"/>
      <c r="E293" s="2358" t="s">
        <v>4315</v>
      </c>
      <c r="F293" s="2350"/>
      <c r="G293" s="2350"/>
      <c r="H293" s="2371">
        <f>'Part II-Development Team'!H90</f>
        <v>5734432021</v>
      </c>
      <c r="I293" s="2371">
        <f>'Part II-Development Team'!I90</f>
        <v>0</v>
      </c>
      <c r="J293" s="2375">
        <f>'Part II-Development Team'!J90</f>
        <v>0</v>
      </c>
      <c r="K293" s="2355" t="s">
        <v>2000</v>
      </c>
      <c r="L293" s="2366" t="str">
        <f>'Part II-Development Team'!L90</f>
        <v>wmarkel@jesmith.com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Fairway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Brian Kimes</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206 Peach Way</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Vice 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Columbia</v>
      </c>
      <c r="I297" s="2350">
        <f>'Part II-Development Team'!I94</f>
        <v>0</v>
      </c>
      <c r="J297" s="2350">
        <f>'Part II-Development Team'!J94</f>
        <v>0</v>
      </c>
      <c r="K297" s="2355" t="s">
        <v>2722</v>
      </c>
      <c r="L297" s="2350" t="str">
        <f>'Part II-Development Team'!L94</f>
        <v>www.fairwaymanagement.com</v>
      </c>
      <c r="M297" s="2350">
        <f>'Part II-Development Team'!M94</f>
        <v>0</v>
      </c>
      <c r="N297" s="2350">
        <f>'Part II-Development Team'!N94</f>
        <v>0</v>
      </c>
      <c r="O297" s="2358" t="s">
        <v>1734</v>
      </c>
      <c r="P297" s="2350"/>
      <c r="Q297" s="2371">
        <f>'Part II-Development Team'!Q94</f>
        <v>5734432021</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MO</v>
      </c>
      <c r="I298" s="2350"/>
      <c r="J298" s="2350"/>
      <c r="K298" s="2355" t="s">
        <v>2245</v>
      </c>
      <c r="L298" s="2370">
        <f>'Part II-Development Team'!L95</f>
        <v>652034924</v>
      </c>
      <c r="M298" s="2370">
        <f>'Part II-Development Team'!M95</f>
        <v>0</v>
      </c>
      <c r="N298" s="2350"/>
      <c r="O298" s="2358" t="s">
        <v>1995</v>
      </c>
      <c r="P298" s="2350"/>
      <c r="Q298" s="2371">
        <f>'Part II-Development Team'!Q95</f>
        <v>5734248811</v>
      </c>
      <c r="R298" s="2371">
        <f>'Part II-Development Team'!R95</f>
        <v>0</v>
      </c>
      <c r="S298" s="2371">
        <f>'Part II-Development Team'!S95</f>
        <v>0</v>
      </c>
    </row>
    <row r="299" spans="1:19">
      <c r="A299" s="2350"/>
      <c r="B299" s="2350"/>
      <c r="C299" s="2350"/>
      <c r="D299" s="2423"/>
      <c r="E299" s="2358" t="s">
        <v>4315</v>
      </c>
      <c r="F299" s="2350"/>
      <c r="G299" s="2350"/>
      <c r="H299" s="2371">
        <f>'Part II-Development Team'!H96</f>
        <v>5734432021</v>
      </c>
      <c r="I299" s="2371">
        <f>'Part II-Development Team'!I96</f>
        <v>0</v>
      </c>
      <c r="J299" s="2375">
        <f>'Part II-Development Team'!J96</f>
        <v>0</v>
      </c>
      <c r="K299" s="2355" t="s">
        <v>2000</v>
      </c>
      <c r="L299" s="2366" t="str">
        <f>'Part II-Development Team'!L96</f>
        <v>bkimes@aepartners.com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Coleman Talley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Greg Clark</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910 North Patterson Street</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Valdosta</v>
      </c>
      <c r="I303" s="2350">
        <f>'Part II-Development Team'!I100</f>
        <v>0</v>
      </c>
      <c r="J303" s="2350">
        <f>'Part II-Development Team'!J100</f>
        <v>0</v>
      </c>
      <c r="K303" s="2355" t="s">
        <v>2722</v>
      </c>
      <c r="L303" s="2350" t="str">
        <f>'Part II-Development Team'!L100</f>
        <v>www.colemantalley.com</v>
      </c>
      <c r="M303" s="2350">
        <f>'Part II-Development Team'!M100</f>
        <v>0</v>
      </c>
      <c r="N303" s="2350">
        <f>'Part II-Development Team'!N100</f>
        <v>0</v>
      </c>
      <c r="O303" s="2358" t="s">
        <v>1734</v>
      </c>
      <c r="P303" s="2350"/>
      <c r="Q303" s="2371">
        <f>'Part II-Development Team'!Q100</f>
        <v>2296718260</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GA</v>
      </c>
      <c r="I304" s="2350"/>
      <c r="J304" s="2350"/>
      <c r="K304" s="2355" t="s">
        <v>2245</v>
      </c>
      <c r="L304" s="2370">
        <f>'Part II-Development Team'!L101</f>
        <v>316014531</v>
      </c>
      <c r="M304" s="2370">
        <f>'Part II-Development Team'!M101</f>
        <v>0</v>
      </c>
      <c r="N304" s="2350"/>
      <c r="O304" s="2358" t="s">
        <v>1995</v>
      </c>
      <c r="P304" s="2350"/>
      <c r="Q304" s="2371">
        <f>'Part II-Development Team'!Q101</f>
        <v>2298349704</v>
      </c>
      <c r="R304" s="2371">
        <f>'Part II-Development Team'!R101</f>
        <v>0</v>
      </c>
      <c r="S304" s="2371">
        <f>'Part II-Development Team'!S101</f>
        <v>0</v>
      </c>
    </row>
    <row r="305" spans="1:19">
      <c r="A305" s="2357"/>
      <c r="B305" s="2357"/>
      <c r="C305" s="2357"/>
      <c r="D305" s="2357"/>
      <c r="E305" s="2358" t="s">
        <v>4315</v>
      </c>
      <c r="F305" s="2350"/>
      <c r="G305" s="2350"/>
      <c r="H305" s="2371">
        <f>'Part II-Development Team'!H102</f>
        <v>2296718260</v>
      </c>
      <c r="I305" s="2371">
        <f>'Part II-Development Team'!I102</f>
        <v>0</v>
      </c>
      <c r="J305" s="2375">
        <f>'Part II-Development Team'!J102</f>
        <v>0</v>
      </c>
      <c r="K305" s="2355" t="s">
        <v>2000</v>
      </c>
      <c r="L305" s="2366" t="str">
        <f>'Part II-Development Team'!L102</f>
        <v>greg.clark@colemantalley.com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Aprio</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Frank Gudger</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Five Concourse Parkway, Suite 1000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Partner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Atlanta</v>
      </c>
      <c r="I309" s="2350">
        <f>'Part II-Development Team'!I106</f>
        <v>0</v>
      </c>
      <c r="J309" s="2350">
        <f>'Part II-Development Team'!J106</f>
        <v>0</v>
      </c>
      <c r="K309" s="2355" t="s">
        <v>2722</v>
      </c>
      <c r="L309" s="2350" t="str">
        <f>'Part II-Development Team'!L106</f>
        <v>www.aprio.com</v>
      </c>
      <c r="M309" s="2350">
        <f>'Part II-Development Team'!M106</f>
        <v>0</v>
      </c>
      <c r="N309" s="2350">
        <f>'Part II-Development Team'!N106</f>
        <v>0</v>
      </c>
      <c r="O309" s="2358" t="s">
        <v>1734</v>
      </c>
      <c r="P309" s="2350"/>
      <c r="Q309" s="2371">
        <f>'Part II-Development Team'!Q106</f>
        <v>4048988244</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GA</v>
      </c>
      <c r="I310" s="2350"/>
      <c r="J310" s="2350"/>
      <c r="K310" s="2355" t="s">
        <v>2245</v>
      </c>
      <c r="L310" s="2370">
        <f>'Part II-Development Team'!L107</f>
        <v>303280000</v>
      </c>
      <c r="M310" s="2370">
        <f>'Part II-Development Team'!M107</f>
        <v>0</v>
      </c>
      <c r="N310" s="2350"/>
      <c r="O310" s="2358" t="s">
        <v>1995</v>
      </c>
      <c r="P310" s="2350"/>
      <c r="Q310" s="2371">
        <f>'Part II-Development Team'!Q107</f>
        <v>6783623460</v>
      </c>
      <c r="R310" s="2371">
        <f>'Part II-Development Team'!R107</f>
        <v>0</v>
      </c>
      <c r="S310" s="2371">
        <f>'Part II-Development Team'!S107</f>
        <v>0</v>
      </c>
    </row>
    <row r="311" spans="1:19">
      <c r="A311" s="2357"/>
      <c r="B311" s="2357"/>
      <c r="C311" s="2357"/>
      <c r="D311" s="2357"/>
      <c r="E311" s="2358" t="s">
        <v>4315</v>
      </c>
      <c r="F311" s="2350"/>
      <c r="G311" s="2350"/>
      <c r="H311" s="2371">
        <f>'Part II-Development Team'!H108</f>
        <v>4048988244</v>
      </c>
      <c r="I311" s="2371">
        <f>'Part II-Development Team'!I108</f>
        <v>0</v>
      </c>
      <c r="J311" s="2375">
        <f>'Part II-Development Team'!J108</f>
        <v>0</v>
      </c>
      <c r="K311" s="2355" t="s">
        <v>2000</v>
      </c>
      <c r="L311" s="2366" t="str">
        <f>'Part II-Development Team'!L108</f>
        <v>Frank.Gudger@aprio.com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Martin Riley Associates – Architects, P.C.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Mike Riley</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215 Church Street</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Partner</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Decatur</v>
      </c>
      <c r="I315" s="2350">
        <f>'Part II-Development Team'!I112</f>
        <v>0</v>
      </c>
      <c r="J315" s="2350">
        <f>'Part II-Development Team'!J112</f>
        <v>0</v>
      </c>
      <c r="K315" s="2355" t="s">
        <v>2722</v>
      </c>
      <c r="L315" s="2350" t="str">
        <f>'Part II-Development Team'!L112</f>
        <v>www.martin-riley.com</v>
      </c>
      <c r="M315" s="2350">
        <f>'Part II-Development Team'!M112</f>
        <v>0</v>
      </c>
      <c r="N315" s="2350">
        <f>'Part II-Development Team'!N112</f>
        <v>0</v>
      </c>
      <c r="O315" s="2358" t="s">
        <v>1734</v>
      </c>
      <c r="P315" s="2350"/>
      <c r="Q315" s="2371">
        <f>'Part II-Development Team'!Q112</f>
        <v>4043732800</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GA</v>
      </c>
      <c r="I316" s="2350"/>
      <c r="J316" s="2350"/>
      <c r="K316" s="2355" t="s">
        <v>2245</v>
      </c>
      <c r="L316" s="2370">
        <f>'Part II-Development Team'!L113</f>
        <v>300303330</v>
      </c>
      <c r="M316" s="2370">
        <f>'Part II-Development Team'!M113</f>
        <v>0</v>
      </c>
      <c r="N316" s="2350"/>
      <c r="O316" s="2358" t="s">
        <v>1995</v>
      </c>
      <c r="P316" s="2350"/>
      <c r="Q316" s="2371">
        <f>'Part II-Development Team'!Q113</f>
        <v>0</v>
      </c>
      <c r="R316" s="2371">
        <f>'Part II-Development Team'!R113</f>
        <v>0</v>
      </c>
      <c r="S316" s="2371">
        <f>'Part II-Development Team'!S113</f>
        <v>0</v>
      </c>
    </row>
    <row r="317" spans="1:19">
      <c r="A317" s="2350"/>
      <c r="B317" s="2350"/>
      <c r="C317" s="2350"/>
      <c r="D317" s="2423"/>
      <c r="E317" s="2358" t="s">
        <v>4315</v>
      </c>
      <c r="F317" s="2350"/>
      <c r="G317" s="2350"/>
      <c r="H317" s="2371">
        <f>'Part II-Development Team'!H114</f>
        <v>4043732800</v>
      </c>
      <c r="I317" s="2371">
        <f>'Part II-Development Team'!I114</f>
        <v>0</v>
      </c>
      <c r="J317" s="2375">
        <f>'Part II-Development Team'!J114</f>
        <v>0</v>
      </c>
      <c r="K317" s="2355" t="s">
        <v>2000</v>
      </c>
      <c r="L317" s="2366" t="str">
        <f>'Part II-Development Team'!L114</f>
        <v>mriley@martinriley.com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4734</v>
      </c>
      <c r="D320" s="2350"/>
      <c r="E320" s="2350"/>
      <c r="F320" s="2350"/>
      <c r="G320" s="2350"/>
      <c r="H320" s="2350" t="str">
        <f>'Part II-Development Team'!H117</f>
        <v>Pointe North, LTD</v>
      </c>
      <c r="I320" s="2350">
        <f>'Part II-Development Team'!I117</f>
        <v>0</v>
      </c>
      <c r="J320" s="2350">
        <f>'Part II-Development Team'!J117</f>
        <v>0</v>
      </c>
      <c r="K320" s="2355" t="s">
        <v>2490</v>
      </c>
      <c r="L320" s="2350" t="str">
        <f>'Part II-Development Team'!L117</f>
        <v>Danny Blackshear</v>
      </c>
      <c r="M320" s="2350">
        <f>'Part II-Development Team'!M117</f>
        <v>0</v>
      </c>
      <c r="N320" s="2350">
        <f>'Part II-Development Team'!N117</f>
        <v>0</v>
      </c>
      <c r="O320" s="2358" t="s">
        <v>3603</v>
      </c>
      <c r="P320" s="2350"/>
      <c r="Q320" s="2350" t="str">
        <f>'Part II-Development Team'!Q117</f>
        <v>(229) 883-6100</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1212 Dawson Road</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Albany</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317073852</v>
      </c>
      <c r="K322" s="2370">
        <f>'Part II-Development Team'!K119</f>
        <v>0</v>
      </c>
      <c r="L322" s="2355" t="s">
        <v>2000</v>
      </c>
      <c r="M322" s="2366" t="str">
        <f>'Part II-Development Team'!M119</f>
        <v>dblackshear@albanyrealtyco.com</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2854</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3912</v>
      </c>
      <c r="B324" s="2429"/>
      <c r="C324" s="2429"/>
      <c r="D324" s="2429"/>
      <c r="E324" s="2429"/>
      <c r="F324" s="2375" t="s">
        <v>2527</v>
      </c>
      <c r="G324" s="2364" t="s">
        <v>3502</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2855</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2921</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2897</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2856</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3489</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3490</v>
      </c>
      <c r="E330" s="2346"/>
      <c r="F330" s="2431" t="str">
        <f>'Part II-Development Team'!F127</f>
        <v>Yes</v>
      </c>
      <c r="G330" s="2432" t="str">
        <f>'Part II-Development Team'!G127</f>
        <v>The proposed Federal and State Syndicator, Affordable Equity Partners, Inc. and proposed General Contractor, Fairway Construction Co., Inc. have an identity of interest with each other as they share common ownership.</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2857</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Owner (GP) and Developer</v>
      </c>
      <c r="E332" s="2346">
        <f>'Part II-Development Team'!E129</f>
        <v>0</v>
      </c>
      <c r="F332" s="2431" t="str">
        <f>'Part II-Development Team'!F129</f>
        <v>Yes</v>
      </c>
      <c r="G332" s="2432" t="str">
        <f>'Part II-Development Team'!G129</f>
        <v>The Managing General Partner, Dougherty Housing Ventures III, LLC has an identity of interest with they Developer, Piedmont Housing Group, LLC as they share common ownership.</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4735</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2858</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3470</v>
      </c>
      <c r="F336" s="2346"/>
      <c r="G336" s="2346"/>
      <c r="H336" s="2346"/>
      <c r="I336" s="2346"/>
      <c r="J336" s="2346" t="s">
        <v>3471</v>
      </c>
      <c r="K336" s="2433" t="s">
        <v>4736</v>
      </c>
      <c r="L336" s="2433" t="s">
        <v>4737</v>
      </c>
      <c r="M336" s="2433" t="s">
        <v>4738</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4739</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2927</v>
      </c>
      <c r="O340" s="2381"/>
      <c r="P340" s="2381"/>
      <c r="Q340" s="2381"/>
      <c r="R340" s="2381"/>
      <c r="S340" s="2381"/>
    </row>
    <row r="341" spans="1:19" ht="13.5" customHeight="1">
      <c r="A341" s="2422" t="s">
        <v>3465</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3466</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3467</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3468</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3469</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2914</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2915</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2916</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2918</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2917</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No</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2919</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2018-041 Pointe North Village III, Albany, Dougherty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t="str">
        <f>'Part III-Sources of Funds'!H5</f>
        <v>No</v>
      </c>
      <c r="I368" s="2358" t="s">
        <v>1549</v>
      </c>
      <c r="J368" s="2362"/>
      <c r="K368" s="2362"/>
      <c r="L368" s="2355" t="str">
        <f>'Part III-Sources of Funds'!L5</f>
        <v>No</v>
      </c>
      <c r="M368" s="2350" t="s">
        <v>3919</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2618</v>
      </c>
      <c r="N369" s="2362"/>
      <c r="O369" s="2362"/>
      <c r="P369" s="2362"/>
      <c r="Q369" s="2362"/>
    </row>
    <row r="370" spans="1:17" ht="13.5">
      <c r="A370" s="2350"/>
      <c r="B370" s="2355" t="str">
        <f>'Part III-Sources of Funds'!B7</f>
        <v>No</v>
      </c>
      <c r="C370" s="2358" t="s">
        <v>3916</v>
      </c>
      <c r="D370" s="2362"/>
      <c r="E370" s="2362"/>
      <c r="F370" s="2408">
        <f>'Part III-Sources of Funds'!F7</f>
        <v>0</v>
      </c>
      <c r="G370" s="2408">
        <f>'Part III-Sources of Funds'!G7</f>
        <v>0</v>
      </c>
      <c r="H370" s="2355" t="str">
        <f>'Part III-Sources of Funds'!H7</f>
        <v>No</v>
      </c>
      <c r="I370" s="2358" t="s">
        <v>3706</v>
      </c>
      <c r="J370" s="2362"/>
      <c r="K370" s="2362"/>
      <c r="L370" s="2355" t="str">
        <f>'Part III-Sources of Funds'!L7</f>
        <v>No</v>
      </c>
      <c r="M370" s="2358" t="s">
        <v>2619</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2627</v>
      </c>
      <c r="J371" s="2362"/>
      <c r="K371" s="2362"/>
      <c r="L371" s="2355" t="str">
        <f>'Part III-Sources of Funds'!L8</f>
        <v>No</v>
      </c>
      <c r="M371" s="2358" t="s">
        <v>3711</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2625</v>
      </c>
      <c r="J372" s="2362"/>
      <c r="K372" s="2362"/>
      <c r="L372" s="2355" t="str">
        <f>'Part III-Sources of Funds'!L9</f>
        <v>No</v>
      </c>
      <c r="M372" s="2358" t="s">
        <v>2626</v>
      </c>
      <c r="N372" s="2362"/>
      <c r="O372" s="2362"/>
      <c r="P372" s="2362"/>
      <c r="Q372" s="2362"/>
    </row>
    <row r="373" spans="1:17" ht="13.5">
      <c r="A373" s="2348"/>
      <c r="B373" s="2355" t="str">
        <f>'Part III-Sources of Funds'!B10</f>
        <v>No</v>
      </c>
      <c r="C373" s="2358" t="s">
        <v>3917</v>
      </c>
      <c r="D373" s="2362"/>
      <c r="E373" s="2362"/>
      <c r="F373" s="2362"/>
      <c r="G373" s="2439"/>
      <c r="H373" s="2355" t="str">
        <f>'Part III-Sources of Funds'!H10</f>
        <v>No</v>
      </c>
      <c r="I373" s="2350" t="s">
        <v>3747</v>
      </c>
      <c r="J373" s="2346"/>
      <c r="K373" s="2346"/>
      <c r="L373" s="2355" t="str">
        <f>'Part III-Sources of Funds'!L10</f>
        <v>No</v>
      </c>
      <c r="M373" s="2358" t="s">
        <v>3749</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4740</v>
      </c>
      <c r="D374" s="2350"/>
      <c r="E374" s="2440">
        <f>'Part III-Sources of Funds'!E11</f>
        <v>0</v>
      </c>
      <c r="F374" s="2441">
        <f>'Part III-Sources of Funds'!F11</f>
        <v>0</v>
      </c>
      <c r="G374" s="2362"/>
      <c r="H374" s="2355" t="str">
        <f>'Part III-Sources of Funds'!H11</f>
        <v>No</v>
      </c>
      <c r="I374" s="2350" t="s">
        <v>3752</v>
      </c>
      <c r="J374" s="2362"/>
      <c r="K374" s="2362"/>
      <c r="L374" s="2355" t="str">
        <f>'Part III-Sources of Funds'!L11</f>
        <v>No</v>
      </c>
      <c r="M374" s="2350" t="s">
        <v>3645</v>
      </c>
      <c r="N374" s="2362"/>
      <c r="O374" s="2362"/>
      <c r="P374" s="2362"/>
      <c r="Q374" s="2362"/>
    </row>
    <row r="375" spans="1:17" ht="13.5">
      <c r="A375" s="2348"/>
      <c r="B375" s="2355" t="str">
        <f>'Part III-Sources of Funds'!B12</f>
        <v>No</v>
      </c>
      <c r="C375" s="2358" t="s">
        <v>4741</v>
      </c>
      <c r="D375" s="2362"/>
      <c r="E375" s="2440">
        <f>'Part III-Sources of Funds'!E12</f>
        <v>0</v>
      </c>
      <c r="F375" s="2441">
        <f>'Part III-Sources of Funds'!F12</f>
        <v>0</v>
      </c>
      <c r="G375" s="2362"/>
      <c r="H375" s="2355" t="str">
        <f>'Part III-Sources of Funds'!H12</f>
        <v>No</v>
      </c>
      <c r="I375" s="2412" t="s">
        <v>2814</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3748</v>
      </c>
      <c r="D376" s="2362"/>
      <c r="E376" s="2362" t="str">
        <f>'Part III-Sources of Funds'!E13</f>
        <v>Specify Other HOME Source here</v>
      </c>
      <c r="F376" s="2362">
        <f>'Part III-Sources of Funds'!F13</f>
        <v>0</v>
      </c>
      <c r="G376" s="2362">
        <f>'Part III-Sources of Funds'!G13</f>
        <v>0</v>
      </c>
      <c r="H376" s="2355" t="str">
        <f>'Part III-Sources of Funds'!H13</f>
        <v>No</v>
      </c>
      <c r="I376" s="2358" t="s">
        <v>3918</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3712</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Sterling Bank</v>
      </c>
      <c r="I382" s="2429">
        <f>'Part III-Sources of Funds'!I19</f>
        <v>0</v>
      </c>
      <c r="J382" s="2429">
        <f>'Part III-Sources of Funds'!J19</f>
        <v>0</v>
      </c>
      <c r="K382" s="2429">
        <f>'Part III-Sources of Funds'!K19</f>
        <v>0</v>
      </c>
      <c r="L382" s="2365">
        <f>'Part III-Sources of Funds'!L19</f>
        <v>7527811</v>
      </c>
      <c r="M382" s="2365">
        <f>'Part III-Sources of Funds'!M19</f>
        <v>0</v>
      </c>
      <c r="N382" s="2442">
        <f>'Part III-Sources of Funds'!N19</f>
        <v>6.5000000000000002E-2</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25.5">
      <c r="A388" s="2350"/>
      <c r="B388" s="2350" t="s">
        <v>810</v>
      </c>
      <c r="C388" s="2350"/>
      <c r="D388" s="2350"/>
      <c r="E388" s="2350"/>
      <c r="F388" s="2362"/>
      <c r="G388" s="2362"/>
      <c r="H388" s="2429" t="str">
        <f>'Part III-Sources of Funds'!H25</f>
        <v>Affordable Equity Partners, Inc.</v>
      </c>
      <c r="I388" s="2429">
        <f>'Part III-Sources of Funds'!I25</f>
        <v>0</v>
      </c>
      <c r="J388" s="2429">
        <f>'Part III-Sources of Funds'!J25</f>
        <v>0</v>
      </c>
      <c r="K388" s="2429">
        <f>'Part III-Sources of Funds'!K25</f>
        <v>0</v>
      </c>
      <c r="L388" s="2365">
        <f>'Part III-Sources of Funds'!L25</f>
        <v>1313966</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Affordable Equity Partners, Inc.</v>
      </c>
      <c r="I389" s="2429">
        <f>'Part III-Sources of Funds'!I26</f>
        <v>0</v>
      </c>
      <c r="J389" s="2429">
        <f>'Part III-Sources of Funds'!J26</f>
        <v>0</v>
      </c>
      <c r="K389" s="2429">
        <f>'Part III-Sources of Funds'!K26</f>
        <v>0</v>
      </c>
      <c r="L389" s="2365">
        <f>'Part III-Sources of Funds'!L26</f>
        <v>571961</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9413738</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9413738</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ht="25.5">
      <c r="A400" s="2350"/>
      <c r="B400" s="2350" t="s">
        <v>2631</v>
      </c>
      <c r="C400" s="2350"/>
      <c r="D400" s="2350"/>
      <c r="E400" s="2429" t="str">
        <f>'Part III-Sources of Funds'!E37</f>
        <v>Sterling Bank</v>
      </c>
      <c r="F400" s="2429">
        <f>'Part III-Sources of Funds'!F37</f>
        <v>0</v>
      </c>
      <c r="G400" s="2429">
        <f>'Part III-Sources of Funds'!G37</f>
        <v>0</v>
      </c>
      <c r="H400" s="2429">
        <f>'Part III-Sources of Funds'!H37</f>
        <v>0</v>
      </c>
      <c r="I400" s="2386">
        <f>'Part III-Sources of Funds'!I37</f>
        <v>805000</v>
      </c>
      <c r="J400" s="2350">
        <f>'Part III-Sources of Funds'!J37</f>
        <v>0</v>
      </c>
      <c r="K400" s="2447">
        <f>'Part III-Sources of Funds'!K37</f>
        <v>6.5000000000000002E-2</v>
      </c>
      <c r="L400" s="2355">
        <f>'Part III-Sources of Funds'!L37</f>
        <v>20</v>
      </c>
      <c r="M400" s="2355">
        <f>'Part III-Sources of Funds'!M37</f>
        <v>30</v>
      </c>
      <c r="N400" s="2448">
        <f>'Part III-Sources of Funds'!N37</f>
        <v>61057.771069420298</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38.25">
      <c r="A405" s="2350"/>
      <c r="B405" s="2350" t="s">
        <v>230</v>
      </c>
      <c r="C405" s="2350"/>
      <c r="D405" s="2449">
        <f>'Part III-Sources of Funds'!D42</f>
        <v>7.7188507889281517E-4</v>
      </c>
      <c r="E405" s="2429" t="str">
        <f>'Part III-Sources of Funds'!E42</f>
        <v>Piedmont Housing Group, LLC</v>
      </c>
      <c r="F405" s="2429">
        <f>'Part III-Sources of Funds'!F42</f>
        <v>0</v>
      </c>
      <c r="G405" s="2429">
        <f>'Part III-Sources of Funds'!G42</f>
        <v>0</v>
      </c>
      <c r="H405" s="2429">
        <f>'Part III-Sources of Funds'!H42</f>
        <v>0</v>
      </c>
      <c r="I405" s="2386">
        <f>'Part III-Sources of Funds'!I42</f>
        <v>944</v>
      </c>
      <c r="J405" s="2350">
        <f>'Part III-Sources of Funds'!J42</f>
        <v>0</v>
      </c>
      <c r="K405" s="2447">
        <f>'Part III-Sources of Funds'!K42</f>
        <v>0</v>
      </c>
      <c r="L405" s="2355">
        <f>'Part III-Sources of Funds'!L42</f>
        <v>15</v>
      </c>
      <c r="M405" s="2355">
        <f>'Part III-Sources of Funds'!M42</f>
        <v>0</v>
      </c>
      <c r="N405" s="2448">
        <f>'Part III-Sources of Funds'!N42</f>
        <v>944</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4236</v>
      </c>
      <c r="C407" s="2350"/>
      <c r="D407" s="2362"/>
      <c r="E407" s="2362" t="s">
        <v>4131</v>
      </c>
      <c r="F407" s="2453">
        <f>'Part III-Sources of Funds'!F44</f>
        <v>313129.35875511344</v>
      </c>
      <c r="G407" s="2362"/>
      <c r="H407" s="2439" t="s">
        <v>4235</v>
      </c>
      <c r="I407" s="2453">
        <f>'Part III-Sources of Funds'!I44</f>
        <v>944</v>
      </c>
      <c r="J407" s="2362"/>
      <c r="K407" s="2447"/>
      <c r="L407" s="2355"/>
      <c r="M407" s="2355"/>
      <c r="N407" s="2452"/>
      <c r="O407" s="2452"/>
      <c r="P407" s="2355"/>
      <c r="Q407" s="2355"/>
    </row>
    <row r="408" spans="1:17" ht="13.5">
      <c r="A408" s="2350"/>
      <c r="B408" s="2362" t="s">
        <v>4742</v>
      </c>
      <c r="C408" s="2350"/>
      <c r="D408" s="2449"/>
      <c r="E408" s="2362"/>
      <c r="F408" s="2454">
        <f>'Part III-Sources of Funds'!F45</f>
        <v>1</v>
      </c>
      <c r="G408" s="2454">
        <f>'Part III-Sources of Funds'!G45</f>
        <v>0</v>
      </c>
      <c r="H408" s="2439" t="s">
        <v>4237</v>
      </c>
      <c r="I408" s="2454">
        <f>'Part III-Sources of Funds'!I45</f>
        <v>3.0147284935305809E-3</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51">
      <c r="A412" s="2350"/>
      <c r="B412" s="2350" t="s">
        <v>810</v>
      </c>
      <c r="C412" s="2350"/>
      <c r="D412" s="2350"/>
      <c r="E412" s="2429" t="str">
        <f>'Part III-Sources of Funds'!E49</f>
        <v>Affordable Equity Partners, Inc.</v>
      </c>
      <c r="F412" s="2429">
        <f>'Part III-Sources of Funds'!F49</f>
        <v>0</v>
      </c>
      <c r="G412" s="2429">
        <f>'Part III-Sources of Funds'!G49</f>
        <v>0</v>
      </c>
      <c r="H412" s="2429">
        <f>'Part III-Sources of Funds'!H49</f>
        <v>0</v>
      </c>
      <c r="I412" s="2386">
        <f>'Part III-Sources of Funds'!I49</f>
        <v>6569828</v>
      </c>
      <c r="J412" s="2350">
        <f>'Part III-Sources of Funds'!J49</f>
        <v>0</v>
      </c>
      <c r="K412" s="2362"/>
      <c r="L412" s="2457">
        <f>'Part IV-A-Uses of Funds'!$J$175*10*'Part IV-A-Uses of Funds'!$N$168</f>
        <v>6570483</v>
      </c>
      <c r="M412" s="2457"/>
      <c r="N412" s="2458">
        <f>I412-L412</f>
        <v>-655</v>
      </c>
      <c r="O412" s="2458"/>
      <c r="P412" s="2459" t="s">
        <v>2577</v>
      </c>
      <c r="Q412" s="2350"/>
    </row>
    <row r="413" spans="1:17" ht="51">
      <c r="A413" s="2350"/>
      <c r="B413" s="2350" t="s">
        <v>811</v>
      </c>
      <c r="C413" s="2350"/>
      <c r="D413" s="2350"/>
      <c r="E413" s="2429" t="str">
        <f>'Part III-Sources of Funds'!E50</f>
        <v>Affordable Equity Partners, Inc.</v>
      </c>
      <c r="F413" s="2429">
        <f>'Part III-Sources of Funds'!F50</f>
        <v>0</v>
      </c>
      <c r="G413" s="2429">
        <f>'Part III-Sources of Funds'!G50</f>
        <v>0</v>
      </c>
      <c r="H413" s="2429">
        <f>'Part III-Sources of Funds'!H50</f>
        <v>0</v>
      </c>
      <c r="I413" s="2386">
        <f>'Part III-Sources of Funds'!I50</f>
        <v>2859807</v>
      </c>
      <c r="J413" s="2350">
        <f>'Part III-Sources of Funds'!J50</f>
        <v>0</v>
      </c>
      <c r="K413" s="2362"/>
      <c r="L413" s="2457">
        <f>'Part IV-A-Uses of Funds'!$J$175*10*'Part IV-A-Uses of Funds'!$Q$168</f>
        <v>2860092.6</v>
      </c>
      <c r="M413" s="2457"/>
      <c r="N413" s="2458">
        <f>I413-L413</f>
        <v>-285.60000000009313</v>
      </c>
      <c r="O413" s="2458"/>
      <c r="P413" s="2460">
        <f>I412/I422</f>
        <v>0.64186188309057846</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0.27939865492606775</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0.9212605380166462</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10235579</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10235578.982141985</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1.785801537334919E-2</v>
      </c>
      <c r="J423" s="2445"/>
      <c r="K423" s="2350"/>
      <c r="L423" s="2355"/>
      <c r="M423" s="2429"/>
      <c r="N423" s="2429"/>
      <c r="O423" s="2429"/>
      <c r="P423" s="2429"/>
      <c r="Q423" s="2350"/>
    </row>
    <row r="424" spans="1:17">
      <c r="A424" s="2350" t="s">
        <v>3491</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 xml:space="preserve">The State Limited Partner will contribute capital for an allocation of 99.99% of the State Tax Credits at $.37 per credit.
The Federal Limited Partner will contribute capital for an allocation of 99.99% of the Fedral Tax Credits at $.85 per credit.
</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2018-041 Pointe North Village III,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2018-041 Pointe North Village III,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6500</v>
      </c>
      <c r="H444" s="2365">
        <f>'Part IV-A-Uses of Funds'!H8</f>
        <v>0</v>
      </c>
      <c r="I444" s="2350"/>
      <c r="J444" s="2365">
        <f>'Part IV-A-Uses of Funds'!J8</f>
        <v>6500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7200</v>
      </c>
      <c r="H445" s="2365">
        <f>'Part IV-A-Uses of Funds'!H9</f>
        <v>0</v>
      </c>
      <c r="I445" s="2350"/>
      <c r="J445" s="2365">
        <f>'Part IV-A-Uses of Funds'!J9</f>
        <v>7200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8200</v>
      </c>
      <c r="H446" s="2365">
        <f>'Part IV-A-Uses of Funds'!H10</f>
        <v>0</v>
      </c>
      <c r="I446" s="2350"/>
      <c r="J446" s="2365">
        <f>'Part IV-A-Uses of Funds'!J10</f>
        <v>8200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7000</v>
      </c>
      <c r="H447" s="2365">
        <f>'Part IV-A-Uses of Funds'!H11</f>
        <v>0</v>
      </c>
      <c r="I447" s="2350"/>
      <c r="J447" s="2365">
        <f>'Part IV-A-Uses of Funds'!J11</f>
        <v>7000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6100</v>
      </c>
      <c r="H448" s="2365">
        <f>'Part IV-A-Uses of Funds'!H12</f>
        <v>0</v>
      </c>
      <c r="I448" s="2350"/>
      <c r="J448" s="2365">
        <f>'Part IV-A-Uses of Funds'!J12</f>
        <v>6100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0</v>
      </c>
      <c r="H449" s="2365">
        <f>'Part IV-A-Uses of Funds'!H13</f>
        <v>0</v>
      </c>
      <c r="I449" s="2350"/>
      <c r="J449" s="2365">
        <f>'Part IV-A-Uses of Funds'!J13</f>
        <v>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35000</v>
      </c>
      <c r="H453" s="2365"/>
      <c r="I453" s="2350"/>
      <c r="J453" s="2365">
        <f>SUM(J444:K452)</f>
        <v>35000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645000</v>
      </c>
      <c r="H455" s="2365">
        <f>'Part IV-A-Uses of Funds'!H19</f>
        <v>0</v>
      </c>
      <c r="I455" s="2350"/>
      <c r="J455" s="2380"/>
      <c r="K455" s="2365"/>
      <c r="L455" s="2380"/>
      <c r="M455" s="2380"/>
      <c r="N455" s="2365"/>
      <c r="O455" s="2350"/>
      <c r="P455" s="2380"/>
      <c r="Q455" s="2365"/>
      <c r="R455" s="2350"/>
      <c r="S455" s="2365">
        <f>'Part IV-A-Uses of Funds'!S19</f>
        <v>645000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645000</v>
      </c>
      <c r="H459" s="2365"/>
      <c r="I459" s="2350"/>
      <c r="J459" s="2380"/>
      <c r="K459" s="2365"/>
      <c r="L459" s="2380"/>
      <c r="M459" s="2365">
        <f>SUM(M457:N458)</f>
        <v>0</v>
      </c>
      <c r="N459" s="2365"/>
      <c r="O459" s="2350"/>
      <c r="P459" s="2380"/>
      <c r="Q459" s="2365"/>
      <c r="R459" s="2350"/>
      <c r="S459" s="2365">
        <f>SUM(S455:T458)</f>
        <v>645000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3755</v>
      </c>
      <c r="F461" s="2416">
        <f>IF('Part I-Project Information'!$O$37="","",G461/'Part I-Project Information'!$O$37)</f>
        <v>333333.33333333331</v>
      </c>
      <c r="G461" s="2365">
        <f>'Part IV-A-Uses of Funds'!G25</f>
        <v>1000000</v>
      </c>
      <c r="H461" s="2365">
        <f>'Part IV-A-Uses of Funds'!H25</f>
        <v>0</v>
      </c>
      <c r="I461" s="2350"/>
      <c r="J461" s="2365">
        <f>'Part IV-A-Uses of Funds'!J25</f>
        <v>920000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80000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1000000</v>
      </c>
      <c r="H463" s="2365"/>
      <c r="I463" s="2350"/>
      <c r="J463" s="2365">
        <f>SUM(J461:K462)</f>
        <v>920000</v>
      </c>
      <c r="K463" s="2365"/>
      <c r="L463" s="2380"/>
      <c r="M463" s="2365">
        <f>M461</f>
        <v>0</v>
      </c>
      <c r="N463" s="2365"/>
      <c r="O463" s="2350"/>
      <c r="P463" s="2365">
        <f>P461</f>
        <v>0</v>
      </c>
      <c r="Q463" s="2365"/>
      <c r="R463" s="2350"/>
      <c r="S463" s="2365">
        <f>SUM(S461:T462)</f>
        <v>80000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4676500</v>
      </c>
      <c r="H465" s="2365">
        <f>'Part IV-A-Uses of Funds'!H29</f>
        <v>0</v>
      </c>
      <c r="I465" s="2350"/>
      <c r="J465" s="2365">
        <f>'Part IV-A-Uses of Funds'!J29</f>
        <v>4676500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160000</v>
      </c>
      <c r="H467" s="2365">
        <f>'Part IV-A-Uses of Funds'!H31</f>
        <v>0</v>
      </c>
      <c r="I467" s="2350"/>
      <c r="J467" s="2365">
        <f>'Part IV-A-Uses of Funds'!J31</f>
        <v>160000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4836500</v>
      </c>
      <c r="H469" s="2365"/>
      <c r="I469" s="2350"/>
      <c r="J469" s="2365">
        <f>SUM(J465:K468)</f>
        <v>4836500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3759</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350190</v>
      </c>
      <c r="F471" s="2474" t="e">
        <f>IF(($G$27+$G$33)=0,0,G471/($G$27+$G$33))</f>
        <v>#VALUE!</v>
      </c>
      <c r="G471" s="2365">
        <f>'Part IV-A-Uses of Funds'!G35</f>
        <v>350190</v>
      </c>
      <c r="H471" s="2365">
        <f>'Part IV-A-Uses of Funds'!H35</f>
        <v>0</v>
      </c>
      <c r="I471" s="2357"/>
      <c r="J471" s="2365">
        <f>'Part IV-A-Uses of Funds'!J35</f>
        <v>350190</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116730</v>
      </c>
      <c r="F472" s="2474" t="e">
        <f>IF(($G$27+$G$33)=0,0,G472/($G$27+$G$33))</f>
        <v>#VALUE!</v>
      </c>
      <c r="G472" s="2365">
        <f>'Part IV-A-Uses of Funds'!G36</f>
        <v>116730</v>
      </c>
      <c r="H472" s="2365">
        <f>'Part IV-A-Uses of Funds'!H36</f>
        <v>0</v>
      </c>
      <c r="I472" s="2357"/>
      <c r="J472" s="2365">
        <f>'Part IV-A-Uses of Funds'!J36</f>
        <v>116730</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350190</v>
      </c>
      <c r="F473" s="2474" t="e">
        <f>IF(($G$27+$G$33)=0,0,G473/($G$27+$G$33))</f>
        <v>#VALUE!</v>
      </c>
      <c r="G473" s="2365">
        <f>'Part IV-A-Uses of Funds'!G37</f>
        <v>350190</v>
      </c>
      <c r="H473" s="2365">
        <f>'Part IV-A-Uses of Funds'!H37</f>
        <v>0</v>
      </c>
      <c r="I473" s="2357"/>
      <c r="J473" s="2365">
        <f>'Part IV-A-Uses of Funds'!J37</f>
        <v>350190</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3760</v>
      </c>
      <c r="C474" s="2350"/>
      <c r="D474" s="2472">
        <f>SUM(D471:D473)</f>
        <v>0.14000000000000001</v>
      </c>
      <c r="E474" s="2476">
        <f>SUM(E471:E473)</f>
        <v>817110</v>
      </c>
      <c r="F474" s="2467" t="s">
        <v>193</v>
      </c>
      <c r="G474" s="2365">
        <f>SUM(G471:H473)</f>
        <v>817110</v>
      </c>
      <c r="H474" s="2365"/>
      <c r="I474" s="2350"/>
      <c r="J474" s="2365">
        <f>SUM(J471:K473)</f>
        <v>817110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4743</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4744</v>
      </c>
      <c r="C479" s="2479"/>
      <c r="D479" s="2350"/>
      <c r="E479" s="2349" t="s">
        <v>2762</v>
      </c>
      <c r="F479" s="2480">
        <f>B480/'Part VI-Revenues &amp; Expenses'!$O$60</f>
        <v>123215</v>
      </c>
      <c r="G479" s="2481" t="s">
        <v>4745</v>
      </c>
      <c r="H479" s="2350"/>
      <c r="I479" s="2350"/>
      <c r="J479" s="2482">
        <f>B480/'Part VI-Revenues &amp; Expenses'!$O$62</f>
        <v>123215</v>
      </c>
      <c r="K479" s="2482"/>
      <c r="L479" s="2350"/>
      <c r="M479" s="2483" t="s">
        <v>1414</v>
      </c>
      <c r="N479" s="2483"/>
      <c r="O479" s="2350"/>
      <c r="P479" s="2482">
        <f>B480/'Part I-Project Information'!$P$71</f>
        <v>116.93514938488576</v>
      </c>
      <c r="Q479" s="2482"/>
      <c r="R479" s="2350"/>
      <c r="S479" s="2389" t="s">
        <v>2796</v>
      </c>
      <c r="T479" s="2389"/>
      <c r="U479" s="2350"/>
      <c r="V479" s="2464"/>
      <c r="W479" s="1329">
        <f>'Part IV-A-Uses of Funds'!W43</f>
        <v>0</v>
      </c>
      <c r="X479" s="1329">
        <f>'Part IV-A-Uses of Funds'!X43</f>
        <v>0</v>
      </c>
    </row>
    <row r="480" spans="1:24">
      <c r="A480" s="2350"/>
      <c r="B480" s="2484">
        <f>G463+G469+G474+G477</f>
        <v>6653610</v>
      </c>
      <c r="C480" s="2484"/>
      <c r="D480" s="2350"/>
      <c r="E480" s="2349"/>
      <c r="F480" s="2480">
        <f>B480/'Part VI-Revenues &amp; Expenses'!$O$117</f>
        <v>121.19508196721311</v>
      </c>
      <c r="G480" s="2389" t="s">
        <v>4746</v>
      </c>
      <c r="H480" s="2350"/>
      <c r="I480" s="2350"/>
      <c r="J480" s="2482">
        <f>B480/'Part VI-Revenues &amp; Expenses'!$O$119</f>
        <v>121.19508196721311</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4241</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4240</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332680.5</v>
      </c>
      <c r="F483" s="2488">
        <f>G483/B480</f>
        <v>5.0000075147175742E-2</v>
      </c>
      <c r="G483" s="2365">
        <f>'Part IV-A-Uses of Funds'!G47</f>
        <v>332681</v>
      </c>
      <c r="H483" s="2365">
        <f>'Part IV-A-Uses of Funds'!H47</f>
        <v>0</v>
      </c>
      <c r="I483" s="2350"/>
      <c r="J483" s="2365">
        <f>'Part IV-A-Uses of Funds'!J47</f>
        <v>332681</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4747</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3761</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3762</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78000</v>
      </c>
      <c r="H490" s="2365">
        <f>'Part IV-A-Uses of Funds'!H54</f>
        <v>0</v>
      </c>
      <c r="I490" s="2350"/>
      <c r="J490" s="2365">
        <f>'Part IV-A-Uses of Funds'!J54</f>
        <v>78000</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299536</v>
      </c>
      <c r="H491" s="2365">
        <f>'Part IV-A-Uses of Funds'!H55</f>
        <v>0</v>
      </c>
      <c r="I491" s="2350"/>
      <c r="J491" s="2365">
        <f>'Part IV-A-Uses of Funds'!J55</f>
        <v>248870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50666</v>
      </c>
      <c r="T491" s="2365">
        <f>'Part IV-A-Uses of Funds'!T55</f>
        <v>0</v>
      </c>
      <c r="U491" s="2350"/>
      <c r="V491" s="2464"/>
      <c r="W491" s="1329"/>
      <c r="X491" s="1329"/>
    </row>
    <row r="492" spans="1:24">
      <c r="A492" s="2350"/>
      <c r="B492" s="2350" t="s">
        <v>2364</v>
      </c>
      <c r="C492" s="2350"/>
      <c r="D492" s="2350"/>
      <c r="E492" s="2350"/>
      <c r="F492" s="2350"/>
      <c r="G492" s="2365">
        <f>'Part IV-A-Uses of Funds'!G56</f>
        <v>62000</v>
      </c>
      <c r="H492" s="2365">
        <f>'Part IV-A-Uses of Funds'!H56</f>
        <v>0</v>
      </c>
      <c r="I492" s="2350"/>
      <c r="J492" s="2365">
        <f>'Part IV-A-Uses of Funds'!J56</f>
        <v>62000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12000</v>
      </c>
      <c r="H493" s="2365">
        <f>'Part IV-A-Uses of Funds'!H57</f>
        <v>0</v>
      </c>
      <c r="I493" s="2350"/>
      <c r="J493" s="2365">
        <f>'Part IV-A-Uses of Funds'!J57</f>
        <v>12000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6500</v>
      </c>
      <c r="H494" s="2365">
        <f>'Part IV-A-Uses of Funds'!H58</f>
        <v>0</v>
      </c>
      <c r="I494" s="2350"/>
      <c r="J494" s="2365">
        <f>'Part IV-A-Uses of Funds'!J58</f>
        <v>6500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13000</v>
      </c>
      <c r="H495" s="2365">
        <f>'Part IV-A-Uses of Funds'!H59</f>
        <v>0</v>
      </c>
      <c r="I495" s="2350"/>
      <c r="J495" s="2365">
        <f>'Part IV-A-Uses of Funds'!J59</f>
        <v>13000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13000</v>
      </c>
      <c r="H496" s="2365">
        <f>'Part IV-A-Uses of Funds'!H60</f>
        <v>0</v>
      </c>
      <c r="I496" s="2350"/>
      <c r="J496" s="2365">
        <f>'Part IV-A-Uses of Funds'!J60</f>
        <v>13000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484036</v>
      </c>
      <c r="H500" s="2365"/>
      <c r="I500" s="2350"/>
      <c r="J500" s="2365">
        <f>SUM(J488:K499)</f>
        <v>433370</v>
      </c>
      <c r="K500" s="2365"/>
      <c r="L500" s="2380"/>
      <c r="M500" s="2365">
        <f>SUM(M488:N499)</f>
        <v>0</v>
      </c>
      <c r="N500" s="2365"/>
      <c r="O500" s="2350"/>
      <c r="P500" s="2365">
        <f>SUM(P488:Q499)</f>
        <v>0</v>
      </c>
      <c r="Q500" s="2365"/>
      <c r="R500" s="2350"/>
      <c r="S500" s="2365">
        <f>SUM(S488:T499)</f>
        <v>50666</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138240</v>
      </c>
      <c r="H502" s="2365">
        <f>'Part IV-A-Uses of Funds'!H66</f>
        <v>0</v>
      </c>
      <c r="I502" s="2350"/>
      <c r="J502" s="2365">
        <f>'Part IV-A-Uses of Funds'!J66</f>
        <v>138240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23760</v>
      </c>
      <c r="H503" s="2365">
        <f>'Part IV-A-Uses of Funds'!H67</f>
        <v>0</v>
      </c>
      <c r="I503" s="2350"/>
      <c r="J503" s="2365">
        <f>'Part IV-A-Uses of Funds'!J67</f>
        <v>23760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3877</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40100</v>
      </c>
      <c r="H505" s="2365">
        <f>'Part IV-A-Uses of Funds'!H69</f>
        <v>0</v>
      </c>
      <c r="I505" s="2350"/>
      <c r="J505" s="2365">
        <f>'Part IV-A-Uses of Funds'!J69</f>
        <v>40100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6500</v>
      </c>
      <c r="H506" s="2365">
        <f>'Part IV-A-Uses of Funds'!H70</f>
        <v>0</v>
      </c>
      <c r="I506" s="2350"/>
      <c r="J506" s="2365">
        <f>'Part IV-A-Uses of Funds'!J70</f>
        <v>6500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25000</v>
      </c>
      <c r="H507" s="2365">
        <f>'Part IV-A-Uses of Funds'!H71</f>
        <v>0</v>
      </c>
      <c r="I507" s="2350"/>
      <c r="J507" s="2365">
        <f>'Part IV-A-Uses of Funds'!J71</f>
        <v>25000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80000</v>
      </c>
      <c r="H508" s="2365">
        <f>'Part IV-A-Uses of Funds'!H72</f>
        <v>0</v>
      </c>
      <c r="I508" s="2350"/>
      <c r="J508" s="2365">
        <f>'Part IV-A-Uses of Funds'!J72</f>
        <v>80000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30000</v>
      </c>
      <c r="H509" s="2365">
        <f>'Part IV-A-Uses of Funds'!H73</f>
        <v>0</v>
      </c>
      <c r="I509" s="2350"/>
      <c r="J509" s="2365">
        <f>'Part IV-A-Uses of Funds'!J73</f>
        <v>18000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12000</v>
      </c>
      <c r="T509" s="2365">
        <f>'Part IV-A-Uses of Funds'!T73</f>
        <v>0</v>
      </c>
      <c r="U509" s="2350"/>
      <c r="V509" s="2464"/>
      <c r="W509" s="1329"/>
      <c r="X509" s="1329"/>
    </row>
    <row r="510" spans="1:24">
      <c r="A510" s="2350"/>
      <c r="B510" s="2350" t="s">
        <v>2065</v>
      </c>
      <c r="C510" s="2350"/>
      <c r="D510" s="2350"/>
      <c r="E510" s="2350"/>
      <c r="F510" s="2350"/>
      <c r="G510" s="2365">
        <f>'Part IV-A-Uses of Funds'!G74</f>
        <v>23800</v>
      </c>
      <c r="H510" s="2365">
        <f>'Part IV-A-Uses of Funds'!H74</f>
        <v>0</v>
      </c>
      <c r="I510" s="2350"/>
      <c r="J510" s="2365">
        <f>'Part IV-A-Uses of Funds'!J74</f>
        <v>23800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5000</v>
      </c>
      <c r="H511" s="2365">
        <f>'Part IV-A-Uses of Funds'!H75</f>
        <v>0</v>
      </c>
      <c r="I511" s="2350"/>
      <c r="J511" s="2365">
        <f>'Part IV-A-Uses of Funds'!J75</f>
        <v>5000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392400</v>
      </c>
      <c r="H513" s="2365"/>
      <c r="I513" s="2350"/>
      <c r="J513" s="2365">
        <f>SUM(J502:K512)</f>
        <v>380400</v>
      </c>
      <c r="K513" s="2365"/>
      <c r="L513" s="2380"/>
      <c r="M513" s="2365">
        <f>SUM(M502:N512)</f>
        <v>0</v>
      </c>
      <c r="N513" s="2365"/>
      <c r="O513" s="2350"/>
      <c r="P513" s="2365">
        <f>SUM(P502:Q512)</f>
        <v>0</v>
      </c>
      <c r="Q513" s="2365"/>
      <c r="R513" s="2350"/>
      <c r="S513" s="2365">
        <f>SUM(S502:T512)</f>
        <v>12000</v>
      </c>
      <c r="T513" s="2365"/>
      <c r="U513" s="2350"/>
      <c r="V513" s="2464">
        <f>SUM(V502:V512)</f>
        <v>0</v>
      </c>
      <c r="W513" s="1329"/>
      <c r="X513" s="1329"/>
    </row>
    <row r="514" spans="1:24">
      <c r="A514" s="2350"/>
      <c r="B514" s="2347" t="s">
        <v>1281</v>
      </c>
      <c r="C514" s="2350"/>
      <c r="D514" s="2492" t="s">
        <v>3763</v>
      </c>
      <c r="E514" s="2493">
        <f>G519/'Part VI-Revenues &amp; Expenses'!$O$62</f>
        <v>720.05555555555554</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15719</v>
      </c>
      <c r="H515" s="2365">
        <f>'Part IV-A-Uses of Funds'!H79</f>
        <v>0</v>
      </c>
      <c r="I515" s="2350"/>
      <c r="J515" s="2365">
        <f>'Part IV-A-Uses of Funds'!J79</f>
        <v>15719</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7164</v>
      </c>
      <c r="H517" s="2365">
        <f>'Part IV-A-Uses of Funds'!H81</f>
        <v>0</v>
      </c>
      <c r="I517" s="2357"/>
      <c r="J517" s="2365">
        <f>'Part IV-A-Uses of Funds'!J81</f>
        <v>7164</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16000</v>
      </c>
      <c r="H518" s="2365">
        <f>'Part IV-A-Uses of Funds'!H82</f>
        <v>0</v>
      </c>
      <c r="I518" s="2357"/>
      <c r="J518" s="2365">
        <f>'Part IV-A-Uses of Funds'!J82</f>
        <v>16000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38883</v>
      </c>
      <c r="H519" s="2365"/>
      <c r="I519" s="2350"/>
      <c r="J519" s="2365">
        <f>SUM(J515:K518)</f>
        <v>38883</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8050</v>
      </c>
      <c r="H521" s="2365">
        <f>'Part IV-A-Uses of Funds'!H85</f>
        <v>0</v>
      </c>
      <c r="I521" s="2350"/>
      <c r="J521" s="2365"/>
      <c r="K521" s="2365"/>
      <c r="L521" s="2380"/>
      <c r="M521" s="2365"/>
      <c r="N521" s="2365"/>
      <c r="O521" s="2350"/>
      <c r="P521" s="2365"/>
      <c r="Q521" s="2365"/>
      <c r="R521" s="2350"/>
      <c r="S521" s="2365">
        <f>'Part IV-A-Uses of Funds'!S85</f>
        <v>8050</v>
      </c>
      <c r="T521" s="2365">
        <f>'Part IV-A-Uses of Funds'!T85</f>
        <v>0</v>
      </c>
      <c r="U521" s="2350"/>
      <c r="V521" s="2464"/>
      <c r="W521" s="1329"/>
      <c r="X521" s="1329"/>
    </row>
    <row r="522" spans="1:24">
      <c r="A522" s="2350"/>
      <c r="B522" s="2350" t="s">
        <v>1287</v>
      </c>
      <c r="C522" s="2350"/>
      <c r="D522" s="2350"/>
      <c r="E522" s="2350"/>
      <c r="F522" s="2350"/>
      <c r="G522" s="2365">
        <f>'Part IV-A-Uses of Funds'!G86</f>
        <v>15000</v>
      </c>
      <c r="H522" s="2365">
        <f>'Part IV-A-Uses of Funds'!H86</f>
        <v>0</v>
      </c>
      <c r="I522" s="2350"/>
      <c r="J522" s="2365"/>
      <c r="K522" s="2365"/>
      <c r="L522" s="2380"/>
      <c r="M522" s="2365"/>
      <c r="N522" s="2365"/>
      <c r="O522" s="2350"/>
      <c r="P522" s="2365"/>
      <c r="Q522" s="2365"/>
      <c r="R522" s="2350"/>
      <c r="S522" s="2365">
        <f>'Part IV-A-Uses of Funds'!S86</f>
        <v>15000</v>
      </c>
      <c r="T522" s="2365">
        <f>'Part IV-A-Uses of Funds'!T86</f>
        <v>0</v>
      </c>
      <c r="U522" s="2350"/>
      <c r="V522" s="2464"/>
      <c r="W522" s="1329"/>
      <c r="X522" s="1329"/>
    </row>
    <row r="523" spans="1:24">
      <c r="A523" s="2350"/>
      <c r="B523" s="2350" t="s">
        <v>1288</v>
      </c>
      <c r="C523" s="2350"/>
      <c r="D523" s="2350"/>
      <c r="E523" s="2350"/>
      <c r="F523" s="2350"/>
      <c r="G523" s="2365">
        <f>'Part IV-A-Uses of Funds'!G87</f>
        <v>9000</v>
      </c>
      <c r="H523" s="2365">
        <f>'Part IV-A-Uses of Funds'!H87</f>
        <v>0</v>
      </c>
      <c r="I523" s="2350"/>
      <c r="J523" s="2365"/>
      <c r="K523" s="2365"/>
      <c r="L523" s="2380"/>
      <c r="M523" s="2365"/>
      <c r="N523" s="2365"/>
      <c r="O523" s="2350"/>
      <c r="P523" s="2365"/>
      <c r="Q523" s="2365"/>
      <c r="R523" s="2350"/>
      <c r="S523" s="2365">
        <f>'Part IV-A-Uses of Funds'!S87</f>
        <v>9000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32050</v>
      </c>
      <c r="H527" s="2365"/>
      <c r="I527" s="2350"/>
      <c r="J527" s="2365"/>
      <c r="K527" s="2365"/>
      <c r="L527" s="2380"/>
      <c r="M527" s="2365"/>
      <c r="N527" s="2365"/>
      <c r="O527" s="2350"/>
      <c r="P527" s="2365"/>
      <c r="Q527" s="2365"/>
      <c r="R527" s="2350"/>
      <c r="S527" s="2365">
        <f>SUM(S521:T526)</f>
        <v>32050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4748</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6500</v>
      </c>
      <c r="T533" s="2365">
        <f>'Part IV-A-Uses of Funds'!T97</f>
        <v>0</v>
      </c>
      <c r="U533" s="2350"/>
      <c r="V533" s="2464"/>
      <c r="W533" s="1329"/>
      <c r="X533" s="1329"/>
    </row>
    <row r="534" spans="1:24">
      <c r="A534" s="2350"/>
      <c r="B534" s="2350" t="s">
        <v>3984</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61839.840000000004</v>
      </c>
      <c r="F535" s="2497"/>
      <c r="G535" s="2365">
        <f>'Part IV-A-Uses of Funds'!G99</f>
        <v>61840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61840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43200</v>
      </c>
      <c r="F536" s="2497"/>
      <c r="G536" s="2365">
        <f>'Part IV-A-Uses of Funds'!G100</f>
        <v>43200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43200</v>
      </c>
      <c r="T536" s="2365">
        <f>'Part IV-A-Uses of Funds'!T100</f>
        <v>0</v>
      </c>
      <c r="U536" s="2350"/>
      <c r="V536" s="2464"/>
      <c r="W536" s="1329"/>
      <c r="X536" s="1329"/>
    </row>
    <row r="537" spans="1:24">
      <c r="A537" s="2350"/>
      <c r="B537" s="2350" t="s">
        <v>4297</v>
      </c>
      <c r="C537" s="2350"/>
      <c r="D537" s="2350"/>
      <c r="E537" s="2350"/>
      <c r="F537" s="2499">
        <f>'DCA Underwriting Assumptions'!$Q$90</f>
        <v>3000</v>
      </c>
      <c r="G537" s="2365">
        <f>'Part IV-A-Uses of Funds'!G101</f>
        <v>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4298</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114540</v>
      </c>
      <c r="H541" s="2365"/>
      <c r="I541" s="2350"/>
      <c r="J541" s="2380"/>
      <c r="K541" s="2380"/>
      <c r="L541" s="2380"/>
      <c r="M541" s="2380"/>
      <c r="N541" s="2380"/>
      <c r="O541" s="2350"/>
      <c r="P541" s="2380"/>
      <c r="Q541" s="2380"/>
      <c r="R541" s="2350"/>
      <c r="S541" s="2365">
        <f>SUM(S532:T540)</f>
        <v>114540</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3000</v>
      </c>
      <c r="H543" s="2365">
        <f>'Part IV-A-Uses of Funds'!H107</f>
        <v>0</v>
      </c>
      <c r="I543" s="2350"/>
      <c r="J543" s="2365"/>
      <c r="K543" s="2365"/>
      <c r="L543" s="2380"/>
      <c r="M543" s="2365"/>
      <c r="N543" s="2365"/>
      <c r="O543" s="2350"/>
      <c r="P543" s="2365"/>
      <c r="Q543" s="2365"/>
      <c r="R543" s="2350"/>
      <c r="S543" s="2365">
        <f>'Part IV-A-Uses of Funds'!S107</f>
        <v>3000</v>
      </c>
      <c r="T543" s="2365">
        <f>'Part IV-A-Uses of Funds'!T107</f>
        <v>0</v>
      </c>
      <c r="U543" s="2350"/>
      <c r="V543" s="2464"/>
      <c r="W543" s="1329"/>
      <c r="X543" s="1329"/>
    </row>
    <row r="544" spans="1:24">
      <c r="A544" s="2350"/>
      <c r="B544" s="2350" t="s">
        <v>282</v>
      </c>
      <c r="C544" s="2350"/>
      <c r="D544" s="2350"/>
      <c r="E544" s="2350"/>
      <c r="F544" s="2350"/>
      <c r="G544" s="2365">
        <f>'Part IV-A-Uses of Funds'!G108</f>
        <v>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3000</v>
      </c>
      <c r="H547" s="2365"/>
      <c r="I547" s="2350"/>
      <c r="J547" s="2365"/>
      <c r="K547" s="2365"/>
      <c r="L547" s="2380"/>
      <c r="M547" s="2365"/>
      <c r="N547" s="2365"/>
      <c r="O547" s="2350"/>
      <c r="P547" s="2365"/>
      <c r="Q547" s="2365"/>
      <c r="R547" s="2350"/>
      <c r="S547" s="2365">
        <f>SUM(S543:T546)</f>
        <v>3000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4250</v>
      </c>
      <c r="C550" s="2350"/>
      <c r="D550" s="2350"/>
      <c r="E550" s="2350"/>
      <c r="F550" s="2501">
        <f>'Part IV-A-Uses of Funds'!F114</f>
        <v>733788</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3659</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1222979.9821419853</v>
      </c>
      <c r="H553" s="2365">
        <f>'Part IV-A-Uses of Funds'!H117</f>
        <v>0</v>
      </c>
      <c r="I553" s="2350"/>
      <c r="J553" s="2365">
        <f>'Part IV-A-Uses of Funds'!J117</f>
        <v>1222979.9821419853</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1222979.9821419853</v>
      </c>
      <c r="H554" s="2365"/>
      <c r="I554" s="2350"/>
      <c r="J554" s="2365">
        <f>SUM(J549:K553)</f>
        <v>1222979.9821419853</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27000</v>
      </c>
      <c r="H556" s="2365">
        <f>'Part IV-A-Uses of Funds'!H120</f>
        <v>0</v>
      </c>
      <c r="I556" s="2350"/>
      <c r="J556" s="2496"/>
      <c r="K556" s="2496"/>
      <c r="L556" s="2496"/>
      <c r="M556" s="2496"/>
      <c r="N556" s="2496"/>
      <c r="O556" s="2350"/>
      <c r="P556" s="2496"/>
      <c r="Q556" s="2496"/>
      <c r="R556" s="2350"/>
      <c r="S556" s="2365">
        <f>'Part IV-A-Uses of Funds'!S120</f>
        <v>27000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61290</v>
      </c>
      <c r="G557" s="2365">
        <f>'Part IV-A-Uses of Funds'!G121</f>
        <v>61290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61290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153108.88553471013</v>
      </c>
      <c r="G558" s="2365">
        <f>'Part IV-A-Uses of Funds'!G122</f>
        <v>153109</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153109</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3590</v>
      </c>
      <c r="F560" s="2416">
        <f>IF('Part VI-Revenues &amp; Expenses'!$O$62=0,0,G560/'Part VI-Revenues &amp; Expenses'!$O$62)</f>
        <v>740.74074074074076</v>
      </c>
      <c r="G560" s="2365">
        <f>'Part IV-A-Uses of Funds'!G124</f>
        <v>40000</v>
      </c>
      <c r="H560" s="2365">
        <f>'Part IV-A-Uses of Funds'!H124</f>
        <v>0</v>
      </c>
      <c r="I560" s="2350"/>
      <c r="J560" s="2365">
        <f>'Part IV-A-Uses of Funds'!J124</f>
        <v>40000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281399</v>
      </c>
      <c r="H562" s="2365"/>
      <c r="I562" s="2350"/>
      <c r="J562" s="2365">
        <f>SUM(J560:K561)</f>
        <v>40000</v>
      </c>
      <c r="K562" s="2365"/>
      <c r="L562" s="2380"/>
      <c r="M562" s="2365">
        <f>SUM(M560:N561)</f>
        <v>0</v>
      </c>
      <c r="N562" s="2365"/>
      <c r="O562" s="2350"/>
      <c r="P562" s="2365">
        <f>SUM(P560:Q561)</f>
        <v>0</v>
      </c>
      <c r="Q562" s="2365"/>
      <c r="R562" s="2350"/>
      <c r="S562" s="2365">
        <f>SUM(S556:T561)</f>
        <v>241399</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4749</v>
      </c>
      <c r="C568" s="2350"/>
      <c r="D568" s="2350"/>
      <c r="E568" s="2350"/>
      <c r="F568" s="2350"/>
      <c r="G568" s="2506">
        <f>G453+G459+G463+G469+G474+G477+G483+G500+G513+G519+G527+G541+G547+G554+G562+G566</f>
        <v>10235578.982141985</v>
      </c>
      <c r="H568" s="2506"/>
      <c r="I568" s="2350"/>
      <c r="J568" s="2506">
        <f>J453+J459+J463+J469+J474+J477+J483+J500+J513+J519+J527+J541+J547+J554+J562+J566</f>
        <v>9056923.9821419846</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1178655</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4750</v>
      </c>
      <c r="C570" s="2479"/>
      <c r="D570" s="2508">
        <f>IF('Part VI-Revenues &amp; Expenses'!$O$62=0,0,G568/'Part VI-Revenues &amp; Expenses'!$O$62)</f>
        <v>189547.75892855527</v>
      </c>
      <c r="E570" s="2508"/>
      <c r="F570" s="2495" t="s">
        <v>2781</v>
      </c>
      <c r="G570" s="2508">
        <f>IF('Part I-Project Information'!$P$71=0,0,G568/'Part I-Project Information'!$P$71)</f>
        <v>179.88715258597512</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9056923.9821419846</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9056923.9821419846</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11774001.176784581</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11774001.176784581</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1059660.1059106123</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1059660.1059106123</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4751</v>
      </c>
      <c r="C598" s="2350"/>
      <c r="D598" s="2350"/>
      <c r="E598" s="2350"/>
      <c r="F598" s="2350"/>
      <c r="G598" s="2473" t="str">
        <f>IF(J599&gt;J598,"TDC exceeds QAP PUCL!","")</f>
        <v/>
      </c>
      <c r="H598" s="2473"/>
      <c r="I598" s="2473"/>
      <c r="J598" s="2443">
        <f>'Part VIII-Threshold Criteria'!$P$63</f>
        <v>11531334</v>
      </c>
      <c r="K598" s="2443"/>
      <c r="L598" s="2443"/>
      <c r="M598" s="2517" t="s">
        <v>2764</v>
      </c>
      <c r="N598" s="2517"/>
      <c r="O598" s="2517"/>
      <c r="P598" s="2517"/>
      <c r="Q598" s="2517"/>
      <c r="R598" s="2517"/>
      <c r="S598" s="2517" t="s">
        <v>3700</v>
      </c>
      <c r="T598" s="2517"/>
      <c r="U598" s="2350"/>
      <c r="V598" s="2464"/>
      <c r="W598" s="1329"/>
      <c r="X598" s="1329"/>
    </row>
    <row r="599" spans="1:24">
      <c r="A599" s="2350"/>
      <c r="B599" s="2350" t="s">
        <v>4752</v>
      </c>
      <c r="C599" s="2350"/>
      <c r="D599" s="2350"/>
      <c r="E599" s="2350"/>
      <c r="F599" s="2350"/>
      <c r="G599" s="2350"/>
      <c r="H599" s="2350"/>
      <c r="I599" s="2350"/>
      <c r="J599" s="2386">
        <f>'Part IV-A-Uses of Funds'!J163</f>
        <v>10235578.982141985</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805000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9430578.9821419846</v>
      </c>
      <c r="K601" s="2386"/>
      <c r="L601" s="2386"/>
      <c r="M601" s="2362" t="s">
        <v>2765</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943057.89821419842</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4753</v>
      </c>
      <c r="C604" s="2350"/>
      <c r="D604" s="2350"/>
      <c r="E604" s="2350"/>
      <c r="F604" s="2350"/>
      <c r="G604" s="2350"/>
      <c r="H604" s="2350"/>
      <c r="I604" s="2350"/>
      <c r="J604" s="2521">
        <f>N604+Q604</f>
        <v>1.22</v>
      </c>
      <c r="K604" s="2521"/>
      <c r="L604" s="2521"/>
      <c r="M604" s="2355" t="s">
        <v>1301</v>
      </c>
      <c r="N604" s="2522">
        <f>'Part IV-A-Uses of Funds'!N168</f>
        <v>0.85</v>
      </c>
      <c r="O604" s="2522">
        <f>'Part IV-A-Uses of Funds'!O168</f>
        <v>0</v>
      </c>
      <c r="P604" s="2355" t="s">
        <v>618</v>
      </c>
      <c r="Q604" s="2522">
        <f>'Part IV-A-Uses of Funds'!Q168</f>
        <v>0.37</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772998.27722475282</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4754</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772998.27722475282</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4755</v>
      </c>
      <c r="C609" s="2350"/>
      <c r="D609" s="2350"/>
      <c r="E609" s="2350"/>
      <c r="F609" s="2350"/>
      <c r="G609" s="2350"/>
      <c r="H609" s="2350"/>
      <c r="I609" s="2350"/>
      <c r="J609" s="2445">
        <f>'Part IV-A-Uses of Funds'!J173</f>
        <v>772998</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4756</v>
      </c>
      <c r="C611" s="2350"/>
      <c r="D611" s="2357"/>
      <c r="E611" s="2357"/>
      <c r="F611" s="2358"/>
      <c r="G611" s="2350"/>
      <c r="H611" s="2350"/>
      <c r="I611" s="2350"/>
      <c r="J611" s="2445">
        <f>IF(J609="",0,+MIN(J607,J609))</f>
        <v>772998</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2018-041 - Pointe North Village III  -  Albany  -  Dougherty,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3741</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4757</v>
      </c>
      <c r="B627" s="2528"/>
      <c r="C627" s="2528"/>
      <c r="D627" s="2528"/>
      <c r="E627" s="2526"/>
      <c r="F627" s="2529" t="s">
        <v>3732</v>
      </c>
      <c r="G627" s="2530"/>
      <c r="H627" s="2529" t="s">
        <v>3733</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3735</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3735</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3735</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3734</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3735</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3735</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3735</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3735</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3735</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4758</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3735</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3735</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4759</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3735</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3735</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4760</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3735</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2018-041 Pointe North Village III,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South</v>
      </c>
    </row>
    <row r="714" spans="1:13">
      <c r="A714" s="2545" t="s">
        <v>3833</v>
      </c>
    </row>
    <row r="716" spans="1:13" ht="51">
      <c r="A716" s="2546" t="s">
        <v>622</v>
      </c>
      <c r="B716" s="2546" t="s">
        <v>2243</v>
      </c>
      <c r="F716" s="683" t="s">
        <v>2536</v>
      </c>
      <c r="I716" s="2547" t="str">
        <f>'Part V-Utility Allowances'!I7</f>
        <v>Georgia DCA - Effective 1/1/2018- South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3+ Story</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6</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9</v>
      </c>
      <c r="L722" s="2549">
        <f>'Part V-Utility Allowances'!L13</f>
        <v>11</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18</v>
      </c>
      <c r="L723" s="2549">
        <f>'Part V-Utility Allowances'!L14</f>
        <v>23</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10</v>
      </c>
      <c r="K724" s="2549">
        <f>'Part V-Utility Allowances'!K15</f>
        <v>13</v>
      </c>
      <c r="L724" s="2549">
        <f>'Part V-Utility Allowances'!L15</f>
        <v>16</v>
      </c>
      <c r="M724" s="2549">
        <f>'Part V-Utility Allowances'!M15</f>
        <v>0</v>
      </c>
    </row>
    <row r="725" spans="1:13">
      <c r="B725" s="683" t="s">
        <v>3830</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3831</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3832</v>
      </c>
      <c r="D727" s="683" t="s">
        <v>1608</v>
      </c>
      <c r="F727" s="2552" t="str">
        <f>'Part V-Utility Allowances'!F18</f>
        <v>X</v>
      </c>
      <c r="G727" s="2552">
        <f>'Part V-Utility Allowances'!G18</f>
        <v>0</v>
      </c>
      <c r="I727" s="2549">
        <f>'Part V-Utility Allowances'!I18</f>
        <v>0</v>
      </c>
      <c r="J727" s="2549">
        <f>'Part V-Utility Allowances'!J18</f>
        <v>21</v>
      </c>
      <c r="K727" s="2549">
        <f>'Part V-Utility Allowances'!K18</f>
        <v>27</v>
      </c>
      <c r="L727" s="2549">
        <f>'Part V-Utility Allowances'!L18</f>
        <v>33</v>
      </c>
      <c r="M727" s="2549">
        <f>'Part V-Utility Allowances'!M18</f>
        <v>0</v>
      </c>
    </row>
    <row r="728" spans="1:13">
      <c r="B728" s="683" t="s">
        <v>1382</v>
      </c>
      <c r="D728" s="683" t="s">
        <v>4543</v>
      </c>
      <c r="E728" s="2549" t="str">
        <f>'Part V-Utility Allowances'!E19</f>
        <v>Yes</v>
      </c>
      <c r="F728" s="2552">
        <f>'Part V-Utility Allowances'!F19</f>
        <v>0</v>
      </c>
      <c r="G728" s="2552" t="str">
        <f>'Part V-Utility Allowances'!G19</f>
        <v>X</v>
      </c>
      <c r="I728" s="2549">
        <f>'Part V-Utility Allowances'!I19</f>
        <v>0</v>
      </c>
      <c r="J728" s="2549">
        <f>'Part V-Utility Allowances'!J19</f>
        <v>0</v>
      </c>
      <c r="K728" s="2549">
        <f>'Part V-Utility Allowances'!K19</f>
        <v>0</v>
      </c>
      <c r="L728" s="2549">
        <f>'Part V-Utility Allowances'!L19</f>
        <v>0</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56</v>
      </c>
      <c r="K730" s="2551">
        <f>IF(SUM(K721:K729)=0,0,IF(OR($D721="&lt;&lt;Select Fuel &gt;&gt;",$D722="&lt;&lt;Select Fuel &gt;&gt;",$D723="&lt;&lt;Select Fuel &gt;&gt;"),"Select Fuel",IF($E728="&lt;Select&gt;","Submeter?",SUM(K721:K729))))</f>
        <v>72</v>
      </c>
      <c r="L730" s="2551">
        <f>IF(SUM(L721:L729)=0,0,IF(OR($D721="&lt;&lt;Select Fuel &gt;&gt;",$D722="&lt;&lt;Select Fuel &gt;&gt;",$D723="&lt;&lt;Select Fuel &gt;&gt;"),"Select Fuel",IF($E728="&lt;Select&gt;","Submeter?",SUM(L721:L729))))</f>
        <v>89</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3830</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3831</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3832</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4543</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4544</v>
      </c>
      <c r="F748" s="2549"/>
      <c r="G748" s="2549"/>
      <c r="I748" s="2551"/>
      <c r="J748" s="2551"/>
      <c r="K748" s="2551"/>
      <c r="L748" s="2551"/>
      <c r="M748" s="2551"/>
    </row>
    <row r="749" spans="1:13">
      <c r="A749" s="2546"/>
      <c r="B749" s="2546"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4.1" customHeight="1">
      <c r="A758" s="2543" t="str">
        <f>CONCATENATE("PART SIX - PROJECTED REVENUES &amp; EXPENSES","  -  ",'Part I-Project Information'!$O$6," ",'Part I-Project Information'!$F$34,", ",'Part I-Project Information'!F795,", ",'Part I-Project Information'!J796," County")</f>
        <v>PART SIX - PROJECTED REVENUES &amp; EXPENSES  -  2018-041 Pointe North Village III,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2018-041 Pointe North Village III,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3593</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3445</v>
      </c>
      <c r="JD760" s="2547" t="s">
        <v>3446</v>
      </c>
      <c r="JE760" s="2547" t="s">
        <v>3447</v>
      </c>
      <c r="JF760" s="2547" t="s">
        <v>3448</v>
      </c>
      <c r="JG760" s="2547" t="s">
        <v>3449</v>
      </c>
    </row>
    <row r="761" spans="1:277" s="2354" customFormat="1" ht="3" customHeight="1">
      <c r="B761" s="2543"/>
      <c r="D761" s="2543"/>
      <c r="P761" s="2557" t="s">
        <v>4761</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35" customHeight="1">
      <c r="A762" s="2560" t="str">
        <f>IF(A805&gt;0,"Finish Row!","")</f>
        <v/>
      </c>
      <c r="B762" s="2543" t="s">
        <v>1860</v>
      </c>
      <c r="E762" s="2543"/>
      <c r="G762" s="2553">
        <f>'Part VI-Revenues &amp; Expenses'!G5</f>
        <v>0</v>
      </c>
      <c r="H762" s="2543"/>
      <c r="I762" s="2561" t="s">
        <v>806</v>
      </c>
      <c r="J762" s="2561" t="s">
        <v>3588</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3440</v>
      </c>
      <c r="JI762" s="2559" t="s">
        <v>3441</v>
      </c>
      <c r="JJ762" s="2559" t="s">
        <v>3442</v>
      </c>
      <c r="JK762" s="2559" t="s">
        <v>3443</v>
      </c>
      <c r="JL762" s="2559" t="s">
        <v>3444</v>
      </c>
      <c r="JM762" s="2547" t="s">
        <v>3454</v>
      </c>
      <c r="JN762" s="2547" t="s">
        <v>3456</v>
      </c>
      <c r="JO762" s="2547" t="s">
        <v>3457</v>
      </c>
      <c r="JP762" s="2547" t="s">
        <v>3458</v>
      </c>
      <c r="JQ762" s="2547" t="s">
        <v>3459</v>
      </c>
    </row>
    <row r="763" spans="1:277" s="2354" customFormat="1" ht="13.35" customHeight="1">
      <c r="A763" s="2560"/>
      <c r="B763" s="2563" t="s">
        <v>1818</v>
      </c>
      <c r="E763" s="2543"/>
      <c r="F763" s="2549" t="str">
        <f>'Part VI-Revenues &amp; Expenses'!F6</f>
        <v>No</v>
      </c>
      <c r="G763" s="2561" t="s">
        <v>3690</v>
      </c>
      <c r="H763" s="2557" t="s">
        <v>3920</v>
      </c>
      <c r="I763" s="2561" t="s">
        <v>807</v>
      </c>
      <c r="J763" s="2561" t="s">
        <v>3693</v>
      </c>
      <c r="K763" s="2559"/>
      <c r="L763" s="2559"/>
      <c r="M763" s="2564" t="str">
        <f>'Part I-Project Information'!$O$40</f>
        <v>Albany</v>
      </c>
      <c r="N763" s="2564"/>
      <c r="O763" s="2565">
        <f>VLOOKUP('Part I-Project Information'!$O$40,'DCA Underwriting Assumptions'!$C$155:$D$265,2)</f>
        <v>47300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3691</v>
      </c>
      <c r="H764" s="2557"/>
      <c r="I764" s="2517" t="s">
        <v>3879</v>
      </c>
      <c r="J764" s="2561" t="s">
        <v>3694</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3691</v>
      </c>
      <c r="I765" s="2517"/>
      <c r="J765" s="2561" t="s">
        <v>4762</v>
      </c>
      <c r="K765" s="2569" t="s">
        <v>146</v>
      </c>
      <c r="L765" s="2569"/>
      <c r="M765" s="2561" t="s">
        <v>2383</v>
      </c>
      <c r="N765" s="2561" t="s">
        <v>537</v>
      </c>
      <c r="O765" s="2561" t="s">
        <v>385</v>
      </c>
      <c r="P765" s="2557"/>
      <c r="Q765" s="2569" t="s">
        <v>3598</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3388</v>
      </c>
      <c r="FH765" s="2547" t="s">
        <v>3388</v>
      </c>
      <c r="FI765" s="2547" t="s">
        <v>3388</v>
      </c>
      <c r="FJ765" s="2547" t="s">
        <v>3388</v>
      </c>
      <c r="FK765" s="2547" t="s">
        <v>3388</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3384</v>
      </c>
      <c r="GB765" s="2547" t="s">
        <v>3384</v>
      </c>
      <c r="GC765" s="2547" t="s">
        <v>3384</v>
      </c>
      <c r="GD765" s="2547" t="s">
        <v>3384</v>
      </c>
      <c r="GE765" s="2547" t="s">
        <v>3384</v>
      </c>
      <c r="GF765" s="2547" t="s">
        <v>360</v>
      </c>
      <c r="GG765" s="2547" t="s">
        <v>360</v>
      </c>
      <c r="GH765" s="2547" t="s">
        <v>360</v>
      </c>
      <c r="GI765" s="2547" t="s">
        <v>360</v>
      </c>
      <c r="GJ765" s="2547" t="s">
        <v>360</v>
      </c>
      <c r="GK765" s="2547" t="s">
        <v>3383</v>
      </c>
      <c r="GL765" s="2547" t="s">
        <v>3383</v>
      </c>
      <c r="GM765" s="2547" t="s">
        <v>3383</v>
      </c>
      <c r="GN765" s="2547" t="s">
        <v>3383</v>
      </c>
      <c r="GO765" s="2547" t="s">
        <v>3383</v>
      </c>
      <c r="GP765" s="2547" t="s">
        <v>361</v>
      </c>
      <c r="GQ765" s="2547" t="s">
        <v>361</v>
      </c>
      <c r="GR765" s="2547" t="s">
        <v>361</v>
      </c>
      <c r="GS765" s="2547" t="s">
        <v>361</v>
      </c>
      <c r="GT765" s="2547" t="s">
        <v>361</v>
      </c>
      <c r="GU765" s="2547" t="s">
        <v>3382</v>
      </c>
      <c r="GV765" s="2547" t="s">
        <v>3382</v>
      </c>
      <c r="GW765" s="2547" t="s">
        <v>3382</v>
      </c>
      <c r="GX765" s="2547" t="s">
        <v>3382</v>
      </c>
      <c r="GY765" s="2547" t="s">
        <v>3382</v>
      </c>
      <c r="GZ765" s="2547" t="s">
        <v>362</v>
      </c>
      <c r="HA765" s="2547" t="s">
        <v>362</v>
      </c>
      <c r="HB765" s="2547" t="s">
        <v>362</v>
      </c>
      <c r="HC765" s="2547" t="s">
        <v>362</v>
      </c>
      <c r="HD765" s="2547" t="s">
        <v>362</v>
      </c>
      <c r="HE765" s="2547" t="s">
        <v>3385</v>
      </c>
      <c r="HF765" s="2547" t="s">
        <v>3385</v>
      </c>
      <c r="HG765" s="2547" t="s">
        <v>3385</v>
      </c>
      <c r="HH765" s="2547" t="s">
        <v>3385</v>
      </c>
      <c r="HI765" s="2547" t="s">
        <v>3385</v>
      </c>
      <c r="HJ765" s="2547" t="s">
        <v>363</v>
      </c>
      <c r="HK765" s="2547" t="s">
        <v>363</v>
      </c>
      <c r="HL765" s="2547" t="s">
        <v>363</v>
      </c>
      <c r="HM765" s="2547" t="s">
        <v>363</v>
      </c>
      <c r="HN765" s="2547" t="s">
        <v>363</v>
      </c>
      <c r="HO765" s="2547" t="s">
        <v>3386</v>
      </c>
      <c r="HP765" s="2547" t="s">
        <v>3386</v>
      </c>
      <c r="HQ765" s="2547" t="s">
        <v>3386</v>
      </c>
      <c r="HR765" s="2547" t="s">
        <v>3386</v>
      </c>
      <c r="HS765" s="2547" t="s">
        <v>3386</v>
      </c>
      <c r="HT765" s="2547" t="s">
        <v>1473</v>
      </c>
      <c r="HU765" s="2547" t="s">
        <v>1473</v>
      </c>
      <c r="HV765" s="2547" t="s">
        <v>1473</v>
      </c>
      <c r="HW765" s="2547" t="s">
        <v>1473</v>
      </c>
      <c r="HX765" s="2547" t="s">
        <v>1473</v>
      </c>
      <c r="HY765" s="2547" t="s">
        <v>3387</v>
      </c>
      <c r="HZ765" s="2547" t="s">
        <v>3387</v>
      </c>
      <c r="IA765" s="2547" t="s">
        <v>3387</v>
      </c>
      <c r="IB765" s="2547" t="s">
        <v>3387</v>
      </c>
      <c r="IC765" s="2547" t="s">
        <v>3387</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3692</v>
      </c>
      <c r="H766" s="2561" t="s">
        <v>1490</v>
      </c>
      <c r="I766" s="2517"/>
      <c r="J766" s="2570" t="s">
        <v>352</v>
      </c>
      <c r="K766" s="2561" t="s">
        <v>1542</v>
      </c>
      <c r="L766" s="2561" t="s">
        <v>544</v>
      </c>
      <c r="M766" s="2561" t="s">
        <v>1488</v>
      </c>
      <c r="N766" s="2561" t="s">
        <v>3337</v>
      </c>
      <c r="O766" s="2561" t="s">
        <v>386</v>
      </c>
      <c r="P766" s="2557"/>
      <c r="Q766" s="2561" t="s">
        <v>3599</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3389</v>
      </c>
      <c r="FR766" s="2549" t="s">
        <v>3389</v>
      </c>
      <c r="FS766" s="2549" t="s">
        <v>3389</v>
      </c>
      <c r="FT766" s="2549" t="s">
        <v>3389</v>
      </c>
      <c r="FU766" s="2549" t="s">
        <v>3389</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2</v>
      </c>
      <c r="F767" s="2574">
        <f>'Part VI-Revenues &amp; Expenses'!F10</f>
        <v>750</v>
      </c>
      <c r="G767" s="2574">
        <f>'Part VI-Revenues &amp; Expenses'!G10</f>
        <v>444</v>
      </c>
      <c r="H767" s="2574">
        <f>'Part VI-Revenues &amp; Expenses'!H10</f>
        <v>444</v>
      </c>
      <c r="I767" s="2574">
        <f>'Part VI-Revenues &amp; Expenses'!I10</f>
        <v>56</v>
      </c>
      <c r="J767" s="2575">
        <f>'Part VI-Revenues &amp; Expenses'!J10</f>
        <v>0</v>
      </c>
      <c r="K767" s="2576">
        <f t="shared" ref="K767:K804" si="2">MAX(0,H767-I767)</f>
        <v>388</v>
      </c>
      <c r="L767" s="2576">
        <f t="shared" ref="L767:L804" si="3">MAX(0,E767*K767)</f>
        <v>776</v>
      </c>
      <c r="M767" s="2450" t="str">
        <f>'Part VI-Revenues &amp; Expenses'!M10</f>
        <v>No</v>
      </c>
      <c r="N767" s="2450" t="str">
        <f>'Part VI-Revenues &amp; Expenses'!N10</f>
        <v>3+ Story</v>
      </c>
      <c r="O767" s="2450" t="str">
        <f>'Part VI-Revenues &amp; Expenses'!O10</f>
        <v>New Construction</v>
      </c>
      <c r="P767" s="2556" t="str">
        <f>'Part VI-Revenues &amp; Expenses'!P10</f>
        <v>No</v>
      </c>
      <c r="Q767" s="2577">
        <f>'Part VI-Revenues &amp; Expenses'!Q10</f>
        <v>17760</v>
      </c>
      <c r="R767" s="2578">
        <f>'Part VI-Revenues &amp; Expenses'!R10</f>
        <v>0.50063424947145874</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1500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2</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f t="shared" ref="HU767:HU804" si="210">IF(AND($C767=1, $N767="3+ Story",NOT($P767="Yes")),$E767,"")</f>
        <v>2</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2</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2</v>
      </c>
      <c r="D768" s="2573">
        <f>'Part VI-Revenues &amp; Expenses'!D11</f>
        <v>2</v>
      </c>
      <c r="E768" s="2574">
        <f>'Part VI-Revenues &amp; Expenses'!E11</f>
        <v>5</v>
      </c>
      <c r="F768" s="2574">
        <f>'Part VI-Revenues &amp; Expenses'!F11</f>
        <v>950</v>
      </c>
      <c r="G768" s="2574">
        <f>'Part VI-Revenues &amp; Expenses'!G11</f>
        <v>532</v>
      </c>
      <c r="H768" s="2574">
        <f>'Part VI-Revenues &amp; Expenses'!H11</f>
        <v>532</v>
      </c>
      <c r="I768" s="2574">
        <f>'Part VI-Revenues &amp; Expenses'!I11</f>
        <v>72</v>
      </c>
      <c r="J768" s="2575">
        <f>'Part VI-Revenues &amp; Expenses'!J11</f>
        <v>0</v>
      </c>
      <c r="K768" s="2576">
        <f t="shared" si="2"/>
        <v>460</v>
      </c>
      <c r="L768" s="2576">
        <f t="shared" si="3"/>
        <v>2300</v>
      </c>
      <c r="M768" s="2450" t="str">
        <f>'Part VI-Revenues &amp; Expenses'!M11</f>
        <v>No</v>
      </c>
      <c r="N768" s="2450" t="str">
        <f>'Part VI-Revenues &amp; Expenses'!N11</f>
        <v>3+ Story</v>
      </c>
      <c r="O768" s="2450" t="str">
        <f>'Part VI-Revenues &amp; Expenses'!O11</f>
        <v>New Construction</v>
      </c>
      <c r="P768" s="2556" t="str">
        <f>'Part VI-Revenues &amp; Expenses'!P11</f>
        <v>No</v>
      </c>
      <c r="Q768" s="2577">
        <f>'Part VI-Revenues &amp; Expenses'!Q11</f>
        <v>21280</v>
      </c>
      <c r="R768" s="2578">
        <f>'Part VI-Revenues &amp; Expenses'!R11</f>
        <v>0.49988254639417429</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5</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4750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5</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f t="shared" si="136"/>
        <v>5</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f t="shared" si="211"/>
        <v>5</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5</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50% AMI</v>
      </c>
      <c r="C769" s="2572">
        <f>'Part VI-Revenues &amp; Expenses'!C12</f>
        <v>3</v>
      </c>
      <c r="D769" s="2573">
        <f>'Part VI-Revenues &amp; Expenses'!D12</f>
        <v>2</v>
      </c>
      <c r="E769" s="2574">
        <f>'Part VI-Revenues &amp; Expenses'!E12</f>
        <v>5</v>
      </c>
      <c r="F769" s="2574">
        <f>'Part VI-Revenues &amp; Expenses'!F12</f>
        <v>1150</v>
      </c>
      <c r="G769" s="2574">
        <f>'Part VI-Revenues &amp; Expenses'!G12</f>
        <v>615</v>
      </c>
      <c r="H769" s="2574">
        <f>'Part VI-Revenues &amp; Expenses'!H12</f>
        <v>615</v>
      </c>
      <c r="I769" s="2574">
        <f>'Part VI-Revenues &amp; Expenses'!I12</f>
        <v>89</v>
      </c>
      <c r="J769" s="2575">
        <f>'Part VI-Revenues &amp; Expenses'!J12</f>
        <v>0</v>
      </c>
      <c r="K769" s="2576">
        <f t="shared" si="2"/>
        <v>526</v>
      </c>
      <c r="L769" s="2576">
        <f t="shared" si="3"/>
        <v>2630</v>
      </c>
      <c r="M769" s="2450" t="str">
        <f>'Part VI-Revenues &amp; Expenses'!M12</f>
        <v>No</v>
      </c>
      <c r="N769" s="2450" t="str">
        <f>'Part VI-Revenues &amp; Expenses'!N12</f>
        <v>3+ Story</v>
      </c>
      <c r="O769" s="2450" t="str">
        <f>'Part VI-Revenues &amp; Expenses'!O12</f>
        <v>New Construction</v>
      </c>
      <c r="P769" s="2556" t="str">
        <f>'Part VI-Revenues &amp; Expenses'!P12</f>
        <v>No</v>
      </c>
      <c r="Q769" s="2577">
        <f>'Part VI-Revenues &amp; Expenses'!Q12</f>
        <v>24600</v>
      </c>
      <c r="R769" s="2578">
        <f>'Part VI-Revenues &amp; Expenses'!R12</f>
        <v>0.50008131403480238</v>
      </c>
      <c r="S769" s="2577">
        <f>'Part VI-Revenues &amp; Expenses'!S12</f>
        <v>0</v>
      </c>
      <c r="T769" s="2578">
        <f>'Part VI-Revenues &amp; Expenses'!T12</f>
        <v>0</v>
      </c>
      <c r="U769" s="2500"/>
      <c r="V769" s="2500"/>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5</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5750</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5</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f t="shared" si="137"/>
        <v>5</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f t="shared" si="212"/>
        <v>5</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0</v>
      </c>
      <c r="JK769" s="2549">
        <f t="shared" si="252"/>
        <v>5</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60% AMI</v>
      </c>
      <c r="C770" s="2572">
        <f>'Part VI-Revenues &amp; Expenses'!C13</f>
        <v>1</v>
      </c>
      <c r="D770" s="2573">
        <f>'Part VI-Revenues &amp; Expenses'!D13</f>
        <v>1</v>
      </c>
      <c r="E770" s="2574">
        <f>'Part VI-Revenues &amp; Expenses'!E13</f>
        <v>4</v>
      </c>
      <c r="F770" s="2574">
        <f>'Part VI-Revenues &amp; Expenses'!F13</f>
        <v>750</v>
      </c>
      <c r="G770" s="2574">
        <f>'Part VI-Revenues &amp; Expenses'!G13</f>
        <v>533</v>
      </c>
      <c r="H770" s="2574">
        <f>'Part VI-Revenues &amp; Expenses'!H13</f>
        <v>533</v>
      </c>
      <c r="I770" s="2574">
        <f>'Part VI-Revenues &amp; Expenses'!I13</f>
        <v>56</v>
      </c>
      <c r="J770" s="2575">
        <f>'Part VI-Revenues &amp; Expenses'!J13</f>
        <v>0</v>
      </c>
      <c r="K770" s="2576">
        <f t="shared" si="2"/>
        <v>477</v>
      </c>
      <c r="L770" s="2576">
        <f t="shared" si="3"/>
        <v>1908</v>
      </c>
      <c r="M770" s="2450" t="str">
        <f>'Part VI-Revenues &amp; Expenses'!M13</f>
        <v>No</v>
      </c>
      <c r="N770" s="2450" t="str">
        <f>'Part VI-Revenues &amp; Expenses'!N13</f>
        <v>3+ Story</v>
      </c>
      <c r="O770" s="2450" t="str">
        <f>'Part VI-Revenues &amp; Expenses'!O13</f>
        <v>New Construction</v>
      </c>
      <c r="P770" s="2556" t="str">
        <f>'Part VI-Revenues &amp; Expenses'!P13</f>
        <v>No</v>
      </c>
      <c r="Q770" s="2577">
        <f>'Part VI-Revenues &amp; Expenses'!Q13</f>
        <v>21320</v>
      </c>
      <c r="R770" s="2578">
        <f>'Part VI-Revenues &amp; Expenses'!R13</f>
        <v>0.60098661028893585</v>
      </c>
      <c r="S770" s="2577">
        <f>'Part VI-Revenues &amp; Expenses'!S13</f>
        <v>0</v>
      </c>
      <c r="T770" s="2578">
        <f>'Part VI-Revenues &amp; Expenses'!T13</f>
        <v>0</v>
      </c>
      <c r="U770" s="2500"/>
      <c r="V770" s="2500"/>
      <c r="W770" s="683" t="str">
        <f t="shared" si="4"/>
        <v/>
      </c>
      <c r="X770" s="683">
        <f t="shared" si="5"/>
        <v>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3000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f t="shared" si="135"/>
        <v>4</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f t="shared" si="210"/>
        <v>4</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4</v>
      </c>
      <c r="JJ770" s="2549">
        <f t="shared" si="251"/>
        <v>0</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60% AMI</v>
      </c>
      <c r="C771" s="2572">
        <f>'Part VI-Revenues &amp; Expenses'!C14</f>
        <v>2</v>
      </c>
      <c r="D771" s="2573">
        <f>'Part VI-Revenues &amp; Expenses'!D14</f>
        <v>2</v>
      </c>
      <c r="E771" s="2574">
        <f>'Part VI-Revenues &amp; Expenses'!E14</f>
        <v>19</v>
      </c>
      <c r="F771" s="2574">
        <f>'Part VI-Revenues &amp; Expenses'!F14</f>
        <v>950</v>
      </c>
      <c r="G771" s="2574">
        <f>'Part VI-Revenues &amp; Expenses'!G14</f>
        <v>639</v>
      </c>
      <c r="H771" s="2574">
        <f>'Part VI-Revenues &amp; Expenses'!H14</f>
        <v>639</v>
      </c>
      <c r="I771" s="2574">
        <f>'Part VI-Revenues &amp; Expenses'!I14</f>
        <v>72</v>
      </c>
      <c r="J771" s="2575">
        <f>'Part VI-Revenues &amp; Expenses'!J14</f>
        <v>0</v>
      </c>
      <c r="K771" s="2576">
        <f t="shared" si="2"/>
        <v>567</v>
      </c>
      <c r="L771" s="2576">
        <f t="shared" si="3"/>
        <v>10773</v>
      </c>
      <c r="M771" s="2450" t="str">
        <f>'Part VI-Revenues &amp; Expenses'!M14</f>
        <v>No</v>
      </c>
      <c r="N771" s="2450" t="str">
        <f>'Part VI-Revenues &amp; Expenses'!N14</f>
        <v>3+ Story</v>
      </c>
      <c r="O771" s="2450" t="str">
        <f>'Part VI-Revenues &amp; Expenses'!O14</f>
        <v>New Construction</v>
      </c>
      <c r="P771" s="2556" t="str">
        <f>'Part VI-Revenues &amp; Expenses'!P14</f>
        <v>No</v>
      </c>
      <c r="Q771" s="2577">
        <f>'Part VI-Revenues &amp; Expenses'!Q14</f>
        <v>25560</v>
      </c>
      <c r="R771" s="2578">
        <f>'Part VI-Revenues &amp; Expenses'!R14</f>
        <v>0.60042283298097254</v>
      </c>
      <c r="S771" s="2577">
        <f>'Part VI-Revenues &amp; Expenses'!S14</f>
        <v>0</v>
      </c>
      <c r="T771" s="2578">
        <f>'Part VI-Revenues &amp; Expenses'!T14</f>
        <v>0</v>
      </c>
      <c r="U771" s="2500"/>
      <c r="V771" s="2500"/>
      <c r="W771" s="683" t="str">
        <f t="shared" si="4"/>
        <v/>
      </c>
      <c r="X771" s="683" t="str">
        <f t="shared" si="5"/>
        <v/>
      </c>
      <c r="Y771" s="683">
        <f t="shared" si="6"/>
        <v>19</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18050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19</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f t="shared" si="136"/>
        <v>19</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f t="shared" si="211"/>
        <v>19</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19</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60% AMI</v>
      </c>
      <c r="C772" s="2572">
        <f>'Part VI-Revenues &amp; Expenses'!C15</f>
        <v>3</v>
      </c>
      <c r="D772" s="2573">
        <f>'Part VI-Revenues &amp; Expenses'!D15</f>
        <v>2</v>
      </c>
      <c r="E772" s="2574">
        <f>'Part VI-Revenues &amp; Expenses'!E15</f>
        <v>19</v>
      </c>
      <c r="F772" s="2574">
        <f>'Part VI-Revenues &amp; Expenses'!F15</f>
        <v>1150</v>
      </c>
      <c r="G772" s="2574">
        <f>'Part VI-Revenues &amp; Expenses'!G15</f>
        <v>738</v>
      </c>
      <c r="H772" s="2574">
        <f>'Part VI-Revenues &amp; Expenses'!H15</f>
        <v>738</v>
      </c>
      <c r="I772" s="2574">
        <f>'Part VI-Revenues &amp; Expenses'!I15</f>
        <v>89</v>
      </c>
      <c r="J772" s="2575">
        <f>'Part VI-Revenues &amp; Expenses'!J15</f>
        <v>0</v>
      </c>
      <c r="K772" s="2576">
        <f t="shared" si="2"/>
        <v>649</v>
      </c>
      <c r="L772" s="2576">
        <f t="shared" si="3"/>
        <v>12331</v>
      </c>
      <c r="M772" s="2450" t="str">
        <f>'Part VI-Revenues &amp; Expenses'!M15</f>
        <v>No</v>
      </c>
      <c r="N772" s="2450" t="str">
        <f>'Part VI-Revenues &amp; Expenses'!N15</f>
        <v>3+ Story</v>
      </c>
      <c r="O772" s="2450" t="str">
        <f>'Part VI-Revenues &amp; Expenses'!O15</f>
        <v>New Construction</v>
      </c>
      <c r="P772" s="2556" t="str">
        <f>'Part VI-Revenues &amp; Expenses'!P15</f>
        <v>No</v>
      </c>
      <c r="Q772" s="2577">
        <f>'Part VI-Revenues &amp; Expenses'!Q15</f>
        <v>29520</v>
      </c>
      <c r="R772" s="2578">
        <f>'Part VI-Revenues &amp; Expenses'!R15</f>
        <v>0.6000975768417629</v>
      </c>
      <c r="S772" s="2577">
        <f>'Part VI-Revenues &amp; Expenses'!S15</f>
        <v>0</v>
      </c>
      <c r="T772" s="2578">
        <f>'Part VI-Revenues &amp; Expenses'!T15</f>
        <v>0</v>
      </c>
      <c r="U772" s="2500"/>
      <c r="V772" s="2500"/>
      <c r="W772" s="683" t="str">
        <f t="shared" si="4"/>
        <v/>
      </c>
      <c r="X772" s="683" t="str">
        <f t="shared" si="5"/>
        <v/>
      </c>
      <c r="Y772" s="683" t="str">
        <f t="shared" si="6"/>
        <v/>
      </c>
      <c r="Z772" s="683">
        <f t="shared" si="7"/>
        <v>19</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21850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19</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f t="shared" si="137"/>
        <v>19</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f t="shared" si="212"/>
        <v>19</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19</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54</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54900</v>
      </c>
      <c r="G805" s="479"/>
      <c r="H805" s="479"/>
      <c r="I805" s="479"/>
      <c r="J805" s="479"/>
      <c r="K805" s="2583" t="s">
        <v>1314</v>
      </c>
      <c r="L805" s="2581">
        <f>SUM(L767:L804)</f>
        <v>30718</v>
      </c>
      <c r="M805" s="2354"/>
      <c r="N805" s="2354"/>
      <c r="O805" s="2354"/>
      <c r="P805" s="2354"/>
      <c r="Q805" s="2354"/>
      <c r="R805" s="2354"/>
      <c r="S805" s="2354"/>
      <c r="T805" s="2354"/>
      <c r="U805" s="2561"/>
      <c r="V805" s="2584"/>
      <c r="W805" s="2584">
        <f t="shared" ref="W805:CH805" si="259">SUM(W767:W804)</f>
        <v>0</v>
      </c>
      <c r="X805" s="2584">
        <f t="shared" si="259"/>
        <v>4</v>
      </c>
      <c r="Y805" s="2584">
        <f t="shared" si="259"/>
        <v>19</v>
      </c>
      <c r="Z805" s="2584">
        <f t="shared" si="259"/>
        <v>19</v>
      </c>
      <c r="AA805" s="2584">
        <f t="shared" si="259"/>
        <v>0</v>
      </c>
      <c r="AB805" s="2584">
        <f t="shared" si="259"/>
        <v>0</v>
      </c>
      <c r="AC805" s="2584">
        <f t="shared" si="259"/>
        <v>2</v>
      </c>
      <c r="AD805" s="2584">
        <f t="shared" si="259"/>
        <v>5</v>
      </c>
      <c r="AE805" s="2584">
        <f t="shared" si="259"/>
        <v>5</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3000</v>
      </c>
      <c r="CB805" s="2584">
        <f t="shared" si="259"/>
        <v>18050</v>
      </c>
      <c r="CC805" s="2584">
        <f t="shared" si="259"/>
        <v>21850</v>
      </c>
      <c r="CD805" s="2584">
        <f t="shared" si="259"/>
        <v>0</v>
      </c>
      <c r="CE805" s="2584">
        <f t="shared" si="259"/>
        <v>0</v>
      </c>
      <c r="CF805" s="2584">
        <f t="shared" si="259"/>
        <v>1500</v>
      </c>
      <c r="CG805" s="2584">
        <f t="shared" si="259"/>
        <v>4750</v>
      </c>
      <c r="CH805" s="2584">
        <f t="shared" si="259"/>
        <v>5750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6</v>
      </c>
      <c r="DF805" s="2584">
        <f t="shared" si="260"/>
        <v>24</v>
      </c>
      <c r="DG805" s="2584">
        <f t="shared" si="260"/>
        <v>24</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6</v>
      </c>
      <c r="EY805" s="2584">
        <f t="shared" si="261"/>
        <v>24</v>
      </c>
      <c r="EZ805" s="2584">
        <f t="shared" si="261"/>
        <v>24</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6</v>
      </c>
      <c r="HV805" s="2584">
        <f t="shared" si="262"/>
        <v>24</v>
      </c>
      <c r="HW805" s="2584">
        <f t="shared" si="262"/>
        <v>24</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6</v>
      </c>
      <c r="JJ805" s="2584">
        <f t="shared" si="262"/>
        <v>24</v>
      </c>
      <c r="JK805" s="2584">
        <f t="shared" si="262"/>
        <v>24</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368616</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4763</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4</v>
      </c>
      <c r="L813" s="2590">
        <f>Y805</f>
        <v>19</v>
      </c>
      <c r="M813" s="2590">
        <f>Z805</f>
        <v>19</v>
      </c>
      <c r="N813" s="2590">
        <f>AA805</f>
        <v>0</v>
      </c>
      <c r="O813" s="2590">
        <f t="shared" ref="O813:O819" si="263">SUM(J813:N813)</f>
        <v>42</v>
      </c>
      <c r="P813" s="2517" t="s">
        <v>3695</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2</v>
      </c>
      <c r="L814" s="2590">
        <f>AD805</f>
        <v>5</v>
      </c>
      <c r="M814" s="2590">
        <f>AE805</f>
        <v>5</v>
      </c>
      <c r="N814" s="2590">
        <f>AF805</f>
        <v>0</v>
      </c>
      <c r="O814" s="2590">
        <f t="shared" si="263"/>
        <v>12</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6</v>
      </c>
      <c r="L815" s="2590">
        <f>SUM(L813:L814)</f>
        <v>24</v>
      </c>
      <c r="M815" s="2590">
        <f>SUM(M813:M814)</f>
        <v>24</v>
      </c>
      <c r="N815" s="2590">
        <f>SUM(N813:N814)</f>
        <v>0</v>
      </c>
      <c r="O815" s="2590">
        <f t="shared" si="263"/>
        <v>54</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6</v>
      </c>
      <c r="L817" s="2590">
        <f>SUM(L815:L816)</f>
        <v>24</v>
      </c>
      <c r="M817" s="2590">
        <f>SUM(M815:M816)</f>
        <v>24</v>
      </c>
      <c r="N817" s="2590">
        <f>SUM(N815:N816)</f>
        <v>0</v>
      </c>
      <c r="O817" s="2590">
        <f t="shared" si="263"/>
        <v>54</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3"/>
        <v>0</v>
      </c>
      <c r="P818" s="2356" t="s">
        <v>3696</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6</v>
      </c>
      <c r="L819" s="2590">
        <f>SUM(L817:L818)</f>
        <v>24</v>
      </c>
      <c r="M819" s="2590">
        <f>SUM(M817:M818)</f>
        <v>24</v>
      </c>
      <c r="N819" s="2590">
        <f>SUM(N817:N818)</f>
        <v>0</v>
      </c>
      <c r="O819" s="2590">
        <f t="shared" si="263"/>
        <v>54</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6</v>
      </c>
      <c r="L829" s="2590">
        <f>DF805</f>
        <v>24</v>
      </c>
      <c r="M829" s="2590">
        <f>DG805</f>
        <v>24</v>
      </c>
      <c r="N829" s="2590">
        <f>DH805</f>
        <v>0</v>
      </c>
      <c r="O829" s="2590">
        <f t="shared" ref="O829:O839" si="264">SUM(J829:N829)</f>
        <v>54</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6</v>
      </c>
      <c r="L831" s="2590">
        <f>SUM(L829:L830)+DP805</f>
        <v>24</v>
      </c>
      <c r="M831" s="2590">
        <f>SUM(M829:M830)+DQ805</f>
        <v>24</v>
      </c>
      <c r="N831" s="2590">
        <f>SUM(N829:N830)+DR805</f>
        <v>0</v>
      </c>
      <c r="O831" s="2590">
        <f t="shared" si="264"/>
        <v>54</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4545</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3379</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4764</v>
      </c>
      <c r="D843" s="2500"/>
      <c r="E843" s="2555" t="s">
        <v>40</v>
      </c>
      <c r="F843" s="2354"/>
      <c r="G843" s="2356"/>
      <c r="J843" s="2590">
        <f t="shared" ref="J843:O843" si="265">SUM(J844:J851)</f>
        <v>0</v>
      </c>
      <c r="K843" s="2590">
        <f t="shared" si="265"/>
        <v>6</v>
      </c>
      <c r="L843" s="2590">
        <f t="shared" si="265"/>
        <v>24</v>
      </c>
      <c r="M843" s="2590">
        <f t="shared" si="265"/>
        <v>24</v>
      </c>
      <c r="N843" s="2590">
        <f t="shared" si="265"/>
        <v>0</v>
      </c>
      <c r="O843" s="2590">
        <f t="shared" si="265"/>
        <v>54</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3379</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3379</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3379</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6</v>
      </c>
      <c r="L850" s="2590">
        <f>HV805</f>
        <v>24</v>
      </c>
      <c r="M850" s="2590">
        <f>HW805</f>
        <v>24</v>
      </c>
      <c r="N850" s="2590">
        <f>HX805</f>
        <v>0</v>
      </c>
      <c r="O850" s="2590">
        <f t="shared" si="266"/>
        <v>54</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3379</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3379</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3379</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3379</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3379</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4765</v>
      </c>
      <c r="D861" s="2500"/>
      <c r="E861" s="2555" t="s">
        <v>3374</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3379</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3375</v>
      </c>
      <c r="F863" s="2356"/>
      <c r="H863" s="2356"/>
      <c r="J863" s="2590">
        <f>J844+J854</f>
        <v>0</v>
      </c>
      <c r="K863" s="2590">
        <f t="shared" ref="K863:N864" si="269">K844+K854</f>
        <v>0</v>
      </c>
      <c r="L863" s="2590">
        <f t="shared" si="269"/>
        <v>0</v>
      </c>
      <c r="M863" s="2590">
        <f t="shared" si="269"/>
        <v>0</v>
      </c>
      <c r="N863" s="2590">
        <f t="shared" si="269"/>
        <v>0</v>
      </c>
      <c r="O863" s="2590">
        <f t="shared" si="268"/>
        <v>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3379</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3376</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3379</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3377</v>
      </c>
      <c r="F867" s="2356"/>
      <c r="H867" s="2597"/>
      <c r="J867" s="2590">
        <f>J846+J850</f>
        <v>0</v>
      </c>
      <c r="K867" s="2590">
        <f t="shared" ref="K867:N868" si="271">K846+K850</f>
        <v>6</v>
      </c>
      <c r="L867" s="2590">
        <f t="shared" si="271"/>
        <v>24</v>
      </c>
      <c r="M867" s="2590">
        <f t="shared" si="271"/>
        <v>24</v>
      </c>
      <c r="N867" s="2590">
        <f t="shared" si="271"/>
        <v>0</v>
      </c>
      <c r="O867" s="2590">
        <f t="shared" si="268"/>
        <v>54</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3379</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3000</v>
      </c>
      <c r="L870" s="2603">
        <f>CB805</f>
        <v>18050</v>
      </c>
      <c r="M870" s="2603">
        <f>CC805</f>
        <v>21850</v>
      </c>
      <c r="N870" s="2603">
        <f>CD805</f>
        <v>0</v>
      </c>
      <c r="O870" s="2603">
        <f t="shared" ref="O870:O876" si="272">SUM(J870:N870)</f>
        <v>42900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1500</v>
      </c>
      <c r="L871" s="2603">
        <f>CG805</f>
        <v>4750</v>
      </c>
      <c r="M871" s="2603">
        <f>CH805</f>
        <v>5750</v>
      </c>
      <c r="N871" s="2603">
        <f>CI805</f>
        <v>0</v>
      </c>
      <c r="O871" s="2603">
        <f t="shared" si="272"/>
        <v>12000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4500</v>
      </c>
      <c r="L872" s="2603">
        <f>SUM(L870:L871)</f>
        <v>22800</v>
      </c>
      <c r="M872" s="2603">
        <f>SUM(M870:M871)</f>
        <v>27600</v>
      </c>
      <c r="N872" s="2603">
        <f>SUM(N870:N871)</f>
        <v>0</v>
      </c>
      <c r="O872" s="2603">
        <f t="shared" si="272"/>
        <v>54900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4500</v>
      </c>
      <c r="L874" s="2603">
        <f>SUM(L872:L873)</f>
        <v>22800</v>
      </c>
      <c r="M874" s="2603">
        <f>SUM(M872:M873)</f>
        <v>27600</v>
      </c>
      <c r="N874" s="2603">
        <f>SUM(N872:N873)</f>
        <v>0</v>
      </c>
      <c r="O874" s="2603">
        <f t="shared" si="272"/>
        <v>54900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4500</v>
      </c>
      <c r="L876" s="2603">
        <f>SUM(L874:L875)</f>
        <v>22800</v>
      </c>
      <c r="M876" s="2603">
        <f>SUM(M874:M875)</f>
        <v>27600</v>
      </c>
      <c r="N876" s="2603">
        <f>SUM(N874:N875)</f>
        <v>0</v>
      </c>
      <c r="O876" s="2603">
        <f t="shared" si="272"/>
        <v>54900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4.1" customHeight="1">
      <c r="A877" s="2546" t="s">
        <v>750</v>
      </c>
      <c r="B877" s="2546" t="s">
        <v>4766</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7372.32</v>
      </c>
      <c r="I879" s="2605">
        <f>'Part VI-Revenues &amp; Expenses'!I122</f>
        <v>0</v>
      </c>
      <c r="J879" s="1330"/>
      <c r="K879" s="2606" t="s">
        <v>4767</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4768</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4769</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4768</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4769</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4768</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4769</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4768</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4769</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3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27000</v>
      </c>
      <c r="G921" s="2603">
        <f>'Part VI-Revenues &amp; Expenses'!G164</f>
        <v>0</v>
      </c>
      <c r="I921" s="2354" t="s">
        <v>1390</v>
      </c>
      <c r="K921" s="2603">
        <f>'Part VI-Revenues &amp; Expenses'!K164</f>
        <v>0</v>
      </c>
      <c r="L921" s="2603">
        <f>'Part VI-Revenues &amp; Expenses'!L164</f>
        <v>0</v>
      </c>
      <c r="N921" s="2354" t="s">
        <v>938</v>
      </c>
      <c r="P921" s="2614">
        <f>'Part VI-Revenues &amp; Expenses'!P164</f>
        <v>29226</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19000</v>
      </c>
      <c r="G922" s="2603">
        <f>'Part VI-Revenues &amp; Expenses'!G165</f>
        <v>0</v>
      </c>
      <c r="I922" s="2354" t="s">
        <v>1391</v>
      </c>
      <c r="K922" s="2603">
        <f>'Part VI-Revenues &amp; Expenses'!K165</f>
        <v>600</v>
      </c>
      <c r="L922" s="2603">
        <f>'Part VI-Revenues &amp; Expenses'!L165</f>
        <v>0</v>
      </c>
      <c r="N922" s="2354" t="s">
        <v>148</v>
      </c>
      <c r="P922" s="2614">
        <f>'Part VI-Revenues &amp; Expenses'!P165</f>
        <v>18349.05</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6001.9499999999971</v>
      </c>
      <c r="G923" s="2603">
        <f>'Part VI-Revenues &amp; Expenses'!G166</f>
        <v>0</v>
      </c>
      <c r="J923" s="2620" t="s">
        <v>193</v>
      </c>
      <c r="K923" s="2603">
        <f>SUM(K921:L922)</f>
        <v>600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3">
        <f>'Part VI-Revenues &amp; Expenses'!F167</f>
        <v>0</v>
      </c>
      <c r="G924" s="2603">
        <f>'Part VI-Revenues &amp; Expenses'!G167</f>
        <v>0</v>
      </c>
      <c r="N924" s="2620" t="s">
        <v>193</v>
      </c>
      <c r="P924" s="2614">
        <f>SUM(P921:P923)</f>
        <v>47575.05</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52001.95</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35" customHeight="1">
      <c r="B927" s="2543" t="s">
        <v>1303</v>
      </c>
      <c r="D927" s="2622"/>
      <c r="I927" s="2543" t="s">
        <v>1304</v>
      </c>
      <c r="N927" s="2543" t="s">
        <v>1392</v>
      </c>
      <c r="P927" s="2623">
        <f>IF(OR('Part VII-Pro Forma'!$B$20 = "Choose Mgt Fee",'Part VII-Pro Forma'!$B$20 = "Choose One!"), 0,- 'Part VII-Pro Forma'!$B$20)</f>
        <v>17483</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5500</v>
      </c>
      <c r="G928" s="2603">
        <f>'Part VI-Revenues &amp; Expenses'!G171</f>
        <v>0</v>
      </c>
      <c r="I928" s="2354" t="s">
        <v>1614</v>
      </c>
      <c r="K928" s="2614">
        <f>'Part VI-Revenues &amp; Expenses'!K171</f>
        <v>4000</v>
      </c>
      <c r="L928" s="2614">
        <f>'Part VI-Revenues &amp; Expenses'!L171</f>
        <v>0</v>
      </c>
      <c r="N928" s="2624">
        <f>+P927/(O819*0.93)</f>
        <v>348.12823576264435</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3750</v>
      </c>
      <c r="G929" s="2603">
        <f>'Part VI-Revenues &amp; Expenses'!G172</f>
        <v>0</v>
      </c>
      <c r="I929" s="2354" t="s">
        <v>2065</v>
      </c>
      <c r="K929" s="2614">
        <f>'Part VI-Revenues &amp; Expenses'!K172</f>
        <v>7500</v>
      </c>
      <c r="L929" s="2614">
        <f>'Part VI-Revenues &amp; Expenses'!L172</f>
        <v>0</v>
      </c>
      <c r="N929" s="2624">
        <f>+P927/(O819*0.93)/12</f>
        <v>29.010686313553695</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2750</v>
      </c>
      <c r="G930" s="2603">
        <f>'Part VI-Revenues &amp; Expenses'!G173</f>
        <v>0</v>
      </c>
      <c r="I930" s="2354" t="s">
        <v>1615</v>
      </c>
      <c r="K930" s="2614">
        <f>'Part VI-Revenues &amp; Expenses'!K173</f>
        <v>4000</v>
      </c>
      <c r="L930" s="2614">
        <f>'Part VI-Revenues &amp; Expenses'!L173</f>
        <v>0</v>
      </c>
      <c r="N930" s="478" t="s">
        <v>3757</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Healthy Housing</v>
      </c>
      <c r="J931" s="2621">
        <f>'Part VI-Revenues &amp; Expenses'!J174</f>
        <v>0</v>
      </c>
      <c r="K931" s="2614">
        <f>'Part VI-Revenues &amp; Expenses'!K174</f>
        <v>8100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8500</v>
      </c>
      <c r="G932" s="2603">
        <f>'Part VI-Revenues &amp; Expenses'!G175</f>
        <v>0</v>
      </c>
      <c r="I932" s="2543"/>
      <c r="J932" s="2620" t="s">
        <v>193</v>
      </c>
      <c r="K932" s="2614">
        <f>SUM(K928:K931)</f>
        <v>23600</v>
      </c>
      <c r="L932" s="2614"/>
      <c r="M932" s="2627" t="str">
        <f>IF(P934="","",IF(P932&lt;P934, "WARNING! OE below required minimum.",""))</f>
        <v/>
      </c>
      <c r="N932" s="2543" t="s">
        <v>2202</v>
      </c>
      <c r="P932" s="2614">
        <f>F925+F934+F945+K923+K932+K942+P924+P927</f>
        <v>245160</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Cable</v>
      </c>
      <c r="C933" s="478">
        <f>'Part VI-Revenues &amp; Expenses'!C176</f>
        <v>0</v>
      </c>
      <c r="D933" s="478">
        <f>'Part VI-Revenues &amp; Expenses'!D176</f>
        <v>0</v>
      </c>
      <c r="E933" s="478">
        <f>'Part VI-Revenues &amp; Expenses'!E176</f>
        <v>0</v>
      </c>
      <c r="F933" s="2603">
        <f>'Part VI-Revenues &amp; Expenses'!F176</f>
        <v>1500</v>
      </c>
      <c r="G933" s="2603">
        <f>'Part VI-Revenues &amp; Expenses'!G176</f>
        <v>0</v>
      </c>
      <c r="J933" s="2590"/>
      <c r="M933" s="2627"/>
      <c r="N933" s="2625" t="s">
        <v>2776</v>
      </c>
      <c r="O933" s="2624">
        <f>+P932/O819</f>
        <v>4540</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22000</v>
      </c>
      <c r="G934" s="2603"/>
      <c r="J934" s="2590"/>
      <c r="M934" s="2627"/>
      <c r="O934" s="2625" t="s">
        <v>3758</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3505</v>
      </c>
      <c r="O936" s="2543"/>
      <c r="P936" s="2628">
        <f>'Part VI-Revenues &amp; Expenses'!P179</f>
        <v>13500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6500</v>
      </c>
      <c r="G937" s="2603">
        <f>'Part VI-Revenues &amp; Expenses'!G180</f>
        <v>0</v>
      </c>
      <c r="I937" s="2354" t="s">
        <v>1380</v>
      </c>
      <c r="J937" s="2416">
        <f>K937/12/O819</f>
        <v>7.4074074074074074</v>
      </c>
      <c r="K937" s="2614">
        <f>'Part VI-Revenues &amp; Expenses'!K180</f>
        <v>4800</v>
      </c>
      <c r="L937" s="2614">
        <f>'Part VI-Revenues &amp; Expenses'!L180</f>
        <v>0</v>
      </c>
      <c r="M937" s="2627" t="str">
        <f>IF(P936&lt;P945, "WARNING! RR proposed is below the DCA required minimum.","")</f>
        <v/>
      </c>
      <c r="N937" s="478" t="s">
        <v>3766</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10000</v>
      </c>
      <c r="G938" s="2603">
        <f>'Part VI-Revenues &amp; Expenses'!G181</f>
        <v>0</v>
      </c>
      <c r="I938" s="2354" t="s">
        <v>1381</v>
      </c>
      <c r="J938" s="2416">
        <f>K938/12/O819</f>
        <v>0</v>
      </c>
      <c r="K938" s="2614">
        <f>'Part VI-Revenues &amp; Expenses'!K181</f>
        <v>0</v>
      </c>
      <c r="L938" s="2614">
        <f>'Part VI-Revenues &amp; Expenses'!L181</f>
        <v>0</v>
      </c>
      <c r="M938" s="2627"/>
      <c r="N938" s="2630" t="s">
        <v>3765</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10000</v>
      </c>
      <c r="G939" s="2603">
        <f>'Part VI-Revenues &amp; Expenses'!G182</f>
        <v>0</v>
      </c>
      <c r="I939" s="2354" t="s">
        <v>2368</v>
      </c>
      <c r="J939" s="2416">
        <f>K939/12/O819</f>
        <v>33.333333333333336</v>
      </c>
      <c r="K939" s="2614">
        <f>'Part VI-Revenues &amp; Expenses'!K182</f>
        <v>21600</v>
      </c>
      <c r="L939" s="2614">
        <f>'Part VI-Revenues &amp; Expenses'!L182</f>
        <v>0</v>
      </c>
      <c r="M939" s="2627"/>
      <c r="N939" s="2631" t="s">
        <v>2732</v>
      </c>
      <c r="O939" s="2632" t="s">
        <v>3878</v>
      </c>
      <c r="P939" s="2632" t="s">
        <v>3460</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6500</v>
      </c>
      <c r="G940" s="2603">
        <f>'Part VI-Revenues &amp; Expenses'!G183</f>
        <v>0</v>
      </c>
      <c r="I940" s="2354" t="s">
        <v>1383</v>
      </c>
      <c r="K940" s="2614">
        <f>'Part VI-Revenues &amp; Expenses'!K183</f>
        <v>10500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6000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3452</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36900</v>
      </c>
      <c r="L942" s="2614"/>
      <c r="M942" s="2627"/>
      <c r="N942" s="2356" t="s">
        <v>3451</v>
      </c>
      <c r="O942" s="2634" t="str">
        <f>CONCATENATE(SUM(JH805:JL805)," units x $",'DCA Underwriting Assumptions'!$Q$66," =")</f>
        <v>54 units x $250 =</v>
      </c>
      <c r="P942" s="2634">
        <f>SUM(JH805:JL805)*'DCA Underwriting Assumptions'!$Q$66</f>
        <v>13500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6000</v>
      </c>
      <c r="G943" s="2603">
        <f>'Part VI-Revenues &amp; Expenses'!G186</f>
        <v>0</v>
      </c>
      <c r="J943" s="2590"/>
      <c r="M943" s="2627"/>
      <c r="N943" s="2473" t="s">
        <v>3455</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3450</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45000</v>
      </c>
      <c r="G945" s="2603"/>
      <c r="J945" s="2590"/>
      <c r="N945" s="2583" t="s">
        <v>2735</v>
      </c>
      <c r="O945" s="2577">
        <f>SUM(JC805:JG805)+SUM(JH805:JL805)+SUM(JM805:JQ805)+O841</f>
        <v>54</v>
      </c>
      <c r="P945" s="2635">
        <f>SUM(P941:P944)</f>
        <v>13500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258660</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4156</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 xml:space="preserve">Insurance calculation based on similar sized deals in owners portfolio in similar geographic areas.  See Tab 1, Item 7 in this application.  Real Estate tax calculation  based on tax credit developments with the same tenancy in Cherokee County.  See Tab 1, Item 7.
See Tab 1, Item 1 for calculation of Healthy Housing expense.
Ancillary income is estimated to be 2% annual based rent.  This estimate is consistent with the ancillary income from other deals in the developer's portfolio.  The ancillary income is primarily made up of laundry fees, application fees, and forfeited deposits.
</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4155</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2018-041 Pointe North Village III,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4770</v>
      </c>
    </row>
    <row r="961" spans="1:19" ht="12.75" customHeight="1">
      <c r="A961" s="683" t="s">
        <v>2204</v>
      </c>
      <c r="B961" s="2636">
        <v>0.02</v>
      </c>
      <c r="D961" s="2500" t="s">
        <v>4771</v>
      </c>
      <c r="E961" s="2500"/>
      <c r="F961" s="2500"/>
      <c r="G961" s="2637">
        <f>'Part VII-Pro Forma'!G5</f>
        <v>2000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f>'Part VII-Pro Forma'!G8</f>
        <v>0</v>
      </c>
      <c r="H964" s="2642" t="s">
        <v>1456</v>
      </c>
      <c r="K964" s="2643">
        <f>'Part VII-Pro Forma'!K8</f>
        <v>0</v>
      </c>
    </row>
    <row r="965" spans="1:19">
      <c r="A965" s="683" t="s">
        <v>1430</v>
      </c>
      <c r="B965" s="2636">
        <v>0.02</v>
      </c>
      <c r="D965" s="2354" t="s">
        <v>1731</v>
      </c>
      <c r="G965" s="2641" t="str">
        <f>'Part VII-Pro Forma'!G9</f>
        <v>Yes</v>
      </c>
      <c r="H965" s="2642" t="s">
        <v>2372</v>
      </c>
      <c r="K965" s="2644">
        <f>'Part VII-Pro Forma'!K9</f>
        <v>0.05</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368616</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4239</v>
      </c>
    </row>
    <row r="971" spans="1:19">
      <c r="A971" s="683" t="s">
        <v>1026</v>
      </c>
      <c r="B971" s="2645">
        <f>MIN(B970*B965,'Part VI-Revenues &amp; Expenses'!$H$122)</f>
        <v>7372.32</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3914</v>
      </c>
      <c r="R972" s="683" t="s">
        <v>4238</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-227677</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944</v>
      </c>
      <c r="S975" s="683">
        <v>27951.366530579719</v>
      </c>
    </row>
    <row r="976" spans="1:19">
      <c r="A976" s="683" t="s">
        <v>1125</v>
      </c>
      <c r="B976" s="2645">
        <f>IF(AND('Part VII-Pro Forma'!$G$8="Yes",'Part VII-Pro Forma'!$G$9="Yes"),"Choose One!",IF('Part VII-Pro Forma'!$G$8="Yes",ROUND((-$K$8*(1+'Part VII-Pro Forma'!$B$6)^('Part VII-Pro Forma'!B969-1)),),IF('Part VII-Pro Forma'!$G$9="Yes",ROUND((-(SUM(B970:B973)*'Part VII-Pro Forma'!$K$9)),),"Choose mgt fee")))</f>
        <v>-18799</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944</v>
      </c>
      <c r="S976" s="683">
        <v>55310.805813159444</v>
      </c>
    </row>
    <row r="977" spans="1:19">
      <c r="A977" s="683" t="s">
        <v>1214</v>
      </c>
      <c r="B977" s="2645">
        <f>-('Part VI-Revenues &amp; Expenses'!$P$179)</f>
        <v>-13500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944</v>
      </c>
      <c r="S977" s="683">
        <v>81994.126202779124</v>
      </c>
    </row>
    <row r="978" spans="1:19">
      <c r="A978" s="683" t="s">
        <v>1215</v>
      </c>
      <c r="B978" s="2645">
        <f t="shared" ref="B978:K978" si="285">SUM(B970:B977)</f>
        <v>116012.32</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944</v>
      </c>
      <c r="S978" s="683">
        <v>107913.42162857958</v>
      </c>
    </row>
    <row r="979" spans="1:19">
      <c r="A979" s="683" t="s">
        <v>1603</v>
      </c>
      <c r="B979" s="2645">
        <f>'Part VII-Pro Forma'!B23</f>
        <v>-61057.771069420298</v>
      </c>
      <c r="C979" s="2645">
        <f>'Part VII-Pro Forma'!C23</f>
        <v>-61057.771069420298</v>
      </c>
      <c r="D979" s="2645">
        <f>'Part VII-Pro Forma'!D23</f>
        <v>-61057.771069420298</v>
      </c>
      <c r="E979" s="2645">
        <f>'Part VII-Pro Forma'!E23</f>
        <v>-61057.771069420298</v>
      </c>
      <c r="F979" s="2645">
        <f>'Part VII-Pro Forma'!F23</f>
        <v>-61057.771069420298</v>
      </c>
      <c r="G979" s="2645">
        <f>'Part VII-Pro Forma'!G23</f>
        <v>-61057.771069420298</v>
      </c>
      <c r="H979" s="2645">
        <f>'Part VII-Pro Forma'!H23</f>
        <v>-61057.771069420298</v>
      </c>
      <c r="I979" s="2645">
        <f>'Part VII-Pro Forma'!I23</f>
        <v>-61057.771069420298</v>
      </c>
      <c r="J979" s="2645">
        <f>'Part VII-Pro Forma'!J23</f>
        <v>-61057.771069420298</v>
      </c>
      <c r="K979" s="2645">
        <f>'Part VII-Pro Forma'!K23</f>
        <v>-61057.771069420298</v>
      </c>
      <c r="Q979" s="683">
        <v>5</v>
      </c>
      <c r="R979" s="683">
        <v>944</v>
      </c>
      <c r="S979" s="683">
        <v>132976.9321874945</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944</v>
      </c>
      <c r="S980" s="683">
        <v>157088.89999628245</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944</v>
      </c>
      <c r="S981" s="683">
        <v>180148.42014846005</v>
      </c>
    </row>
    <row r="982" spans="1:19">
      <c r="A982" s="683" t="s">
        <v>3881</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944</v>
      </c>
      <c r="S982" s="683">
        <v>202050.2866178698</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944</v>
      </c>
      <c r="S983" s="683">
        <v>222684.83294564043</v>
      </c>
    </row>
    <row r="984" spans="1:19">
      <c r="A984" s="683" t="s">
        <v>1174</v>
      </c>
      <c r="B984" s="2645">
        <f>'Part VII-Pro Forma'!B28</f>
        <v>-2000</v>
      </c>
      <c r="C984" s="2645">
        <f>'Part VII-Pro Forma'!C28</f>
        <v>-2000</v>
      </c>
      <c r="D984" s="2645">
        <f>'Part VII-Pro Forma'!D28</f>
        <v>-2000</v>
      </c>
      <c r="E984" s="2645">
        <f>'Part VII-Pro Forma'!E28</f>
        <v>-2000</v>
      </c>
      <c r="F984" s="2645">
        <f>'Part VII-Pro Forma'!F28</f>
        <v>-2000</v>
      </c>
      <c r="G984" s="2645">
        <f>'Part VII-Pro Forma'!G28</f>
        <v>-2000</v>
      </c>
      <c r="H984" s="2645">
        <f>'Part VII-Pro Forma'!H28</f>
        <v>-2000</v>
      </c>
      <c r="I984" s="2645">
        <f>'Part VII-Pro Forma'!I28</f>
        <v>-2000</v>
      </c>
      <c r="J984" s="2645">
        <f>'Part VII-Pro Forma'!J28</f>
        <v>-2000</v>
      </c>
      <c r="K984" s="2645">
        <f>'Part VII-Pro Forma'!K28</f>
        <v>-2000</v>
      </c>
      <c r="Q984" s="683">
        <v>10</v>
      </c>
      <c r="R984" s="683">
        <v>944</v>
      </c>
      <c r="S984" s="683">
        <v>241938.76754216669</v>
      </c>
    </row>
    <row r="985" spans="1:19">
      <c r="A985" s="683" t="s">
        <v>4129</v>
      </c>
      <c r="B985" s="2645">
        <f>'Part VII-Pro Forma'!B29</f>
        <v>-944</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944</v>
      </c>
      <c r="S985" s="683">
        <v>259692.00343044801</v>
      </c>
    </row>
    <row r="986" spans="1:19">
      <c r="A986" s="683" t="s">
        <v>1175</v>
      </c>
      <c r="B986" s="2645">
        <f>SUM(B978:B985)</f>
        <v>52010.548930579709</v>
      </c>
      <c r="C986" s="2645">
        <f t="shared" ref="C986:K986" si="286">SUM(C978:C985)</f>
        <v>-63057.771069420298</v>
      </c>
      <c r="D986" s="2645">
        <f t="shared" si="286"/>
        <v>-63057.771069420298</v>
      </c>
      <c r="E986" s="2645">
        <f t="shared" si="286"/>
        <v>-63057.771069420298</v>
      </c>
      <c r="F986" s="2645">
        <f t="shared" si="286"/>
        <v>-63057.771069420298</v>
      </c>
      <c r="G986" s="2645">
        <f t="shared" si="286"/>
        <v>-63057.771069420298</v>
      </c>
      <c r="H986" s="2645">
        <f t="shared" si="286"/>
        <v>-63057.771069420298</v>
      </c>
      <c r="I986" s="2645">
        <f t="shared" si="286"/>
        <v>-63057.771069420298</v>
      </c>
      <c r="J986" s="2645">
        <f t="shared" si="286"/>
        <v>-63057.771069420298</v>
      </c>
      <c r="K986" s="2645">
        <f t="shared" si="286"/>
        <v>-63057.771069420298</v>
      </c>
      <c r="Q986" s="683">
        <v>12</v>
      </c>
      <c r="R986" s="683">
        <v>944</v>
      </c>
      <c r="S986" s="683">
        <v>275820.48225167248</v>
      </c>
    </row>
    <row r="987" spans="1:19">
      <c r="A987" s="683" t="str">
        <f>IF('Part III-Sources of Funds'!$E$37 = "Neither", "", "DCR Mortgage A")</f>
        <v>DCR Mortgage A</v>
      </c>
      <c r="B987" s="2646">
        <f t="shared" ref="B987:K987" si="287">IF(B979=0,"",-B978/B979)</f>
        <v>1.90004184509288</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944</v>
      </c>
      <c r="S987" s="683">
        <v>290193.99234831292</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944</v>
      </c>
      <c r="S988" s="683">
        <v>302676.98073420557</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944</v>
      </c>
      <c r="S989" s="683">
        <v>313129.35875511344</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944</v>
      </c>
      <c r="S990" s="683">
        <v>321404.30123711383</v>
      </c>
    </row>
    <row r="991" spans="1:19">
      <c r="A991" s="683" t="s">
        <v>3740</v>
      </c>
      <c r="B991" s="2646">
        <f t="shared" ref="B991:K991" si="291">IF(AND(B979=0,B980=0,B981=0,B982=0),"",-B978/(B979+B980+B981+B982))</f>
        <v>1.90004184509288</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944</v>
      </c>
      <c r="S991" s="683">
        <v>327348.0389138076</v>
      </c>
    </row>
    <row r="992" spans="1:19">
      <c r="A992" s="683" t="s">
        <v>778</v>
      </c>
      <c r="B992" s="2647">
        <f t="shared" ref="B992:K992" si="292">IF(OR(B976="Choose mgt fee",B976="Choose One!"),"",(B970+B971+B972+B973+B974) / -(B975+B976+B977))</f>
        <v>1.4462424223774502</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944</v>
      </c>
      <c r="S992" s="683">
        <v>330801.64391679841</v>
      </c>
    </row>
    <row r="993" spans="1:19">
      <c r="A993" s="683" t="s">
        <v>2634</v>
      </c>
      <c r="B993" s="2645">
        <f>'Part VII-Pro Forma'!B37</f>
        <v>796002.30997487216</v>
      </c>
      <c r="C993" s="2645">
        <f>'Part VII-Pro Forma'!C37</f>
        <v>786402.0279850167</v>
      </c>
      <c r="D993" s="2645">
        <f>'Part VII-Pro Forma'!D37</f>
        <v>776158.79733055399</v>
      </c>
      <c r="E993" s="2645">
        <f>'Part VII-Pro Forma'!E37</f>
        <v>765229.55854867271</v>
      </c>
      <c r="F993" s="2645">
        <f>'Part VII-Pro Forma'!F37</f>
        <v>753568.36840459076</v>
      </c>
      <c r="G993" s="2645">
        <f>'Part VII-Pro Forma'!G37</f>
        <v>741126.20676000591</v>
      </c>
      <c r="H993" s="2645">
        <f>'Part VII-Pro Forma'!H37</f>
        <v>727850.77050716814</v>
      </c>
      <c r="I993" s="2645">
        <f>'Part VII-Pro Forma'!I37</f>
        <v>713686.25370233611</v>
      </c>
      <c r="J993" s="2645">
        <f>'Part VII-Pro Forma'!J37</f>
        <v>698573.11297436338</v>
      </c>
      <c r="K993" s="2645">
        <f>'Part VII-Pro Forma'!K37</f>
        <v>682447.8172222632</v>
      </c>
      <c r="Q993" s="683">
        <v>19</v>
      </c>
      <c r="R993" s="683">
        <v>944</v>
      </c>
      <c r="S993" s="683">
        <v>331598.8081071534</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944</v>
      </c>
      <c r="S994" s="683">
        <v>331567.61401859712</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4130</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-61057.771069420298</v>
      </c>
      <c r="C1009" s="2645">
        <f>'Part VII-Pro Forma'!C53</f>
        <v>-61057.771069420298</v>
      </c>
      <c r="D1009" s="2645">
        <f>'Part VII-Pro Forma'!D53</f>
        <v>-61057.771069420298</v>
      </c>
      <c r="E1009" s="2645">
        <f>'Part VII-Pro Forma'!E53</f>
        <v>-61057.771069420298</v>
      </c>
      <c r="F1009" s="2645">
        <f>'Part VII-Pro Forma'!F53</f>
        <v>-61057.771069420298</v>
      </c>
      <c r="G1009" s="2645">
        <f>'Part VII-Pro Forma'!G53</f>
        <v>-61057.771069420298</v>
      </c>
      <c r="H1009" s="2645">
        <f>'Part VII-Pro Forma'!H53</f>
        <v>-61057.771069420298</v>
      </c>
      <c r="I1009" s="2645">
        <f>'Part VII-Pro Forma'!I53</f>
        <v>-61057.771069420298</v>
      </c>
      <c r="J1009" s="2645">
        <f>'Part VII-Pro Forma'!J53</f>
        <v>-61057.771069420298</v>
      </c>
      <c r="K1009" s="2645">
        <f>'Part VII-Pro Forma'!K53</f>
        <v>-61057.771069420298</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-2000</v>
      </c>
      <c r="C1014" s="2645">
        <f>'Part VII-Pro Forma'!C58</f>
        <v>-2000</v>
      </c>
      <c r="D1014" s="2645">
        <f>'Part VII-Pro Forma'!D58</f>
        <v>-2000</v>
      </c>
      <c r="E1014" s="2645">
        <f>'Part VII-Pro Forma'!E58</f>
        <v>-2000</v>
      </c>
      <c r="F1014" s="2645">
        <f>'Part VII-Pro Forma'!F58</f>
        <v>-2000</v>
      </c>
      <c r="G1014" s="2645">
        <f>'Part VII-Pro Forma'!G58</f>
        <v>-2000</v>
      </c>
      <c r="H1014" s="2645">
        <f>'Part VII-Pro Forma'!H58</f>
        <v>-2000</v>
      </c>
      <c r="I1014" s="2645">
        <f>'Part VII-Pro Forma'!I58</f>
        <v>-2000</v>
      </c>
      <c r="J1014" s="2645">
        <f>'Part VII-Pro Forma'!J58</f>
        <v>-2000</v>
      </c>
      <c r="K1014" s="2645">
        <f>'Part VII-Pro Forma'!K58</f>
        <v>0</v>
      </c>
    </row>
    <row r="1015" spans="1:11">
      <c r="A1015" s="683" t="s">
        <v>4129</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-63057.771069420298</v>
      </c>
      <c r="C1016" s="2645">
        <f t="shared" ref="C1016:K1016" si="300">SUM(C1008:C1015)</f>
        <v>-63057.771069420298</v>
      </c>
      <c r="D1016" s="2645">
        <f t="shared" si="300"/>
        <v>-63057.771069420298</v>
      </c>
      <c r="E1016" s="2645">
        <f t="shared" si="300"/>
        <v>-63057.771069420298</v>
      </c>
      <c r="F1016" s="2645">
        <f t="shared" si="300"/>
        <v>-63057.771069420298</v>
      </c>
      <c r="G1016" s="2645">
        <f t="shared" si="300"/>
        <v>-63057.771069420298</v>
      </c>
      <c r="H1016" s="2645">
        <f t="shared" si="300"/>
        <v>-63057.771069420298</v>
      </c>
      <c r="I1016" s="2645">
        <f t="shared" si="300"/>
        <v>-63057.771069420298</v>
      </c>
      <c r="J1016" s="2645">
        <f t="shared" si="300"/>
        <v>-63057.771069420298</v>
      </c>
      <c r="K1016" s="2645">
        <f t="shared" si="300"/>
        <v>-61057.771069420298</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3740</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f>'Part VII-Pro Forma'!B67</f>
        <v>665242.58054955618</v>
      </c>
      <c r="C1023" s="2645">
        <f>'Part VII-Pro Forma'!C67</f>
        <v>646885.07731273584</v>
      </c>
      <c r="D1023" s="2645">
        <f>'Part VII-Pro Forma'!D67</f>
        <v>627298.13808600302</v>
      </c>
      <c r="E1023" s="2645">
        <f>'Part VII-Pro Forma'!E67</f>
        <v>606399.42526419461</v>
      </c>
      <c r="F1023" s="2645">
        <f>'Part VII-Pro Forma'!F67</f>
        <v>584101.08694024046</v>
      </c>
      <c r="G1023" s="2645">
        <f>'Part VII-Pro Forma'!G67</f>
        <v>560309.38760215184</v>
      </c>
      <c r="H1023" s="2645">
        <f>'Part VII-Pro Forma'!H67</f>
        <v>534924.31409710366</v>
      </c>
      <c r="I1023" s="2645">
        <f>'Part VII-Pro Forma'!I67</f>
        <v>507839.15520620177</v>
      </c>
      <c r="J1023" s="2645">
        <f>'Part VII-Pro Forma'!J67</f>
        <v>478940.05306259304</v>
      </c>
      <c r="K1023" s="2645">
        <f>'Part VII-Pro Forma'!K67</f>
        <v>448105.52452721621</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4130</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-61057.771069420298</v>
      </c>
      <c r="C1039" s="2645">
        <f>'Part VII-Pro Forma'!C83</f>
        <v>-61057.771069420298</v>
      </c>
      <c r="D1039" s="2645">
        <f>'Part VII-Pro Forma'!D83</f>
        <v>-61057.771069420298</v>
      </c>
      <c r="E1039" s="2645">
        <f>'Part VII-Pro Forma'!E83</f>
        <v>-61057.771069420298</v>
      </c>
      <c r="F1039" s="2645">
        <f>'Part VII-Pro Forma'!F83</f>
        <v>-61057.771069420298</v>
      </c>
      <c r="G1039" s="2645">
        <f>'Part VII-Pro Forma'!G83</f>
        <v>-61057.771069420298</v>
      </c>
      <c r="H1039" s="2645">
        <f>'Part VII-Pro Forma'!H83</f>
        <v>-61057.771069420298</v>
      </c>
      <c r="I1039" s="2645">
        <f>'Part VII-Pro Forma'!I83</f>
        <v>-61057.771069420298</v>
      </c>
      <c r="J1039" s="2645">
        <f>'Part VII-Pro Forma'!J83</f>
        <v>-61057.771069420298</v>
      </c>
      <c r="K1039" s="2645">
        <f>'Part VII-Pro Forma'!K83</f>
        <v>-61057.771069420298</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1175</v>
      </c>
      <c r="B1045" s="2645">
        <f t="shared" ref="B1045:K1045" si="314">SUM(B1038:B1044)</f>
        <v>-61057.771069420298</v>
      </c>
      <c r="C1045" s="2645">
        <f t="shared" si="314"/>
        <v>-61057.771069420298</v>
      </c>
      <c r="D1045" s="2645">
        <f t="shared" si="314"/>
        <v>-61057.771069420298</v>
      </c>
      <c r="E1045" s="2645">
        <f t="shared" si="314"/>
        <v>-61057.771069420298</v>
      </c>
      <c r="F1045" s="2645">
        <f t="shared" si="314"/>
        <v>-61057.771069420298</v>
      </c>
      <c r="G1045" s="2645">
        <f t="shared" si="314"/>
        <v>-61057.771069420298</v>
      </c>
      <c r="H1045" s="2645">
        <f t="shared" si="314"/>
        <v>-61057.771069420298</v>
      </c>
      <c r="I1045" s="2645">
        <f t="shared" si="314"/>
        <v>-61057.771069420298</v>
      </c>
      <c r="J1045" s="2645">
        <f t="shared" si="314"/>
        <v>-61057.771069420298</v>
      </c>
      <c r="K1045" s="2645">
        <f t="shared" si="314"/>
        <v>-61057.771069420298</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3740</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f>'Part VII-Pro Forma'!B96</f>
        <v>415205.95051019994</v>
      </c>
      <c r="C1052" s="2645">
        <f>'Part VII-Pro Forma'!C96</f>
        <v>380103.03109116934</v>
      </c>
      <c r="D1052" s="2645">
        <f>'Part VII-Pro Forma'!D96</f>
        <v>342649.20414795022</v>
      </c>
      <c r="E1052" s="2645">
        <f>'Part VII-Pro Forma'!E96</f>
        <v>302687.025049761</v>
      </c>
      <c r="F1052" s="2645">
        <f>'Part VII-Pro Forma'!F96</f>
        <v>260048.50480730867</v>
      </c>
      <c r="G1052" s="2645">
        <f>'Part VII-Pro Forma'!G96</f>
        <v>214554.40389757144</v>
      </c>
      <c r="H1052" s="2645">
        <f>'Part VII-Pro Forma'!H96</f>
        <v>166013.47879471851</v>
      </c>
      <c r="I1052" s="2645">
        <f>'Part VII-Pro Forma'!I96</f>
        <v>114221.67803981075</v>
      </c>
      <c r="J1052" s="2645">
        <f>'Part VII-Pro Forma'!J96</f>
        <v>58961.284469800128</v>
      </c>
      <c r="K1052" s="2645">
        <f>'Part VII-Pro Forma'!K96</f>
        <v>1.6465492080897093E-8</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-61057.771069420298</v>
      </c>
      <c r="C1067" s="2645">
        <f>'Part VII-Pro Forma'!C111</f>
        <v>-61057.771069420298</v>
      </c>
      <c r="D1067" s="2645">
        <f>'Part VII-Pro Forma'!D111</f>
        <v>-61057.771069420298</v>
      </c>
      <c r="E1067" s="2645">
        <f>'Part VII-Pro Forma'!E111</f>
        <v>-61057.771069420298</v>
      </c>
      <c r="F1067" s="2645">
        <f>'Part VII-Pro Forma'!F111</f>
        <v>-61057.771069420298</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1175</v>
      </c>
      <c r="B1073" s="2645">
        <f>SUM(B1066:B1072)</f>
        <v>-61057.771069420298</v>
      </c>
      <c r="C1073" s="2645">
        <f>SUM(C1066:C1072)</f>
        <v>-61057.771069420298</v>
      </c>
      <c r="D1073" s="2645">
        <f>SUM(D1066:D1072)</f>
        <v>-61057.771069420298</v>
      </c>
      <c r="E1073" s="2645">
        <f>SUM(E1066:E1072)</f>
        <v>-61057.771069420298</v>
      </c>
      <c r="F1073" s="2645">
        <f>SUM(F1066:F1072)</f>
        <v>-61057.771069420298</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3740</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-62910.030887157387</v>
      </c>
      <c r="C1080" s="2645">
        <f>'Part VII-Pro Forma'!C124</f>
        <v>-130033.26305238246</v>
      </c>
      <c r="D1080" s="2645">
        <f>'Part VII-Pro Forma'!D124</f>
        <v>-201651.86238810932</v>
      </c>
      <c r="E1080" s="2645">
        <f>'Part VII-Pro Forma'!E124</f>
        <v>-278066.89195917791</v>
      </c>
      <c r="F1080" s="2645">
        <f>'Part VII-Pro Forma'!F124</f>
        <v>-359599.57758145005</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Ancillary income is estimated to be 2% annual based rent.  This estimate is consistent with the ancillary income from other deals in the developer's portfolio.  The ancillary income is primarily made up of laundry fees, application fees, and forfeited deposits.</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2018-041 Pointe North Village III,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4772</v>
      </c>
      <c r="K1100" s="2652"/>
      <c r="L1100" s="2652"/>
      <c r="M1100" s="2652"/>
      <c r="N1100" s="2652"/>
      <c r="O1100" s="2652"/>
      <c r="P1100" s="2653">
        <f>'Part VIII-Threshold Criteria'!P6</f>
        <v>0</v>
      </c>
      <c r="Q1100" s="2653">
        <f>'Part VIII-Threshold Criteria'!Q6</f>
        <v>0</v>
      </c>
    </row>
    <row r="1101" spans="1:17">
      <c r="A1101" s="2654" t="s">
        <v>3473</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3780</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The Applicant has structured this application so that it is consistent with DCA's requirements regarding Project Feasibility, Viability and Conformance with the Plan as detailed in the 2018 QAP.  Pointe North Village III complies with the 2018 QAP and the Applicant has not requested any waivers or deviations from these standards.  Dougherty County's section 8 program is administered by DCA, therefore the applicant has used DCA's applicable utility allowances in this application.</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4773</v>
      </c>
      <c r="B1131" s="2666"/>
      <c r="C1131" s="2666"/>
      <c r="D1131" s="2666"/>
      <c r="E1131" s="2666"/>
      <c r="F1131" s="2666"/>
      <c r="G1131" s="2473" t="s">
        <v>2733</v>
      </c>
      <c r="H1131" s="2473"/>
      <c r="I1131" s="2658"/>
      <c r="J1131" s="2354"/>
      <c r="K1131" s="2658" t="s">
        <v>3660</v>
      </c>
      <c r="L1131" s="2658"/>
      <c r="M1131" s="2658"/>
      <c r="N1131" s="2658"/>
    </row>
    <row r="1132" spans="1:17" ht="13.5">
      <c r="A1132" s="2666"/>
      <c r="B1132" s="2666"/>
      <c r="C1132" s="2666"/>
      <c r="D1132" s="2666"/>
      <c r="E1132" s="2666"/>
      <c r="F1132" s="2666"/>
      <c r="G1132" s="2473" t="s">
        <v>348</v>
      </c>
      <c r="H1132" s="2473"/>
      <c r="I1132" s="2658"/>
      <c r="J1132" s="2354"/>
      <c r="K1132" s="478" t="s">
        <v>3661</v>
      </c>
      <c r="L1132" s="478"/>
      <c r="M1132" s="478"/>
      <c r="N1132" s="478"/>
      <c r="P1132" s="2486" t="s">
        <v>2753</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3476</v>
      </c>
      <c r="G1134" s="2669" t="s">
        <v>3475</v>
      </c>
      <c r="H1134" s="2669"/>
      <c r="I1134" s="2669"/>
      <c r="K1134" s="2669" t="s">
        <v>3476</v>
      </c>
      <c r="L1134" s="2669" t="s">
        <v>3475</v>
      </c>
      <c r="M1134" s="2669"/>
      <c r="N1134" s="2669"/>
    </row>
    <row r="1135" spans="1:17" ht="12.75" customHeight="1">
      <c r="A1135" s="2670" t="s">
        <v>3380</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3922</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Albany</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3657</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10235578.982141985</v>
      </c>
      <c r="Q1139" s="2676">
        <f>'Part VIII-Threshold Criteria'!Q45</f>
        <v>0</v>
      </c>
    </row>
    <row r="1140" spans="1:17" ht="12.75" customHeight="1">
      <c r="C1140" s="2354"/>
      <c r="D1140" s="2677" t="s">
        <v>3390</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3375</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4134</v>
      </c>
      <c r="Q1142" s="2517"/>
    </row>
    <row r="1143" spans="1:17" ht="12.75" customHeight="1">
      <c r="A1143" s="2670"/>
      <c r="B1143" s="2670"/>
      <c r="C1143" s="2670"/>
      <c r="D1143" s="2671" t="s">
        <v>2456</v>
      </c>
      <c r="E1143" s="2659">
        <v>1</v>
      </c>
      <c r="F1143" s="2672">
        <f>'Part VI-Revenues &amp; Expenses'!$K$106</f>
        <v>0</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0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3655</v>
      </c>
      <c r="Q1146" s="478"/>
    </row>
    <row r="1147" spans="1:17">
      <c r="C1147" s="2354"/>
      <c r="D1147" s="2677" t="s">
        <v>3390</v>
      </c>
      <c r="E1147" s="2678"/>
      <c r="F1147" s="2679">
        <f>SUM(F1142:F1146)</f>
        <v>0</v>
      </c>
      <c r="G1147" s="2680"/>
      <c r="H1147" s="2681"/>
      <c r="I1147" s="2682" t="e">
        <f>SUM(I1142:I1146)</f>
        <v>#N/A</v>
      </c>
      <c r="J1147" s="2683"/>
      <c r="K1147" s="2679">
        <f>SUM(K1142:K1146)</f>
        <v>0</v>
      </c>
      <c r="L1147" s="2683"/>
      <c r="M1147" s="2681"/>
      <c r="N1147" s="2682" t="e">
        <f>SUM(N1142:N1146)</f>
        <v>#N/A</v>
      </c>
      <c r="O1147" s="2688"/>
      <c r="P1147" s="2570" t="s">
        <v>3267</v>
      </c>
      <c r="Q1147" s="2570" t="s">
        <v>258</v>
      </c>
    </row>
    <row r="1148" spans="1:17">
      <c r="C1148" s="2354"/>
      <c r="D1148" s="2684"/>
      <c r="E1148" s="2684"/>
      <c r="F1148" s="2685"/>
      <c r="G1148" s="2686"/>
      <c r="I1148" s="2685"/>
      <c r="K1148" s="2685"/>
      <c r="M1148" s="2664"/>
      <c r="N1148" s="2685"/>
      <c r="O1148" s="2688"/>
    </row>
    <row r="1149" spans="1:17">
      <c r="A1149" s="2473" t="s">
        <v>3376</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3656</v>
      </c>
      <c r="Q1150" s="478"/>
    </row>
    <row r="1151" spans="1:17">
      <c r="C1151" s="2354"/>
      <c r="D1151" s="2671" t="s">
        <v>2457</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3267</v>
      </c>
      <c r="Q1151" s="2570" t="s">
        <v>258</v>
      </c>
    </row>
    <row r="1152" spans="1:17">
      <c r="C1152" s="2354"/>
      <c r="D1152" s="2671" t="s">
        <v>2458</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3390</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3377</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6</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6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11531334</v>
      </c>
      <c r="Q1157" s="2691">
        <f>'Part VIII-Threshold Criteria'!Q63</f>
        <v>0</v>
      </c>
    </row>
    <row r="1158" spans="1:17" ht="12.75" customHeight="1">
      <c r="C1158" s="2354"/>
      <c r="D1158" s="2671" t="s">
        <v>2457</v>
      </c>
      <c r="E1158" s="2659">
        <v>2</v>
      </c>
      <c r="F1158" s="2672">
        <f>'Part VI-Revenues &amp; Expenses'!$L$110</f>
        <v>24</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24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24</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24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4546</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3390</v>
      </c>
      <c r="E1161" s="2678"/>
      <c r="F1161" s="2679">
        <f>SUM(F1156:F1160)</f>
        <v>54</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3391</v>
      </c>
      <c r="B1163" s="2354"/>
      <c r="C1163" s="2354"/>
      <c r="D1163" s="2354"/>
      <c r="E1163" s="2555"/>
      <c r="F1163" s="2695">
        <f>F1140+F1147+F1154+F1161</f>
        <v>54</v>
      </c>
      <c r="G1163" s="2420"/>
      <c r="H1163" s="2696">
        <f>'Part VIII-Threshold Criteria'!H69</f>
        <v>11531334</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3780</v>
      </c>
      <c r="D1164" s="2598"/>
      <c r="E1164" s="2598"/>
      <c r="F1164" s="2598"/>
      <c r="G1164" s="2598"/>
      <c r="H1164" s="2597"/>
      <c r="I1164" s="2659"/>
      <c r="J1164" s="2659"/>
      <c r="K1164" s="2662" t="s">
        <v>1880</v>
      </c>
      <c r="L1164" s="2561"/>
      <c r="M1164" s="2561"/>
      <c r="N1164" s="2561"/>
      <c r="O1164" s="2561"/>
      <c r="P1164" s="2561"/>
      <c r="Q1164" s="2561"/>
    </row>
    <row r="1165" spans="1:17" ht="67.5">
      <c r="A1165" s="2661" t="str">
        <f>'Part VIII-Threshold Criteria'!A71</f>
        <v>The proposed project is within the allowable cost limits</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3780</v>
      </c>
      <c r="D1168" s="2598"/>
      <c r="E1168" s="2598"/>
      <c r="F1168" s="2598"/>
      <c r="G1168" s="2598"/>
      <c r="H1168" s="2597"/>
      <c r="I1168" s="2659"/>
      <c r="J1168" s="2659"/>
      <c r="K1168" s="2662" t="s">
        <v>1880</v>
      </c>
      <c r="L1168" s="2561"/>
      <c r="M1168" s="2561"/>
      <c r="N1168" s="2561"/>
      <c r="O1168" s="2561"/>
      <c r="P1168" s="2561"/>
      <c r="Q1168" s="2561"/>
    </row>
    <row r="1169" spans="1:17" ht="101.25">
      <c r="A1169" s="2661" t="str">
        <f>'Part VIII-Threshold Criteria'!A75</f>
        <v>The Applicant has selected a "Family" designation and will serve that tenancy.</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3770</v>
      </c>
      <c r="D1173" s="2686"/>
      <c r="E1173" s="2686"/>
      <c r="F1173" s="2686"/>
      <c r="G1173" s="2686"/>
      <c r="H1173" s="2686"/>
      <c r="I1173" s="2686"/>
      <c r="K1173" s="2686"/>
      <c r="L1173" s="2686"/>
      <c r="M1173" s="2699" t="s">
        <v>3723</v>
      </c>
      <c r="O1173" s="2661"/>
      <c r="P1173" s="2667">
        <f>'Part VIII-Threshold Criteria'!P79</f>
        <v>0</v>
      </c>
    </row>
    <row r="1174" spans="1:17">
      <c r="A1174" s="2700" t="s">
        <v>2001</v>
      </c>
      <c r="B1174" s="2597" t="s">
        <v>3769</v>
      </c>
      <c r="D1174" s="2597"/>
      <c r="E1174" s="2597"/>
      <c r="F1174" s="2597"/>
      <c r="G1174" s="2597"/>
      <c r="H1174" s="2597"/>
      <c r="I1174" s="2597"/>
      <c r="J1174" s="2597"/>
      <c r="K1174" s="2597"/>
      <c r="L1174" s="2597"/>
      <c r="M1174" s="2597"/>
      <c r="O1174" s="2597"/>
      <c r="P1174" s="2597"/>
      <c r="Q1174" s="2597"/>
    </row>
    <row r="1175" spans="1:17" ht="33.75">
      <c r="A1175" s="2701"/>
      <c r="B1175" s="2702" t="s">
        <v>1750</v>
      </c>
      <c r="C1175" s="2597" t="s">
        <v>3507</v>
      </c>
      <c r="E1175" s="2591"/>
      <c r="F1175" s="2591"/>
      <c r="G1175" s="2591"/>
      <c r="H1175" s="2354"/>
      <c r="I1175" s="478" t="s">
        <v>2723</v>
      </c>
      <c r="J1175" s="2703" t="str">
        <f>'Part VIII-Threshold Criteria'!J81</f>
        <v>Semi monthly birthday parties and game nights</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56.25">
      <c r="A1176" s="2701"/>
      <c r="B1176" s="2702" t="s">
        <v>1751</v>
      </c>
      <c r="C1176" s="2597" t="s">
        <v>3605</v>
      </c>
      <c r="E1176" s="2591"/>
      <c r="F1176" s="2591"/>
      <c r="G1176" s="2591"/>
      <c r="H1176" s="2354"/>
      <c r="I1176" s="478" t="s">
        <v>2723</v>
      </c>
      <c r="J1176" s="2703" t="str">
        <f>'Part VIII-Threshold Criteria'!J82</f>
        <v>Semi-monthly Computer tutoring and gardening classes</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c r="A1177" s="2701"/>
      <c r="B1177" s="2702" t="s">
        <v>1752</v>
      </c>
      <c r="C1177" s="2597" t="s">
        <v>3606</v>
      </c>
      <c r="E1177" s="2591"/>
      <c r="F1177" s="2591"/>
      <c r="G1177" s="2591"/>
      <c r="H1177" s="2354"/>
      <c r="I1177" s="478" t="s">
        <v>2723</v>
      </c>
      <c r="J1177" s="2703">
        <f>'Part VIII-Threshold Criteria'!J83</f>
        <v>0</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3933</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3591</v>
      </c>
      <c r="D1179" s="2597"/>
      <c r="E1179" s="2591"/>
      <c r="J1179" s="478"/>
      <c r="K1179" s="478"/>
      <c r="L1179" s="478"/>
      <c r="M1179" s="478"/>
      <c r="N1179" s="478"/>
      <c r="O1179" s="478"/>
      <c r="P1179" s="478"/>
      <c r="Q1179" s="478"/>
    </row>
    <row r="1180" spans="1:17">
      <c r="A1180" s="2701"/>
      <c r="B1180" s="1156" t="s">
        <v>3924</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3780</v>
      </c>
      <c r="D1181" s="2598"/>
      <c r="E1181" s="2598"/>
      <c r="F1181" s="2598"/>
      <c r="G1181" s="2598"/>
      <c r="H1181" s="2597"/>
      <c r="I1181" s="2659"/>
      <c r="J1181" s="2659"/>
      <c r="K1181" s="2662" t="s">
        <v>1880</v>
      </c>
      <c r="L1181" s="2561"/>
      <c r="M1181" s="2561"/>
      <c r="N1181" s="2561"/>
      <c r="O1181" s="2561"/>
      <c r="P1181" s="2561"/>
      <c r="Q1181" s="2561"/>
    </row>
    <row r="1182" spans="1:17" ht="90">
      <c r="A1182" s="2661" t="str">
        <f>'Part VIII-Threshold Criteria'!A88</f>
        <v>Applicant agrees to provide 2 services from 2 categories as noted above.</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Novogradac &amp; Company, LLP</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2-3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2898</v>
      </c>
      <c r="D1188" s="2626"/>
      <c r="E1188" s="2626"/>
      <c r="F1188" s="2626"/>
      <c r="L1188" s="2702" t="s">
        <v>757</v>
      </c>
      <c r="M1188" s="2704">
        <f>'Part VIII-Threshold Criteria'!M94</f>
        <v>0.98899999999999999</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3926</v>
      </c>
      <c r="D1189" s="2626"/>
      <c r="E1189" s="2626"/>
      <c r="F1189" s="2626"/>
      <c r="L1189" s="2702" t="s">
        <v>3927</v>
      </c>
      <c r="M1189" s="2706">
        <f>'Part VIII-Threshold Criteria'!M95</f>
        <v>3.2000000000000001E-2</v>
      </c>
      <c r="N1189" s="2704"/>
      <c r="O1189" s="2707" t="s">
        <v>4177</v>
      </c>
      <c r="P1189" s="2708" t="str">
        <f>'Part VIII-Threshold Criteria'!P95</f>
        <v>N/A</v>
      </c>
      <c r="Q1189" s="2667">
        <f>'Part VIII-Threshold Criteria'!Q95</f>
        <v>0</v>
      </c>
    </row>
    <row r="1190" spans="1:17">
      <c r="A1190" s="2698" t="s">
        <v>1748</v>
      </c>
      <c r="B1190" s="2686" t="s">
        <v>3925</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2015-043</v>
      </c>
      <c r="E1192" s="2658" t="str">
        <f>'Part VIII-Threshold Criteria'!E98</f>
        <v>Pointe North Senior Village II</v>
      </c>
      <c r="F1192" s="2658">
        <f>'Part VIII-Threshold Criteria'!F98</f>
        <v>0</v>
      </c>
      <c r="G1192" s="2658">
        <f>'Part VIII-Threshold Criteria'!G98</f>
        <v>0</v>
      </c>
      <c r="H1192" s="2702" t="s">
        <v>1752</v>
      </c>
      <c r="I1192" s="2667" t="str">
        <f>'Part VIII-Threshold Criteria'!I98</f>
        <v>2013-034</v>
      </c>
      <c r="J1192" s="2658" t="str">
        <f>'Part VIII-Threshold Criteria'!J98</f>
        <v>Pointe North Senior Village I</v>
      </c>
      <c r="K1192" s="2658">
        <f>'Part VIII-Threshold Criteria'!K98</f>
        <v>0</v>
      </c>
      <c r="L1192" s="2658">
        <f>'Part VIII-Threshold Criteria'!L98</f>
        <v>0</v>
      </c>
      <c r="M1192" s="2702" t="s">
        <v>1561</v>
      </c>
      <c r="N1192" s="2667" t="str">
        <f>'Part VIII-Threshold Criteria'!N98</f>
        <v>2008-075</v>
      </c>
      <c r="O1192" s="2658" t="str">
        <f>'Part VIII-Threshold Criteria'!O98</f>
        <v>The Landing at Southlake</v>
      </c>
      <c r="P1192" s="2658">
        <f>'Part VIII-Threshold Criteria'!P98</f>
        <v>0</v>
      </c>
      <c r="Q1192" s="2658">
        <f>'Part VIII-Threshold Criteria'!Q98</f>
        <v>0</v>
      </c>
    </row>
    <row r="1193" spans="1:17">
      <c r="C1193" s="2702" t="s">
        <v>1751</v>
      </c>
      <c r="D1193" s="2667" t="str">
        <f>'Part VIII-Threshold Criteria'!D99</f>
        <v>2009-009</v>
      </c>
      <c r="E1193" s="2658" t="str">
        <f>'Part VIII-Threshold Criteria'!E99</f>
        <v>The Cove at Southlake</v>
      </c>
      <c r="F1193" s="2658">
        <f>'Part VIII-Threshold Criteria'!F99</f>
        <v>0</v>
      </c>
      <c r="G1193" s="2658">
        <f>'Part VIII-Threshold Criteria'!G99</f>
        <v>0</v>
      </c>
      <c r="H1193" s="2702" t="s">
        <v>2381</v>
      </c>
      <c r="I1193" s="2667" t="str">
        <f>'Part VIII-Threshold Criteria'!I99</f>
        <v>2010-067</v>
      </c>
      <c r="J1193" s="2658" t="str">
        <f>'Part VIII-Threshold Criteria'!J99</f>
        <v>Forrester Senior Village</v>
      </c>
      <c r="K1193" s="2658">
        <f>'Part VIII-Threshold Criteria'!K99</f>
        <v>0</v>
      </c>
      <c r="L1193" s="2658">
        <f>'Part VIII-Threshold Criteria'!L99</f>
        <v>0</v>
      </c>
      <c r="M1193" s="2702" t="s">
        <v>1562</v>
      </c>
      <c r="N1193" s="2667" t="str">
        <f>'Part VIII-Threshold Criteria'!N99</f>
        <v>2017-066</v>
      </c>
      <c r="O1193" s="2658" t="str">
        <f>'Part VIII-Threshold Criteria'!O99</f>
        <v>Woodlands</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3638</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3392</v>
      </c>
      <c r="B1197" s="2661" t="s">
        <v>2748</v>
      </c>
      <c r="C1197" s="2661"/>
      <c r="D1197" s="2661"/>
      <c r="E1197" s="2661"/>
      <c r="F1197" s="2661"/>
      <c r="G1197" s="2661"/>
      <c r="H1197" s="2661"/>
      <c r="I1197" s="2661"/>
      <c r="J1197" s="2661"/>
      <c r="K1197" s="2661"/>
      <c r="L1197" s="2661"/>
      <c r="M1197" s="2661"/>
      <c r="N1197" s="2661"/>
      <c r="O1197" s="2661"/>
      <c r="P1197" s="2712" t="s">
        <v>3392</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3393</v>
      </c>
      <c r="B1199" s="2686" t="s">
        <v>3639</v>
      </c>
      <c r="C1199" s="2678"/>
      <c r="D1199" s="2678"/>
      <c r="E1199" s="2678"/>
      <c r="F1199" s="2678"/>
      <c r="G1199" s="2678"/>
      <c r="H1199" s="2678"/>
      <c r="I1199" s="2678"/>
      <c r="J1199" s="2678"/>
      <c r="K1199" s="2678"/>
      <c r="L1199" s="2714"/>
      <c r="M1199" s="2678"/>
      <c r="N1199" s="2710"/>
      <c r="O1199" s="2678"/>
      <c r="P1199" s="2702" t="s">
        <v>3393</v>
      </c>
      <c r="Q1199" s="2713">
        <f>'Part VIII-Threshold Criteria'!Q105</f>
        <v>0</v>
      </c>
    </row>
    <row r="1200" spans="1:17">
      <c r="B1200" s="2598" t="s">
        <v>3780</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As the low capture rate in the market study indicates, there is a strong demand for affordable housing in Albany.  A member of the Applicant has developed two apartment communities in close proximity to the subject site that both leased up in approximately one month.
Also, Barkley Estates (2006-051) is in the primary market area.</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3494</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3495</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2899</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3780</v>
      </c>
      <c r="D1218" s="2598"/>
      <c r="E1218" s="2598"/>
      <c r="F1218" s="2598"/>
      <c r="G1218" s="2598"/>
      <c r="H1218" s="2597"/>
      <c r="I1218" s="2659"/>
      <c r="J1218" s="2659"/>
      <c r="K1218" s="2659"/>
      <c r="L1218" s="2561"/>
      <c r="M1218" s="2561"/>
      <c r="N1218" s="2561"/>
      <c r="O1218" s="2561"/>
      <c r="P1218" s="2561"/>
      <c r="Q1218" s="2561"/>
    </row>
    <row r="1219" spans="1:17" ht="247.5">
      <c r="A1219" s="2661" t="str">
        <f>'Part VIII-Threshold Criteria'!A125</f>
        <v>Not Applicable - An appraisal is not required as the proposed development will not be utilizing HOME funds and there is not an idenity of interest between the land seller and any member of the development team.</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3662</v>
      </c>
      <c r="D1224" s="2626"/>
      <c r="E1224" s="2626"/>
      <c r="F1224" s="2626"/>
      <c r="G1224" s="2626"/>
      <c r="H1224" s="2626"/>
      <c r="I1224" s="2354"/>
      <c r="J1224" s="2354"/>
      <c r="K1224" s="2702" t="s">
        <v>1999</v>
      </c>
      <c r="L1224" s="2569" t="str">
        <f>'Part VIII-Threshold Criteria'!L130</f>
        <v>Geotechnical and Environmental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Geotechnical and Environmental Consultants, Inc.</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3496</v>
      </c>
      <c r="E1228" s="2354"/>
      <c r="F1228" s="2354"/>
      <c r="G1228" s="2354"/>
      <c r="H1228" s="478"/>
      <c r="I1228" s="2354"/>
      <c r="J1228" s="2354"/>
      <c r="K1228" s="2626"/>
      <c r="L1228" s="2591"/>
      <c r="M1228" s="2591"/>
      <c r="O1228" s="2702" t="s">
        <v>1751</v>
      </c>
      <c r="P1228" s="2667">
        <f>'Part VIII-Threshold Criteria'!P134</f>
        <v>56.1</v>
      </c>
      <c r="Q1228" s="2667">
        <f>'Part VIII-Threshold Criteria'!Q134</f>
        <v>0</v>
      </c>
    </row>
    <row r="1229" spans="1:17">
      <c r="A1229" s="2580"/>
      <c r="B1229" s="2702" t="s">
        <v>1752</v>
      </c>
      <c r="C1229" s="478" t="s">
        <v>4164</v>
      </c>
      <c r="E1229" s="2354"/>
      <c r="F1229" s="2354"/>
      <c r="G1229" s="2354"/>
      <c r="H1229" s="478"/>
      <c r="I1229" s="2354"/>
      <c r="J1229" s="2354"/>
      <c r="K1229" s="2626"/>
      <c r="L1229" s="2591"/>
      <c r="M1229" s="2591"/>
      <c r="N1229" s="2591"/>
      <c r="O1229" s="2591"/>
    </row>
    <row r="1230" spans="1:17" ht="45">
      <c r="A1230" s="2561"/>
      <c r="B1230" s="2702"/>
      <c r="C1230" s="2626" t="str">
        <f>'Part VIII-Threshold Criteria'!C136</f>
        <v>N/A - all noise levels less than 65 decibels</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No</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No</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3875</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No</v>
      </c>
      <c r="M1246" s="2667">
        <f>'Part VIII-Threshold Criteria'!M152</f>
        <v>0</v>
      </c>
      <c r="O1246" s="2702"/>
    </row>
    <row r="1247" spans="1:17">
      <c r="A1247" s="478"/>
      <c r="B1247" s="2702" t="s">
        <v>2913</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N/A</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3594</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t="str">
        <f>'Part VIII-Threshold Criteria'!P156</f>
        <v>No</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t="str">
        <f>'Part VIII-Threshold Criteria'!P157</f>
        <v>No</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t="str">
        <f>'Part VIII-Threshold Criteria'!P158</f>
        <v>No</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3486</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3392</v>
      </c>
      <c r="B1255" s="2661" t="s">
        <v>4774</v>
      </c>
      <c r="C1255" s="2661"/>
      <c r="D1255" s="2661"/>
      <c r="E1255" s="2661"/>
      <c r="F1255" s="2661"/>
      <c r="G1255" s="2661"/>
      <c r="H1255" s="2661"/>
      <c r="I1255" s="2661"/>
      <c r="J1255" s="2661"/>
      <c r="K1255" s="2661"/>
      <c r="L1255" s="2661"/>
      <c r="M1255" s="2712" t="s">
        <v>3392</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3393</v>
      </c>
      <c r="B1257" s="2597" t="s">
        <v>1427</v>
      </c>
      <c r="C1257" s="2354"/>
      <c r="D1257" s="2715"/>
      <c r="E1257" s="2715"/>
      <c r="F1257" s="2715"/>
      <c r="G1257" s="2553"/>
      <c r="H1257" s="2553"/>
      <c r="I1257" s="2597"/>
      <c r="J1257" s="2354"/>
      <c r="K1257" s="2553"/>
      <c r="L1257" s="2553"/>
      <c r="M1257" s="2553"/>
      <c r="N1257" s="2354"/>
      <c r="O1257" s="2702" t="s">
        <v>3393</v>
      </c>
      <c r="P1257" s="2667">
        <f>'Part VIII-Threshold Criteria'!P163</f>
        <v>0</v>
      </c>
      <c r="Q1257" s="2667">
        <f>'Part VIII-Threshold Criteria'!Q163</f>
        <v>0</v>
      </c>
    </row>
    <row r="1258" spans="1:17">
      <c r="B1258" s="2598" t="s">
        <v>3780</v>
      </c>
      <c r="D1258" s="2598"/>
      <c r="E1258" s="2598"/>
      <c r="F1258" s="2598"/>
      <c r="G1258" s="2598"/>
      <c r="H1258" s="2597"/>
      <c r="I1258" s="2659"/>
      <c r="J1258" s="2659"/>
      <c r="K1258" s="2659"/>
      <c r="L1258" s="2561"/>
      <c r="M1258" s="2561"/>
      <c r="N1258" s="2561"/>
      <c r="O1258" s="2561"/>
      <c r="P1258" s="2561"/>
      <c r="Q1258" s="2561"/>
    </row>
    <row r="1259" spans="1:17" ht="101.25">
      <c r="A1259" s="2661" t="str">
        <f>'Part VIII-Threshold Criteria'!A165</f>
        <v>The Applicant has included the Phase I environmental report in the application.</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4547</v>
      </c>
      <c r="D1265" s="478"/>
      <c r="E1265" s="478"/>
      <c r="F1265" s="478"/>
      <c r="G1265" s="478"/>
      <c r="I1265" s="478" t="s">
        <v>2725</v>
      </c>
      <c r="K1265" s="2720">
        <f>'Part VIII-Threshold Criteria'!K171</f>
        <v>43465</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Pointe North Village III,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2901</v>
      </c>
      <c r="D1268" s="2686"/>
      <c r="E1268" s="2686"/>
      <c r="F1268" s="2686"/>
      <c r="G1268" s="2686"/>
      <c r="H1268" s="2686"/>
      <c r="J1268" s="2702"/>
      <c r="K1268" s="2702"/>
      <c r="L1268" s="2702"/>
      <c r="M1268" s="2702"/>
      <c r="N1268" s="2702"/>
      <c r="O1268" s="2702" t="s">
        <v>2131</v>
      </c>
      <c r="P1268" s="2667" t="str">
        <f>'Part VIII-Threshold Criteria'!P174</f>
        <v>No</v>
      </c>
      <c r="Q1268" s="2667">
        <f>'Part VIII-Threshold Criteria'!Q174</f>
        <v>0</v>
      </c>
    </row>
    <row r="1269" spans="1:17">
      <c r="B1269" s="2598" t="s">
        <v>3780</v>
      </c>
      <c r="D1269" s="2598"/>
      <c r="E1269" s="2598"/>
      <c r="F1269" s="2598"/>
      <c r="G1269" s="2598"/>
      <c r="H1269" s="2597"/>
      <c r="I1269" s="2659"/>
      <c r="J1269" s="2659"/>
      <c r="K1269" s="2659"/>
      <c r="L1269" s="2561"/>
      <c r="M1269" s="2561"/>
      <c r="N1269" s="2561"/>
      <c r="O1269" s="2561"/>
      <c r="P1269" s="2561"/>
      <c r="Q1269" s="2561"/>
    </row>
    <row r="1270" spans="1:17" ht="67.5">
      <c r="A1270" s="2661" t="str">
        <f>'Part VIII-Threshold Criteria'!A176</f>
        <v>Site Control documents have been provided in tab 8 of the application.</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3771</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3663</v>
      </c>
      <c r="C1276" s="2661"/>
      <c r="D1276" s="2661"/>
      <c r="E1276" s="2661"/>
      <c r="F1276" s="2661"/>
      <c r="G1276" s="2661"/>
      <c r="H1276" s="2661"/>
      <c r="I1276" s="2661"/>
      <c r="J1276" s="2661"/>
      <c r="K1276" s="2661"/>
      <c r="L1276" s="2661"/>
      <c r="M1276" s="2661"/>
      <c r="N1276" s="2661"/>
      <c r="O1276" s="2712" t="s">
        <v>2001</v>
      </c>
      <c r="P1276" s="2713" t="str">
        <f>'Part VIII-Threshold Criteria'!P182</f>
        <v>No</v>
      </c>
      <c r="Q1276" s="2713">
        <f>'Part VIII-Threshold Criteria'!Q182</f>
        <v>0</v>
      </c>
    </row>
    <row r="1277" spans="1:17" ht="12.75" customHeight="1">
      <c r="A1277" s="2698" t="s">
        <v>757</v>
      </c>
      <c r="B1277" s="2661" t="s">
        <v>3772</v>
      </c>
      <c r="C1277" s="2661"/>
      <c r="D1277" s="2661"/>
      <c r="E1277" s="2661"/>
      <c r="F1277" s="2661"/>
      <c r="G1277" s="2661"/>
      <c r="H1277" s="2661"/>
      <c r="I1277" s="2661"/>
      <c r="J1277" s="2661"/>
      <c r="K1277" s="2661"/>
      <c r="L1277" s="2661"/>
      <c r="M1277" s="2661"/>
      <c r="N1277" s="2661"/>
      <c r="O1277" s="2712" t="s">
        <v>757</v>
      </c>
      <c r="P1277" s="2713" t="str">
        <f>'Part VIII-Threshold Criteria'!P183</f>
        <v>No</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t="str">
        <f>'Part VIII-Threshold Criteria'!P184</f>
        <v>No</v>
      </c>
      <c r="Q1278" s="2713">
        <f>'Part VIII-Threshold Criteria'!Q184</f>
        <v>0</v>
      </c>
    </row>
    <row r="1279" spans="1:17">
      <c r="B1279" s="2598" t="s">
        <v>3780</v>
      </c>
      <c r="D1279" s="2598"/>
      <c r="E1279" s="2598"/>
      <c r="F1279" s="2598"/>
      <c r="G1279" s="2598"/>
      <c r="H1279" s="2597"/>
      <c r="I1279" s="2659"/>
      <c r="J1279" s="2659"/>
      <c r="K1279" s="2659"/>
      <c r="L1279" s="2561"/>
      <c r="M1279" s="2561"/>
      <c r="N1279" s="2561"/>
      <c r="O1279" s="2561"/>
      <c r="P1279" s="2561"/>
      <c r="Q1279" s="2561"/>
    </row>
    <row r="1280" spans="1:17" ht="78.75">
      <c r="A1280" s="2661" t="str">
        <f>'Part VIII-Threshold Criteria'!A186</f>
        <v>Vehicular and Pedestrian access will be off of Pointe North Boulevard.</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4775</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3773</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3928</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3780</v>
      </c>
      <c r="D1296" s="2598"/>
      <c r="E1296" s="2598"/>
      <c r="F1296" s="2598"/>
      <c r="G1296" s="2598"/>
      <c r="H1296" s="2597"/>
      <c r="I1296" s="2659"/>
      <c r="J1296" s="2659"/>
      <c r="K1296" s="2659"/>
      <c r="L1296" s="2561"/>
      <c r="M1296" s="2561"/>
      <c r="N1296" s="2561"/>
      <c r="O1296" s="2561"/>
      <c r="P1296" s="2561"/>
      <c r="Q1296" s="2561"/>
    </row>
    <row r="1297" spans="1:17" ht="157.5">
      <c r="A1297" s="2661" t="str">
        <f>'Part VIII-Threshold Criteria'!A203</f>
        <v>The site is zoned C-2 (General Mixed-Use Business District) which allows for Multi-Family housing.  See Tab 10 for required documentation.</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N/A</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No</v>
      </c>
      <c r="Q1302" s="2667">
        <f>'Part VIII-Threshold Criteria'!Q208</f>
        <v>0</v>
      </c>
    </row>
    <row r="1303" spans="1:17">
      <c r="A1303" s="2580"/>
      <c r="B1303" s="2598" t="s">
        <v>3780</v>
      </c>
      <c r="C1303" s="2500"/>
      <c r="D1303" s="2500"/>
      <c r="E1303" s="2500"/>
      <c r="F1303" s="2500"/>
      <c r="H1303" s="2702" t="s">
        <v>1751</v>
      </c>
      <c r="I1303" s="478" t="s">
        <v>1608</v>
      </c>
      <c r="J1303" s="2658" t="str">
        <f>'Part VIII-Threshold Criteria'!J209</f>
        <v>Georgia Power</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01.25">
      <c r="A1304" s="2661" t="str">
        <f>'Part VIII-Threshold Criteria'!A210</f>
        <v>Power will be provided by Georgia Power.  Required documentaion is included in tab 11.</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Albany Utilities</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Albany</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3935</v>
      </c>
      <c r="D1314" s="478"/>
      <c r="E1314" s="478"/>
      <c r="F1314" s="478"/>
      <c r="G1314" s="478"/>
      <c r="H1314" s="478"/>
      <c r="I1314" s="478"/>
      <c r="J1314" s="478"/>
      <c r="K1314" s="2354"/>
      <c r="L1314" s="478"/>
      <c r="M1314" s="478"/>
      <c r="O1314" s="2702" t="s">
        <v>757</v>
      </c>
      <c r="P1314" s="2667" t="str">
        <f>'Part VIII-Threshold Criteria'!P220</f>
        <v>No</v>
      </c>
      <c r="Q1314" s="2667">
        <f>'Part VIII-Threshold Criteria'!Q220</f>
        <v>0</v>
      </c>
    </row>
    <row r="1315" spans="1:17">
      <c r="A1315" s="2700" t="s">
        <v>2131</v>
      </c>
      <c r="B1315" s="478" t="s">
        <v>3936</v>
      </c>
      <c r="D1315" s="478"/>
      <c r="E1315" s="478"/>
      <c r="F1315" s="478"/>
      <c r="G1315" s="478"/>
      <c r="H1315" s="478"/>
      <c r="I1315" s="478"/>
      <c r="J1315" s="478"/>
      <c r="K1315" s="2354"/>
      <c r="L1315" s="478"/>
      <c r="M1315" s="478"/>
      <c r="O1315" s="2702" t="s">
        <v>2131</v>
      </c>
      <c r="P1315" s="2667" t="str">
        <f>'Part VIII-Threshold Criteria'!P221</f>
        <v>No</v>
      </c>
      <c r="Q1315" s="2667">
        <f>'Part VIII-Threshold Criteria'!Q221</f>
        <v>0</v>
      </c>
    </row>
    <row r="1316" spans="1:17">
      <c r="B1316" s="2598" t="s">
        <v>3780</v>
      </c>
      <c r="D1316" s="2598"/>
      <c r="E1316" s="2598"/>
      <c r="F1316" s="2598"/>
      <c r="G1316" s="2598"/>
      <c r="H1316" s="2597"/>
      <c r="I1316" s="2659"/>
      <c r="J1316" s="2659"/>
      <c r="K1316" s="2659"/>
      <c r="L1316" s="2561"/>
      <c r="M1316" s="2561"/>
      <c r="N1316" s="2561"/>
      <c r="O1316" s="2561"/>
      <c r="P1316" s="2561"/>
      <c r="Q1316" s="2561"/>
    </row>
    <row r="1317" spans="1:17" ht="191.25">
      <c r="A1317" s="2661" t="str">
        <f>'Part VIII-Threshold Criteria'!A223</f>
        <v>Albany Utilities will provide water and the City of Albany will provide sewer.  Required documentation is included in tab 12.  Items C and D above are not applicable.</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4776</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Covered Porch</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4777</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ht="33.75">
      <c r="A1330" s="2667"/>
      <c r="B1330" s="2702" t="s">
        <v>1750</v>
      </c>
      <c r="C1330" s="2661" t="str">
        <f>'Part VIII-Threshold Criteria'!C236</f>
        <v>Equipped Computer Center</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33.75">
      <c r="A1331" s="2667"/>
      <c r="B1331" s="2702" t="s">
        <v>1751</v>
      </c>
      <c r="C1331" s="2661" t="str">
        <f>'Part VIII-Threshold Criteria'!C237</f>
        <v>Furnished Exercise/Fitness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3488</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t="str">
        <f>'Part VIII-Threshold Criteria'!P245</f>
        <v>No</v>
      </c>
      <c r="Q1339" s="2667">
        <f>'Part VIII-Threshold Criteria'!Q245</f>
        <v>0</v>
      </c>
    </row>
    <row r="1340" spans="1:17">
      <c r="A1340" s="2700" t="s">
        <v>2131</v>
      </c>
      <c r="B1340" s="478" t="s">
        <v>3688</v>
      </c>
      <c r="C1340" s="478"/>
      <c r="E1340" s="478"/>
      <c r="F1340" s="478"/>
      <c r="G1340" s="478"/>
      <c r="H1340" s="478"/>
      <c r="I1340" s="478"/>
      <c r="J1340" s="478"/>
      <c r="K1340" s="2354"/>
      <c r="L1340" s="478"/>
      <c r="M1340" s="478"/>
      <c r="O1340" s="2702" t="s">
        <v>2131</v>
      </c>
      <c r="P1340" s="2667" t="str">
        <f>'Part VIII-Threshold Criteria'!P246</f>
        <v>N/A</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t="str">
        <f>'Part VIII-Threshold Criteria'!P247</f>
        <v>No</v>
      </c>
      <c r="Q1341" s="2667">
        <f>'Part VIII-Threshold Criteria'!Q247</f>
        <v>0</v>
      </c>
    </row>
    <row r="1342" spans="1:17">
      <c r="B1342" s="2702" t="s">
        <v>1751</v>
      </c>
      <c r="C1342" s="478" t="s">
        <v>3937</v>
      </c>
      <c r="E1342" s="2354"/>
      <c r="F1342" s="2354"/>
      <c r="G1342" s="2597"/>
      <c r="H1342" s="2597"/>
      <c r="I1342" s="2354"/>
      <c r="J1342" s="2597"/>
      <c r="K1342" s="2354"/>
      <c r="L1342" s="2597"/>
      <c r="M1342" s="2597"/>
      <c r="O1342" s="2702" t="s">
        <v>1751</v>
      </c>
      <c r="P1342" s="2667" t="str">
        <f>'Part VIII-Threshold Criteria'!P248</f>
        <v>No</v>
      </c>
      <c r="Q1342" s="2667">
        <f>'Part VIII-Threshold Criteria'!Q248</f>
        <v>0</v>
      </c>
    </row>
    <row r="1343" spans="1:17">
      <c r="B1343" s="2598" t="s">
        <v>3780</v>
      </c>
      <c r="D1343" s="2598"/>
      <c r="E1343" s="2598"/>
      <c r="F1343" s="2598"/>
      <c r="G1343" s="2598"/>
      <c r="H1343" s="2597"/>
      <c r="I1343" s="2659"/>
      <c r="J1343" s="2659"/>
      <c r="K1343" s="2659"/>
      <c r="L1343" s="2561"/>
      <c r="M1343" s="2561"/>
      <c r="N1343" s="2561"/>
      <c r="O1343" s="2561"/>
      <c r="P1343" s="2561"/>
      <c r="Q1343" s="2561"/>
    </row>
    <row r="1344" spans="1:17" ht="112.5">
      <c r="A1344" s="2661" t="str">
        <f>'Part VIII-Threshold Criteria'!A250</f>
        <v>Additional amenities include a wellness center, community garden, picnic shelter and playground.</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3787</v>
      </c>
      <c r="D1354" s="478"/>
      <c r="E1354" s="478"/>
      <c r="F1354" s="478"/>
      <c r="M1354" s="478"/>
      <c r="N1354" s="2727"/>
      <c r="O1354" s="2702" t="s">
        <v>757</v>
      </c>
      <c r="P1354" s="2667">
        <f>'Part VIII-Threshold Criteria'!P260</f>
        <v>0</v>
      </c>
      <c r="Q1354" s="2667">
        <f>'Part VIII-Threshold Criteria'!Q260</f>
        <v>0</v>
      </c>
    </row>
    <row r="1355" spans="1:17">
      <c r="A1355" s="2700"/>
      <c r="B1355" s="478" t="s">
        <v>3786</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3938</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3788</v>
      </c>
      <c r="C1357" s="2661"/>
      <c r="D1357" s="2661"/>
      <c r="E1357" s="2661"/>
      <c r="F1357" s="2661"/>
      <c r="G1357" s="2661"/>
      <c r="H1357" s="1156" t="s">
        <v>4165</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4166</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4167</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4168</v>
      </c>
      <c r="K1360" s="2354"/>
      <c r="M1360" s="478"/>
      <c r="N1360" s="2727"/>
      <c r="O1360" s="2702" t="s">
        <v>2381</v>
      </c>
      <c r="P1360" s="2667">
        <f>'Part VIII-Threshold Criteria'!P266</f>
        <v>0</v>
      </c>
      <c r="Q1360" s="2667">
        <f>'Part VIII-Threshold Criteria'!Q266</f>
        <v>0</v>
      </c>
    </row>
    <row r="1361" spans="1:17" ht="12.75" customHeight="1">
      <c r="A1361" s="2698" t="s">
        <v>1748</v>
      </c>
      <c r="B1361" s="2661" t="s">
        <v>4778</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3780</v>
      </c>
      <c r="D1362" s="2598"/>
      <c r="E1362" s="2598"/>
      <c r="F1362" s="2598"/>
      <c r="G1362" s="2598"/>
      <c r="H1362" s="2597"/>
      <c r="I1362" s="2659"/>
      <c r="J1362" s="2659"/>
      <c r="K1362" s="2659"/>
      <c r="L1362" s="2561"/>
      <c r="M1362" s="2561"/>
      <c r="N1362" s="2561"/>
      <c r="O1362" s="2561"/>
      <c r="P1362" s="2561"/>
      <c r="Q1362" s="2561"/>
    </row>
    <row r="1363" spans="1:17" ht="90">
      <c r="A1363" s="2661" t="str">
        <f>'Part VIII-Threshold Criteria'!A269</f>
        <v>Not Applicable.  Proposed development is 100%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3940</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3783</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3784</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4169</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3785</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4170</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3780</v>
      </c>
      <c r="D1375" s="2598"/>
      <c r="E1375" s="2598"/>
      <c r="F1375" s="2598"/>
      <c r="G1375" s="2598"/>
      <c r="H1375" s="2597"/>
      <c r="I1375" s="2659"/>
      <c r="J1375" s="2659"/>
      <c r="K1375" s="2659"/>
      <c r="L1375" s="2561"/>
      <c r="M1375" s="2561"/>
      <c r="N1375" s="2561"/>
      <c r="O1375" s="2561"/>
      <c r="P1375" s="2561"/>
      <c r="Q1375" s="2561"/>
    </row>
    <row r="1376" spans="1:17" ht="191.25">
      <c r="A1376" s="2661" t="str">
        <f>'Part VIII-Threshold Criteria'!A282</f>
        <v>The Applicant has prepared the Conceptual Site Development Plan consistent with DCA's requirements.  Required documentation is included in tab 15.</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4151</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3780</v>
      </c>
      <c r="D1383" s="2598"/>
      <c r="E1383" s="2598"/>
      <c r="F1383" s="2598"/>
      <c r="G1383" s="2598"/>
      <c r="H1383" s="2597"/>
      <c r="I1383" s="2659"/>
      <c r="J1383" s="2659"/>
      <c r="K1383" s="2659"/>
      <c r="L1383" s="2561"/>
      <c r="M1383" s="2561"/>
      <c r="N1383" s="2561"/>
      <c r="O1383" s="2561"/>
      <c r="P1383" s="2561"/>
      <c r="Q1383" s="2561"/>
    </row>
    <row r="1384" spans="1:17" ht="56.25">
      <c r="A1384" s="2661" t="str">
        <f>'Part VIII-Threshold Criteria'!A290</f>
        <v>The Applicant agrees with items A &amp; B above.</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4152</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4779</v>
      </c>
    </row>
    <row r="1389" spans="1:17" ht="12.75" customHeight="1">
      <c r="A1389" s="2698"/>
      <c r="B1389" s="2712" t="s">
        <v>1750</v>
      </c>
      <c r="C1389" s="2661" t="s">
        <v>3942</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3943</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3941</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2001</v>
      </c>
      <c r="B1392" s="2544" t="s">
        <v>3908</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4780</v>
      </c>
      <c r="D1393" s="2661"/>
      <c r="E1393" s="2661"/>
      <c r="F1393" s="2661"/>
      <c r="G1393" s="2661"/>
      <c r="H1393" s="2661"/>
      <c r="I1393" s="2686"/>
      <c r="J1393" s="2669" t="s">
        <v>3822</v>
      </c>
      <c r="K1393" s="2724"/>
      <c r="L1393" s="2724"/>
      <c r="M1393" s="2731" t="s">
        <v>3790</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3791</v>
      </c>
      <c r="N1394" s="2659" t="s">
        <v>3821</v>
      </c>
      <c r="O1394" s="2350"/>
      <c r="P1394" s="2372"/>
      <c r="Q1394" s="2350"/>
    </row>
    <row r="1395" spans="1:17">
      <c r="A1395" s="2353"/>
      <c r="B1395" s="2350"/>
      <c r="C1395" s="2661"/>
      <c r="D1395" s="2661"/>
      <c r="E1395" s="2661"/>
      <c r="F1395" s="2661"/>
      <c r="G1395" s="2661"/>
      <c r="H1395" s="2661"/>
      <c r="I1395" s="478" t="s">
        <v>4172</v>
      </c>
      <c r="J1395" s="2350"/>
      <c r="K1395" s="2732">
        <f>'Part VIII-Threshold Criteria'!K301</f>
        <v>3</v>
      </c>
      <c r="L1395" s="2351" t="str">
        <f>IF(K1395&lt;M1395,"Check!!!","")</f>
        <v/>
      </c>
      <c r="M1395" s="2733">
        <f>'Part VIII-Threshold Criteria'!M301</f>
        <v>3</v>
      </c>
      <c r="N1395" s="2734">
        <f>'DCA Underwriting Assumptions'!$Q$136</f>
        <v>0.05</v>
      </c>
      <c r="O1395" s="2702" t="s">
        <v>3664</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4781</v>
      </c>
      <c r="D1397" s="2661"/>
      <c r="E1397" s="2661"/>
      <c r="F1397" s="2661"/>
      <c r="G1397" s="2661"/>
      <c r="H1397" s="2661"/>
      <c r="I1397" s="2735" t="s">
        <v>4173</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4782</v>
      </c>
      <c r="D1399" s="2661"/>
      <c r="E1399" s="2661"/>
      <c r="F1399" s="2661"/>
      <c r="G1399" s="2661"/>
      <c r="H1399" s="2661"/>
      <c r="I1399" s="478" t="s">
        <v>4174</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3909</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3666</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3667</v>
      </c>
      <c r="C1404" s="2354"/>
      <c r="D1404" s="2686"/>
      <c r="E1404" s="2686"/>
      <c r="F1404" s="2686"/>
      <c r="G1404" s="2686"/>
      <c r="H1404" s="2686"/>
      <c r="I1404" s="2686" t="s">
        <v>3789</v>
      </c>
      <c r="J1404" s="2686"/>
      <c r="K1404" s="2686"/>
      <c r="L1404" s="2686" t="str">
        <f>'Part VIII-Threshold Criteria'!L310</f>
        <v>Zeffert &amp; Associates</v>
      </c>
      <c r="M1404" s="2686">
        <f>'Part VIII-Threshold Criteria'!M310</f>
        <v>0</v>
      </c>
      <c r="N1404" s="2686">
        <f>'Part VIII-Threshold Criteria'!N310</f>
        <v>0</v>
      </c>
      <c r="O1404" s="2686"/>
      <c r="P1404" s="2686"/>
      <c r="Q1404" s="2686"/>
    </row>
    <row r="1405" spans="1:17" ht="12.75" customHeight="1">
      <c r="A1405" s="2678"/>
      <c r="B1405" s="2712" t="s">
        <v>1750</v>
      </c>
      <c r="C1405" s="2661" t="s">
        <v>3665</v>
      </c>
      <c r="D1405" s="2661"/>
      <c r="E1405" s="2661"/>
      <c r="F1405" s="2661"/>
      <c r="G1405" s="2661"/>
      <c r="H1405" s="2661"/>
      <c r="I1405" s="2661"/>
      <c r="J1405" s="2661"/>
      <c r="K1405" s="2661"/>
      <c r="L1405" s="2661"/>
      <c r="M1405" s="2661"/>
      <c r="N1405" s="2661"/>
      <c r="O1405" s="2712" t="s">
        <v>3670</v>
      </c>
      <c r="P1405" s="2713" t="str">
        <f>'Part VIII-Threshold Criteria'!P311</f>
        <v>Yes</v>
      </c>
      <c r="Q1405" s="2713">
        <f>'Part VIII-Threshold Criteria'!Q311</f>
        <v>0</v>
      </c>
    </row>
    <row r="1406" spans="1:17" ht="12.75" customHeight="1">
      <c r="A1406" s="2678"/>
      <c r="B1406" s="2712" t="s">
        <v>1751</v>
      </c>
      <c r="C1406" s="2661" t="s">
        <v>3710</v>
      </c>
      <c r="D1406" s="2661"/>
      <c r="E1406" s="2661"/>
      <c r="F1406" s="2661"/>
      <c r="G1406" s="2661"/>
      <c r="H1406" s="2661"/>
      <c r="I1406" s="2661"/>
      <c r="J1406" s="2661"/>
      <c r="K1406" s="2661"/>
      <c r="L1406" s="2661"/>
      <c r="M1406" s="2661"/>
      <c r="N1406" s="2661"/>
      <c r="O1406" s="2712" t="s">
        <v>3671</v>
      </c>
      <c r="P1406" s="2713" t="str">
        <f>'Part VIII-Threshold Criteria'!P312</f>
        <v>Yes</v>
      </c>
      <c r="Q1406" s="2713">
        <f>'Part VIII-Threshold Criteria'!Q312</f>
        <v>0</v>
      </c>
    </row>
    <row r="1407" spans="1:17" ht="12.75" customHeight="1">
      <c r="A1407" s="2678"/>
      <c r="B1407" s="2712" t="s">
        <v>1752</v>
      </c>
      <c r="C1407" s="2661" t="s">
        <v>3668</v>
      </c>
      <c r="D1407" s="2661"/>
      <c r="E1407" s="2661"/>
      <c r="F1407" s="2661"/>
      <c r="G1407" s="2661"/>
      <c r="H1407" s="2661"/>
      <c r="I1407" s="2661"/>
      <c r="J1407" s="2661"/>
      <c r="K1407" s="2661"/>
      <c r="L1407" s="2661"/>
      <c r="M1407" s="2661"/>
      <c r="N1407" s="2661"/>
      <c r="O1407" s="2712" t="s">
        <v>3672</v>
      </c>
      <c r="P1407" s="2713" t="str">
        <f>'Part VIII-Threshold Criteria'!P313</f>
        <v>Yes</v>
      </c>
      <c r="Q1407" s="2713">
        <f>'Part VIII-Threshold Criteria'!Q313</f>
        <v>0</v>
      </c>
    </row>
    <row r="1408" spans="1:17" ht="12.75" customHeight="1">
      <c r="A1408" s="2678"/>
      <c r="B1408" s="2712" t="s">
        <v>2381</v>
      </c>
      <c r="C1408" s="2661" t="s">
        <v>3669</v>
      </c>
      <c r="D1408" s="2661"/>
      <c r="E1408" s="2661"/>
      <c r="F1408" s="2661"/>
      <c r="G1408" s="2661"/>
      <c r="H1408" s="2661"/>
      <c r="I1408" s="2661"/>
      <c r="J1408" s="2661"/>
      <c r="K1408" s="2661"/>
      <c r="L1408" s="2661"/>
      <c r="M1408" s="2661"/>
      <c r="N1408" s="2661"/>
      <c r="O1408" s="2712" t="s">
        <v>3673</v>
      </c>
      <c r="P1408" s="2713" t="str">
        <f>'Part VIII-Threshold Criteria'!P314</f>
        <v>Yes</v>
      </c>
      <c r="Q1408" s="2713">
        <f>'Part VIII-Threshold Criteria'!Q314</f>
        <v>0</v>
      </c>
    </row>
    <row r="1409" spans="1:17">
      <c r="B1409" s="2598" t="s">
        <v>3780</v>
      </c>
      <c r="D1409" s="2598"/>
      <c r="E1409" s="2598"/>
      <c r="F1409" s="2598"/>
      <c r="G1409" s="2598"/>
      <c r="H1409" s="2597"/>
      <c r="I1409" s="2659"/>
      <c r="J1409" s="2659"/>
      <c r="K1409" s="2659"/>
      <c r="L1409" s="2561"/>
      <c r="M1409" s="2561"/>
      <c r="N1409" s="2561"/>
      <c r="O1409" s="2561"/>
      <c r="P1409" s="2561"/>
      <c r="Q1409" s="2561"/>
    </row>
    <row r="1410" spans="1:17" ht="191.25">
      <c r="A1410" s="2661" t="str">
        <f>'Part VIII-Threshold Criteria'!A316</f>
        <v>The Applicant will follow all required accessibility standards and retain a DCA qualified consultant.  The Applicant has not requested a waiver of these standards.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4150</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4783</v>
      </c>
      <c r="D1416" s="2597"/>
      <c r="E1416" s="2597"/>
      <c r="F1416" s="2597"/>
      <c r="G1416" s="2597"/>
      <c r="H1416" s="2597"/>
      <c r="I1416" s="2597"/>
      <c r="J1416" s="2597"/>
      <c r="K1416" s="2597"/>
      <c r="L1416" s="2597"/>
      <c r="M1416" s="2597"/>
      <c r="N1416" s="2712"/>
    </row>
    <row r="1417" spans="1:17" ht="12.75" customHeight="1">
      <c r="B1417" s="2661" t="s">
        <v>2900</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4784</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3780</v>
      </c>
      <c r="D1426" s="2598"/>
      <c r="E1426" s="2598"/>
      <c r="F1426" s="2598"/>
      <c r="G1426" s="2598"/>
      <c r="H1426" s="2597"/>
      <c r="I1426" s="2659"/>
      <c r="J1426" s="2659"/>
      <c r="K1426" s="2659"/>
      <c r="L1426" s="2561"/>
      <c r="M1426" s="2561"/>
      <c r="N1426" s="2561"/>
      <c r="O1426" s="2561"/>
      <c r="P1426" s="2561"/>
      <c r="Q1426" s="2561"/>
    </row>
    <row r="1427" spans="1:17" ht="67.5">
      <c r="A1427" s="2661" t="str">
        <f>'Part VIII-Threshold Criteria'!A333</f>
        <v>Architectural documentation is included in tab 15.</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4153</v>
      </c>
      <c r="B1430" s="2544" t="s">
        <v>4192</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3947</v>
      </c>
      <c r="O1431" s="2712" t="s">
        <v>1999</v>
      </c>
      <c r="P1431" s="2667" t="str">
        <f>'Part VIII-Threshold Criteria'!P337</f>
        <v>Yes</v>
      </c>
      <c r="Q1431" s="2667">
        <f>'Part VIII-Threshold Criteria'!Q337</f>
        <v>0</v>
      </c>
    </row>
    <row r="1432" spans="1:17">
      <c r="A1432" s="2698" t="s">
        <v>2001</v>
      </c>
      <c r="B1432" s="1156" t="s">
        <v>4137</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3871</v>
      </c>
      <c r="O1434" s="2702" t="s">
        <v>2131</v>
      </c>
      <c r="P1434" s="2667" t="str">
        <f>'Part VIII-Threshold Criteria'!P340</f>
        <v>No</v>
      </c>
      <c r="Q1434" s="2667">
        <f>'Part VIII-Threshold Criteria'!Q340</f>
        <v>0</v>
      </c>
    </row>
    <row r="1435" spans="1:17">
      <c r="A1435" s="2698" t="s">
        <v>1748</v>
      </c>
      <c r="B1435" s="1156" t="s">
        <v>2903</v>
      </c>
      <c r="N1435" s="2712" t="s">
        <v>1748</v>
      </c>
      <c r="O1435" s="2367" t="str">
        <f>'Part VIII-Threshold Criteria'!O341</f>
        <v>Certifying Principal</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3780</v>
      </c>
      <c r="D1437" s="2598"/>
      <c r="E1437" s="2598"/>
      <c r="F1437" s="2598"/>
      <c r="G1437" s="2598"/>
      <c r="H1437" s="2597"/>
      <c r="I1437" s="2659"/>
      <c r="J1437" s="2659"/>
      <c r="K1437" s="2659"/>
      <c r="L1437" s="2561"/>
      <c r="M1437" s="2561"/>
      <c r="N1437" s="2561"/>
      <c r="O1437" s="2561"/>
      <c r="P1437" s="2561"/>
      <c r="Q1437" s="2561"/>
    </row>
    <row r="1438" spans="1:17" ht="409.5">
      <c r="A1438" s="2661" t="str">
        <f>'Part VIII-Threshold Criteria'!A344</f>
        <v xml:space="preserve">Josh Thomason is the Certifying Principal of the Project Team.  The Project Team for the Applicant applied for a qualification determination during the 2018 pre-application for Cartmell Senior Village (PA18-036) and received a determination of "Qualified".   The Project Team for Cartmell Senior Village is identical to the Project Team for Pointe North Village III.  Furthermore, the development types (new construction) and number of units (46 and 54) are similar for Cartmell Senior Village and Pointe North Village III.  Therefore, the Project Team for Pointe North Village III is also qualified.  A copy of the Qualification Determination Letter received for Cartmell Senior Village (PA18-036) signed by the Applicant has been included in Tab 19 (XIX) "Qualifications for General Project Participants". </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4154</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3682</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3880</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4138</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3780</v>
      </c>
      <c r="D1445" s="2598"/>
      <c r="E1445" s="2598"/>
      <c r="F1445" s="2598"/>
      <c r="G1445" s="2598"/>
      <c r="H1445" s="2597"/>
      <c r="I1445" s="2659"/>
      <c r="J1445" s="2659"/>
      <c r="K1445" s="2659"/>
      <c r="L1445" s="2561"/>
      <c r="M1445" s="2561"/>
      <c r="N1445" s="2561"/>
      <c r="O1445" s="2561"/>
      <c r="P1445" s="2561"/>
      <c r="Q1445" s="2561"/>
    </row>
    <row r="1446" spans="1:17" ht="409.5">
      <c r="A1446" s="2661" t="str">
        <f>'Part VIII-Threshold Criteria'!A352</f>
        <v>A pre-application was submitted for Cartmell Senior Village (PA18-036) and the Project Team for Cartmell Senior Village received a determination of "Complete".  The Project Team for Pointe North Village III is identical to the Project Team for Cartmell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2018 pre-application.</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4157</v>
      </c>
      <c r="B1450" s="2543" t="s">
        <v>4124</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4125</v>
      </c>
      <c r="D1451" s="2559"/>
      <c r="E1451" s="2559"/>
      <c r="F1451" s="2559"/>
      <c r="G1451" s="2559"/>
      <c r="H1451" s="2702" t="s">
        <v>1999</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4126</v>
      </c>
      <c r="D1452" s="2559"/>
      <c r="E1452" s="2559"/>
      <c r="F1452" s="2559"/>
      <c r="G1452" s="2559"/>
      <c r="H1452" s="2712" t="s">
        <v>2001</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4116</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2131</v>
      </c>
      <c r="B1454" s="2661" t="s">
        <v>4117</v>
      </c>
      <c r="C1454" s="2661"/>
      <c r="D1454" s="2661"/>
      <c r="E1454" s="2661"/>
      <c r="F1454" s="2661"/>
      <c r="G1454" s="2661"/>
      <c r="H1454" s="2661"/>
      <c r="I1454" s="2661"/>
      <c r="J1454" s="2661"/>
      <c r="K1454" s="2661"/>
      <c r="L1454" s="2661"/>
      <c r="M1454" s="2661"/>
      <c r="N1454" s="2661"/>
      <c r="O1454" s="2702" t="s">
        <v>2131</v>
      </c>
      <c r="P1454" s="2713">
        <f>'Part VIII-Threshold Criteria'!P360</f>
        <v>0</v>
      </c>
      <c r="Q1454" s="2713">
        <f>'Part VIII-Threshold Criteria'!Q360</f>
        <v>0</v>
      </c>
    </row>
    <row r="1455" spans="1:17">
      <c r="A1455" s="2698" t="s">
        <v>1748</v>
      </c>
      <c r="B1455" s="478" t="s">
        <v>4118</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4119</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1962</v>
      </c>
      <c r="B1457" s="2686" t="s">
        <v>4120</v>
      </c>
      <c r="C1457" s="2678"/>
      <c r="D1457" s="2661"/>
      <c r="E1457" s="2661"/>
      <c r="F1457" s="2661"/>
      <c r="G1457" s="2661"/>
      <c r="H1457" s="2661"/>
      <c r="I1457" s="2661"/>
      <c r="J1457" s="2661"/>
      <c r="K1457" s="2661"/>
      <c r="L1457" s="2661"/>
      <c r="M1457" s="2661"/>
      <c r="N1457" s="2661"/>
      <c r="O1457" s="2712" t="s">
        <v>1962</v>
      </c>
      <c r="P1457" s="2713">
        <f>'Part VIII-Threshold Criteria'!P363</f>
        <v>0</v>
      </c>
      <c r="Q1457" s="2713">
        <f>'Part VIII-Threshold Criteria'!Q363</f>
        <v>0</v>
      </c>
    </row>
    <row r="1458" spans="1:17">
      <c r="A1458" s="2678"/>
      <c r="B1458" s="2678"/>
      <c r="C1458" s="2721" t="s">
        <v>4785</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3392</v>
      </c>
      <c r="B1459" s="2661" t="s">
        <v>4121</v>
      </c>
      <c r="C1459" s="2661"/>
      <c r="D1459" s="2661"/>
      <c r="E1459" s="2661"/>
      <c r="F1459" s="2661"/>
      <c r="G1459" s="2661"/>
      <c r="H1459" s="2661"/>
      <c r="I1459" s="2661"/>
      <c r="J1459" s="2661"/>
      <c r="K1459" s="2661"/>
      <c r="L1459" s="2661"/>
      <c r="M1459" s="2661"/>
      <c r="N1459" s="2661"/>
      <c r="O1459" s="2712" t="s">
        <v>3392</v>
      </c>
      <c r="P1459" s="2713">
        <f>'Part VIII-Threshold Criteria'!P365</f>
        <v>0</v>
      </c>
      <c r="Q1459" s="2713">
        <f>'Part VIII-Threshold Criteria'!Q365</f>
        <v>0</v>
      </c>
    </row>
    <row r="1460" spans="1:17" ht="12.75" customHeight="1">
      <c r="A1460" s="2698" t="s">
        <v>622</v>
      </c>
      <c r="B1460" s="2661" t="s">
        <v>4122</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3780</v>
      </c>
      <c r="D1461" s="2598"/>
      <c r="E1461" s="2598"/>
      <c r="F1461" s="2598"/>
      <c r="G1461" s="2598"/>
      <c r="H1461" s="2597"/>
      <c r="I1461" s="2659"/>
      <c r="J1461" s="2659"/>
      <c r="K1461" s="2659"/>
      <c r="L1461" s="2561"/>
      <c r="M1461" s="2561"/>
      <c r="N1461" s="2561"/>
      <c r="O1461" s="2561"/>
      <c r="P1461" s="2561"/>
      <c r="Q1461" s="2561"/>
    </row>
    <row r="1462" spans="1:17" ht="123.75">
      <c r="A1462" s="2661" t="str">
        <f>'Part VIII-Threshold Criteria'!A368</f>
        <v>Not Applicable - The Applicant is a for-profit entity and is not competing under the non-profit set-aside.</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4158</v>
      </c>
      <c r="B1466" s="2543" t="s">
        <v>3948</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3950</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4175</v>
      </c>
      <c r="D1468" s="478"/>
      <c r="E1468" s="478"/>
      <c r="F1468" s="478"/>
      <c r="G1468" s="2658">
        <f>'Part VIII-Threshold Criteria'!G374</f>
        <v>0</v>
      </c>
      <c r="H1468" s="2658">
        <f>'Part VIII-Threshold Criteria'!H374</f>
        <v>0</v>
      </c>
      <c r="I1468" s="2658">
        <f>'Part VIII-Threshold Criteria'!I374</f>
        <v>0</v>
      </c>
      <c r="J1468" s="2659" t="s">
        <v>3957</v>
      </c>
      <c r="K1468" s="2658">
        <f>'Part VIII-Threshold Criteria'!K374</f>
        <v>0</v>
      </c>
      <c r="L1468" s="2658">
        <f>'Part VIII-Threshold Criteria'!L374</f>
        <v>0</v>
      </c>
      <c r="M1468" s="2658">
        <f>'Part VIII-Threshold Criteria'!M374</f>
        <v>0</v>
      </c>
      <c r="N1468" s="478" t="s">
        <v>3949</v>
      </c>
      <c r="O1468" s="478"/>
      <c r="P1468" s="2658">
        <f>'Part VIII-Threshold Criteria'!P374</f>
        <v>0</v>
      </c>
      <c r="Q1468" s="2658">
        <f>'Part VIII-Threshold Criteria'!Q374</f>
        <v>0</v>
      </c>
    </row>
    <row r="1469" spans="1:17">
      <c r="A1469" s="2354"/>
      <c r="B1469" s="478" t="s">
        <v>1751</v>
      </c>
      <c r="C1469" s="478" t="s">
        <v>3951</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3952</v>
      </c>
      <c r="D1470" s="2553"/>
      <c r="E1470" s="2626"/>
      <c r="F1470" s="2703" t="str">
        <f>'Part VIII-Threshold Criteria'!F376</f>
        <v>Urban</v>
      </c>
      <c r="G1470" s="2703">
        <f>'Part VIII-Threshold Criteria'!G376</f>
        <v>0</v>
      </c>
      <c r="H1470" s="2591" t="s">
        <v>3953</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3954</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3964</v>
      </c>
      <c r="O1471" s="2702"/>
      <c r="P1471" s="2667">
        <f>'Part VIII-Threshold Criteria'!P377</f>
        <v>0</v>
      </c>
      <c r="Q1471" s="2667">
        <f>'Part VIII-Threshold Criteria'!Q377</f>
        <v>0</v>
      </c>
    </row>
    <row r="1472" spans="1:17">
      <c r="A1472" s="2700"/>
      <c r="B1472" s="478" t="s">
        <v>1561</v>
      </c>
      <c r="C1472" s="478" t="s">
        <v>3955</v>
      </c>
      <c r="D1472" s="2354"/>
      <c r="E1472" s="478"/>
      <c r="F1472" s="2738">
        <f>'Part VIII-Threshold Criteria'!F378</f>
        <v>772998</v>
      </c>
      <c r="G1472" s="2738">
        <f>'Part VIII-Threshold Criteria'!G378</f>
        <v>0</v>
      </c>
      <c r="H1472" s="478" t="s">
        <v>3956</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3958</v>
      </c>
      <c r="D1473" s="2354"/>
      <c r="E1473" s="478"/>
      <c r="F1473" s="478"/>
      <c r="G1473" s="478"/>
      <c r="H1473" s="478" t="s">
        <v>3618</v>
      </c>
      <c r="I1473" s="478"/>
      <c r="J1473" s="2738">
        <f>'Part VIII-Threshold Criteria'!J379</f>
        <v>0</v>
      </c>
      <c r="K1473" s="2738">
        <f>'Part VIII-Threshold Criteria'!K379</f>
        <v>0</v>
      </c>
      <c r="L1473" s="478" t="s">
        <v>3959</v>
      </c>
      <c r="M1473" s="2738">
        <f>'Part VIII-Threshold Criteria'!M379</f>
        <v>0</v>
      </c>
      <c r="N1473" s="2738">
        <f>'Part VIII-Threshold Criteria'!N379</f>
        <v>0</v>
      </c>
      <c r="O1473" s="2354"/>
      <c r="P1473" s="2354"/>
      <c r="Q1473" s="2354"/>
    </row>
    <row r="1474" spans="1:17">
      <c r="A1474" s="2354"/>
      <c r="B1474" s="478" t="s">
        <v>99</v>
      </c>
      <c r="C1474" s="478" t="s">
        <v>3960</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3961</v>
      </c>
      <c r="C1476" s="2354"/>
      <c r="D1476" s="2626"/>
      <c r="E1476" s="2626"/>
      <c r="F1476" s="2626"/>
      <c r="G1476" s="2626"/>
      <c r="H1476" s="2626"/>
      <c r="I1476" s="2354"/>
      <c r="J1476" s="478" t="s">
        <v>3966</v>
      </c>
      <c r="K1476" s="478"/>
      <c r="L1476" s="478"/>
      <c r="M1476" s="478"/>
      <c r="N1476" s="2626" t="s">
        <v>3963</v>
      </c>
      <c r="O1476" s="2626"/>
      <c r="P1476" s="2626"/>
      <c r="Q1476" s="2626"/>
    </row>
    <row r="1477" spans="1:17">
      <c r="A1477" s="2354"/>
      <c r="B1477" s="478" t="s">
        <v>1750</v>
      </c>
      <c r="C1477" s="2597" t="s">
        <v>3962</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3965</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3967</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3780</v>
      </c>
      <c r="D1480" s="2598"/>
      <c r="E1480" s="2598"/>
      <c r="F1480" s="2598"/>
      <c r="G1480" s="2598"/>
      <c r="H1480" s="2597"/>
      <c r="I1480" s="2659"/>
      <c r="J1480" s="2659"/>
      <c r="K1480" s="2659"/>
      <c r="L1480" s="2561"/>
      <c r="M1480" s="2561"/>
      <c r="N1480" s="2561"/>
      <c r="O1480" s="2561"/>
      <c r="P1480" s="2561"/>
      <c r="Q1480" s="2561"/>
    </row>
    <row r="1481" spans="1:17" ht="112.5">
      <c r="A1481" s="2661" t="str">
        <f>'Part VIII-Threshold Criteria'!A387</f>
        <v>Not Applicable - The Applicant is not participating in the Rural HOME Preservation Set Aside.</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4159</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3487</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3497</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3725</v>
      </c>
      <c r="G1490" s="2591"/>
      <c r="H1490" s="2591"/>
      <c r="I1490" s="2591"/>
      <c r="J1490" s="2597" t="s">
        <v>3726</v>
      </c>
      <c r="L1490" s="2591"/>
      <c r="M1490" s="2741">
        <f>'Part III-Sources of Funds'!E1105</f>
        <v>0</v>
      </c>
      <c r="N1490" s="2741"/>
      <c r="O1490" s="2702" t="s">
        <v>2131</v>
      </c>
      <c r="P1490" s="2667">
        <f>'Part VIII-Threshold Criteria'!P396</f>
        <v>0</v>
      </c>
      <c r="Q1490" s="2667">
        <f>'Part VIII-Threshold Criteria'!Q396</f>
        <v>0</v>
      </c>
    </row>
    <row r="1491" spans="1:17">
      <c r="B1491" s="2598" t="s">
        <v>3780</v>
      </c>
      <c r="D1491" s="2598"/>
      <c r="E1491" s="2598"/>
      <c r="F1491" s="2598"/>
      <c r="G1491" s="2598"/>
      <c r="H1491" s="2597"/>
      <c r="I1491" s="2659"/>
      <c r="J1491" s="2659"/>
      <c r="K1491" s="2659"/>
      <c r="L1491" s="2561"/>
      <c r="M1491" s="2561"/>
      <c r="N1491" s="2561"/>
      <c r="O1491" s="2561"/>
      <c r="P1491" s="2561"/>
      <c r="Q1491" s="2561"/>
    </row>
    <row r="1492" spans="1:17" ht="112.5">
      <c r="A1492" s="2661" t="str">
        <f>'Part VIII-Threshold Criteria'!A398</f>
        <v>Not Applicable - The Applicant is not a CHDO and is not participating in the CHDO HOME Set 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4160</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t="str">
        <f>'Part VIII-Threshold Criteria'!P403</f>
        <v>No</v>
      </c>
      <c r="Q1497" s="2667">
        <f>'Part VIII-Threshold Criteria'!Q403</f>
        <v>0</v>
      </c>
    </row>
    <row r="1498" spans="1:17">
      <c r="A1498" s="2700" t="s">
        <v>2001</v>
      </c>
      <c r="B1498" s="478" t="s">
        <v>3608</v>
      </c>
      <c r="D1498" s="2661"/>
      <c r="E1498" s="2661"/>
      <c r="O1498" s="2702" t="s">
        <v>2001</v>
      </c>
      <c r="P1498" s="2667" t="str">
        <f>'Part VIII-Threshold Criteria'!P404</f>
        <v>No</v>
      </c>
      <c r="Q1498" s="2667">
        <f>'Part VIII-Threshold Criteria'!Q404</f>
        <v>0</v>
      </c>
    </row>
    <row r="1499" spans="1:17">
      <c r="A1499" s="2700" t="s">
        <v>757</v>
      </c>
      <c r="B1499" s="478" t="s">
        <v>4123</v>
      </c>
      <c r="D1499" s="2661"/>
      <c r="E1499" s="2661"/>
      <c r="O1499" s="2702" t="s">
        <v>757</v>
      </c>
      <c r="P1499" s="2667" t="str">
        <f>'Part VIII-Threshold Criteria'!P405</f>
        <v>No</v>
      </c>
      <c r="Q1499" s="2667">
        <f>'Part VIII-Threshold Criteria'!Q405</f>
        <v>0</v>
      </c>
    </row>
    <row r="1500" spans="1:17">
      <c r="A1500" s="2700" t="s">
        <v>2131</v>
      </c>
      <c r="B1500" s="478" t="s">
        <v>3609</v>
      </c>
      <c r="E1500" s="2686"/>
      <c r="O1500" s="2702" t="s">
        <v>2131</v>
      </c>
      <c r="P1500" s="2667" t="str">
        <f>'Part VIII-Threshold Criteria'!P406</f>
        <v>No</v>
      </c>
      <c r="Q1500" s="2667">
        <f>'Part VIII-Threshold Criteria'!Q406</f>
        <v>0</v>
      </c>
    </row>
    <row r="1501" spans="1:17">
      <c r="A1501" s="2700" t="s">
        <v>1748</v>
      </c>
      <c r="B1501" s="478" t="s">
        <v>2095</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No</v>
      </c>
      <c r="Q1501" s="2667">
        <f>'Part VIII-Threshold Criteria'!Q407</f>
        <v>0</v>
      </c>
    </row>
    <row r="1502" spans="1:17">
      <c r="B1502" s="2598" t="s">
        <v>3780</v>
      </c>
      <c r="D1502" s="2598"/>
      <c r="E1502" s="2598"/>
      <c r="F1502" s="2598"/>
      <c r="G1502" s="2598"/>
      <c r="H1502" s="2597"/>
      <c r="I1502" s="2659"/>
      <c r="J1502" s="2659"/>
      <c r="K1502" s="2659"/>
      <c r="L1502" s="2561"/>
      <c r="M1502" s="2561"/>
      <c r="N1502" s="2561"/>
      <c r="O1502" s="2561"/>
      <c r="P1502" s="2561"/>
      <c r="Q1502" s="2561"/>
    </row>
    <row r="1503" spans="1:17" ht="112.5">
      <c r="A1503" s="2661" t="str">
        <f>'Part VIII-Threshold Criteria'!A409</f>
        <v>Not Applicable - The Applicant is not required to submit the legal opinions noted in this section.</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4161</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No</v>
      </c>
      <c r="Q1508" s="2667">
        <f>'Part VIII-Threshold Criteria'!Q414</f>
        <v>0</v>
      </c>
    </row>
    <row r="1509" spans="1:17">
      <c r="A1509" s="2700" t="s">
        <v>2001</v>
      </c>
      <c r="B1509" s="478" t="s">
        <v>3499</v>
      </c>
      <c r="D1509" s="2354"/>
      <c r="E1509" s="2354"/>
      <c r="F1509" s="2354"/>
      <c r="G1509" s="2354"/>
      <c r="H1509" s="2354"/>
      <c r="I1509" s="2354"/>
      <c r="J1509" s="2354"/>
      <c r="K1509" s="2354"/>
      <c r="L1509" s="2354"/>
      <c r="M1509" s="2354"/>
      <c r="N1509" s="2354"/>
      <c r="O1509" s="2702" t="s">
        <v>1458</v>
      </c>
      <c r="P1509" s="2667" t="str">
        <f>'Part VIII-Threshold Criteria'!P415</f>
        <v>No</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3498</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3595</v>
      </c>
      <c r="C1512" s="478" t="s">
        <v>3596</v>
      </c>
      <c r="E1512" s="478"/>
      <c r="F1512" s="478"/>
      <c r="G1512" s="478"/>
      <c r="H1512" s="478"/>
      <c r="I1512" s="478"/>
      <c r="J1512" s="478"/>
      <c r="K1512" s="478"/>
      <c r="L1512" s="478"/>
      <c r="M1512" s="478"/>
      <c r="N1512" s="2354"/>
      <c r="O1512" s="2702" t="s">
        <v>1752</v>
      </c>
      <c r="P1512" s="2667" t="str">
        <f>'Part VIII-Threshold Criteria'!P418</f>
        <v>No</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3780</v>
      </c>
      <c r="D1521" s="2598"/>
      <c r="E1521" s="2598"/>
      <c r="F1521" s="2598"/>
      <c r="G1521" s="2598"/>
      <c r="H1521" s="2597"/>
      <c r="I1521" s="2659"/>
      <c r="J1521" s="2659"/>
      <c r="K1521" s="2659"/>
      <c r="P1521" s="2561"/>
      <c r="Q1521" s="2561"/>
    </row>
    <row r="1522" spans="1:17" ht="157.5">
      <c r="A1522" s="2661" t="str">
        <f>'Part VIII-Threshold Criteria'!A428</f>
        <v>Not Applicable - The proposed development is 100% new construction and will not result in the relocation/displacement of existing tenants.</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4162</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3968</v>
      </c>
      <c r="C1527" s="2543"/>
      <c r="D1527" s="2658"/>
      <c r="E1527" s="2664"/>
      <c r="F1527" s="2664"/>
      <c r="G1527" s="2664"/>
      <c r="H1527" s="2664"/>
    </row>
    <row r="1528" spans="1:17" ht="12.75" customHeight="1">
      <c r="A1528" s="2698" t="s">
        <v>1999</v>
      </c>
      <c r="B1528" s="2661" t="s">
        <v>3971</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3969</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3970</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3972</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3973</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3974</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3975</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3976</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3977</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3500</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3780</v>
      </c>
      <c r="D1538" s="2598"/>
      <c r="E1538" s="2598"/>
      <c r="F1538" s="2598"/>
      <c r="G1538" s="2598"/>
      <c r="H1538" s="2597"/>
      <c r="I1538" s="2659"/>
      <c r="J1538" s="2659"/>
      <c r="K1538" s="2659"/>
      <c r="L1538" s="2561"/>
      <c r="M1538" s="2561"/>
      <c r="N1538" s="2561"/>
      <c r="O1538" s="2561"/>
      <c r="P1538" s="2561"/>
      <c r="Q1538" s="2561"/>
    </row>
    <row r="1539" spans="1:17" ht="180">
      <c r="A1539" s="2661" t="str">
        <f>'Part VIII-Threshold Criteria'!A445</f>
        <v>The Applicant agrees to prepare and submit an AFFH marketing plan that includes items A-F noted in this section if the applicant is selected for funding.</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4163</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3780</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The Applicant has prepared the application within the parameters of DCA's underwriting policies noted in the QAP and belives that all estimated costs are reasonable.  The proposed development includes units that have reasonable square footage.  Therefore, the Applicant believes the proposed development consititutes an optimal unitilization of resources.</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2018-041 Pointe North Village III,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4786</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57</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4787</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3674</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4788</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4194</v>
      </c>
      <c r="D1567" s="478"/>
      <c r="E1567" s="478"/>
      <c r="F1567" s="478"/>
      <c r="G1567" s="2625"/>
      <c r="H1567" s="2356" t="s">
        <v>4788</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3872</v>
      </c>
      <c r="B1568" s="2586"/>
      <c r="C1568" s="2586"/>
      <c r="D1568" s="2586"/>
      <c r="E1568" s="2586"/>
      <c r="F1568" s="2659" t="s">
        <v>4197</v>
      </c>
      <c r="G1568" s="2354"/>
      <c r="H1568" s="2354"/>
      <c r="I1568" s="2354"/>
      <c r="J1568" s="2659" t="s">
        <v>4197</v>
      </c>
      <c r="K1568" s="2659"/>
      <c r="L1568" s="2354"/>
      <c r="M1568" s="2354"/>
      <c r="N1568" s="2354"/>
      <c r="O1568" s="478" t="s">
        <v>4197</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3610</v>
      </c>
      <c r="H1569" s="2703"/>
      <c r="I1569" s="2703"/>
      <c r="J1569" s="2562">
        <f>SUM(J1570:J1581)</f>
        <v>0</v>
      </c>
      <c r="K1569" s="2658" t="s">
        <v>3394</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2925</v>
      </c>
      <c r="K1572" s="2432">
        <f>'Part IX A-Scoring Criteria'!K18</f>
        <v>3</v>
      </c>
      <c r="L1572" s="2432">
        <f>'Part IX A-Scoring Criteria'!L18</f>
        <v>0</v>
      </c>
      <c r="M1572" s="2432">
        <f>'Part IX A-Scoring Criteria'!M18</f>
        <v>0</v>
      </c>
      <c r="N1572" s="2432">
        <f>'Part IX A-Scoring Criteria'!N18</f>
        <v>0</v>
      </c>
      <c r="O1572" s="2736" t="s">
        <v>2925</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2925</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3611</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3612</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3613</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3614</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4789</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4198</v>
      </c>
      <c r="B1583" s="478" t="s">
        <v>4199</v>
      </c>
      <c r="C1583" s="478"/>
      <c r="D1583" s="478"/>
      <c r="E1583" s="2473" t="s">
        <v>4226</v>
      </c>
      <c r="F1583" s="478" t="s">
        <v>4225</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409.5">
      <c r="A1584" s="2761" t="s">
        <v>750</v>
      </c>
      <c r="B1584" s="2762" t="s">
        <v>4200</v>
      </c>
      <c r="C1584" s="2432"/>
      <c r="D1584" s="2432"/>
      <c r="E1584" s="2763">
        <f>'Part IX A-Scoring Criteria'!E30</f>
        <v>10</v>
      </c>
      <c r="F1584" s="2666" t="str">
        <f>'Part IX A-Scoring Criteria'!F30</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.5 miles of six (6) desirable activities/characteristics thereby qualifying the Applicant for twelve (12) points AND
The proposed project site is located within 1.5 miles of six (6) desirable activities/characteristics thereby qualifying the Applicant for six (6) points.  
The Applicant is not aware of any Undesirable/Inefficient Site Activities/Characteristics located within 1/4 mile of the proposed site therefore no points should be deducted for Undesirable/Inefficient Site Activities/Characteristics.
Therefore, the Applicant is eligible for 18 points which exceed the allowable 10 points available in this section.  Therefore the Applicant has met the criteria for and is eligible for the 10 points noted in this section.</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4201</v>
      </c>
      <c r="C1585" s="2432"/>
      <c r="D1585" s="2432"/>
      <c r="E1585" s="2763">
        <f>'Part IX A-Scoring Criteria'!E31</f>
        <v>3</v>
      </c>
      <c r="F1585" s="2666" t="str">
        <f>'Part IX A-Scoring Criteria'!F31</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Pointe North Village III is 216.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4202</v>
      </c>
      <c r="C1586" s="2432"/>
      <c r="D1586" s="2432"/>
      <c r="E1586" s="2763">
        <f>'Part IX A-Scoring Criteria'!E32</f>
        <v>3</v>
      </c>
      <c r="F1586" s="2666" t="str">
        <f>'Part IX A-Scoring Criteria'!F32</f>
        <v xml:space="preserve">A. QUALITY EDUCATION AREAS
The proposed development site is located in the attendance zone of one (1) school that has an above-average CCRPI score.  The average of the CCRPI scores for the three successive years of 2014-2016 for Merry Acres Middle School is 73.83 as Merry Acres Middle School achieved CCRPI Scores of 78.7 in 2014, 75.4 in 2015 and 67.4 in 2016.   This average of the 2014-2016 CCRPI Scores for Merry Acres Middle School of 73.83 exceeds the state average of 72.1.  The 2018 QAP allows the Applicant to use the average of 2014-2016 data in determining if the school exceeds the Above-Average CCRPI Score.  Therefore the Applicant is eligible for one (1) point as Pointe North Village III is located in the attendance of one school that achieved above-average CCRPI scores for the three successive years of 2014-2016.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10,637 jobs (using 2015 data as allowed by the 2018 QAP) within a 2-mile radius as noted on the Copy of the report from the Census Bureau’s “OnTheMap” website. The report was generated using the nearest address used in the Application.  That address is;
2713 Pointe North Blvd
Albany, GA 31721
</v>
      </c>
      <c r="G1586" s="2666"/>
      <c r="H1586" s="2666"/>
      <c r="I1586" s="2666"/>
      <c r="J1586" s="2666"/>
      <c r="K1586" s="2666"/>
      <c r="L1586" s="2666"/>
      <c r="M1586" s="2666"/>
      <c r="N1586" s="2666"/>
      <c r="O1586" s="2703" t="s">
        <v>2925</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4203</v>
      </c>
      <c r="C1587" s="2432"/>
      <c r="D1587" s="2432"/>
      <c r="E1587" s="2763">
        <f>'Part IX A-Scoring Criteria'!E33</f>
        <v>0</v>
      </c>
      <c r="F1587" s="2666" t="str">
        <f>'Part IX A-Scoring Criteria'!F33</f>
        <v>Not Applicable - The Applicant is not claiming points in this section.</v>
      </c>
      <c r="G1587" s="2666"/>
      <c r="H1587" s="2666"/>
      <c r="I1587" s="2666"/>
      <c r="J1587" s="2666"/>
      <c r="K1587" s="2666"/>
      <c r="L1587" s="2666"/>
      <c r="M1587" s="2666"/>
      <c r="N1587" s="2666"/>
      <c r="O1587" s="2703" t="s">
        <v>2925</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4204</v>
      </c>
      <c r="C1588" s="2432"/>
      <c r="D1588" s="2432"/>
      <c r="E1588" s="2764" t="str">
        <f>'Part IX A-Scoring Criteria'!E34</f>
        <v>n/a</v>
      </c>
      <c r="F1588" s="2666" t="str">
        <f>'Part IX A-Scoring Criteria'!F34</f>
        <v>Not Applicable - The Applicant is not claiming points in this section.</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3818</v>
      </c>
      <c r="C1589" s="2432"/>
      <c r="D1589" s="2432"/>
      <c r="E1589" s="2763">
        <f>'Part IX A-Scoring Criteria'!E35</f>
        <v>0</v>
      </c>
      <c r="F1589" s="2666" t="str">
        <f>'Part IX A-Scoring Criteria'!F35</f>
        <v>Not Applicable - The Applicant is not claiming points in this section.</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4205</v>
      </c>
      <c r="C1590" s="2432"/>
      <c r="D1590" s="2432"/>
      <c r="E1590" s="2764">
        <f>'Part IX A-Scoring Criteria'!E36</f>
        <v>0</v>
      </c>
      <c r="F1590" s="2666" t="str">
        <f>'Part IX A-Scoring Criteria'!F36</f>
        <v>The Applicant is NOT claiming the Priority point for this Application.</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4515</v>
      </c>
      <c r="B1591" s="2762" t="s">
        <v>4516</v>
      </c>
      <c r="C1591" s="2432"/>
      <c r="D1591" s="2432"/>
      <c r="E1591" s="2764">
        <f>'Part IX A-Scoring Criteria'!E37</f>
        <v>3</v>
      </c>
      <c r="F1591" s="2666" t="str">
        <f>'Part IX A-Scoring Criteria'!F37</f>
        <v>Per the 2018 QAP, any developments within a 1-mile radius of a transit hub, (as defined in Scoring Section IV. Transportation Options, A. Transit-Oriented Development) that received an award of 9% credits in the last the last six (6) DCA competitive funding cycles are not included in the analysis of previous competitive funding cycles.  There are two (2) developments (Pointe North Senior Village, 2013-034 and Pointe North Village II, 2015-043) that received awards in the last six (6) DCA competitive funding cycles that are within a 1-mile radius of a transit hub.  Per the QAP, these two (2) developments are not included in the analysis of previous competitive funding cycles.  Furthermore, the subject site itself is within a one mile radius of the transit hub.  See documentation in Tab 44.
When these two (2) developments are removed from the analysis of previous competitive funding cycles, the proposed development site not within a 1-mile radius of a 9% Georgia Housing Credit development that has received an award in the last six (6) DCA competitive funding cycles.  Therefore, the Applicant is eligible for three (3) points under Previous Projects-Flexible Pool.</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4151</v>
      </c>
      <c r="B1592" s="2762" t="s">
        <v>4206</v>
      </c>
      <c r="C1592" s="2432"/>
      <c r="D1592" s="2432"/>
      <c r="E1592" s="2763">
        <f>'Part IX A-Scoring Criteria'!E38</f>
        <v>0</v>
      </c>
      <c r="F1592" s="2666" t="str">
        <f>'Part IX A-Scoring Criteria'!F38</f>
        <v>Not Applicable-The proposed development did not receive a letter from a designated Georgia Initiative for Community Housing Community nor is it located in a Designated Military Zone.</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4152</v>
      </c>
      <c r="B1593" s="2762" t="s">
        <v>4207</v>
      </c>
      <c r="C1593" s="2432"/>
      <c r="D1593" s="2432"/>
      <c r="E1593" s="2763">
        <f>'Part IX A-Scoring Criteria'!E39</f>
        <v>0</v>
      </c>
      <c r="F1593" s="2666" t="str">
        <f>'Part IX A-Scoring Criteria'!F39</f>
        <v>Not Applicable - The Applicant is not claiming points in this section.</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4150</v>
      </c>
      <c r="B1594" s="2762" t="s">
        <v>4208</v>
      </c>
      <c r="C1594" s="2432"/>
      <c r="D1594" s="2432"/>
      <c r="E1594" s="2763">
        <f>'Part IX A-Scoring Criteria'!E40</f>
        <v>2</v>
      </c>
      <c r="F1594" s="2666" t="str">
        <f>'Part IX A-Scoring Criteria'!F40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4153</v>
      </c>
      <c r="B1595" s="2762" t="s">
        <v>4209</v>
      </c>
      <c r="C1595" s="2432"/>
      <c r="D1595" s="2432"/>
      <c r="E1595" s="2764">
        <f>'Part IX A-Scoring Criteria'!E41</f>
        <v>0</v>
      </c>
      <c r="F1595" s="2666" t="str">
        <f>'Part IX A-Scoring Criteria'!F41</f>
        <v>Not Applicable - The Applicant is not claiming points in this section.</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3615</v>
      </c>
      <c r="C1597" s="2765"/>
      <c r="D1597" s="2765"/>
      <c r="E1597" s="478"/>
      <c r="F1597" s="2765"/>
      <c r="G1597" s="2658"/>
      <c r="H1597" s="478"/>
      <c r="I1597" s="2766" t="s">
        <v>3513</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3616</v>
      </c>
      <c r="I1599" s="2517"/>
      <c r="J1599" s="2769">
        <f>'Part VI-Revenues &amp; Expenses'!$O$60</f>
        <v>54</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3617</v>
      </c>
      <c r="C1600" s="2517"/>
      <c r="D1600" s="2517"/>
      <c r="E1600" s="2517"/>
      <c r="F1600" s="2517"/>
      <c r="G1600" s="2703"/>
      <c r="H1600" s="2772" t="s">
        <v>3618</v>
      </c>
      <c r="I1600" s="2772" t="s">
        <v>3619</v>
      </c>
      <c r="J1600" s="2703"/>
      <c r="K1600" s="478" t="s">
        <v>3396</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3743</v>
      </c>
      <c r="H1601" s="2626"/>
      <c r="I1601" s="2626"/>
      <c r="J1601" s="2626"/>
      <c r="K1601" s="2492" t="s">
        <v>3618</v>
      </c>
      <c r="L1601" s="2492" t="s">
        <v>3619</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3395</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3366</v>
      </c>
      <c r="B1603" s="2776" t="s">
        <v>2004</v>
      </c>
      <c r="C1603" s="2777">
        <v>0.2</v>
      </c>
      <c r="D1603" s="2686" t="s">
        <v>3395</v>
      </c>
      <c r="E1603" s="2778"/>
      <c r="F1603" s="2778"/>
      <c r="G1603" s="2778"/>
      <c r="H1603" s="2779">
        <f>'Part IX A-Scoring Criteria'!H49</f>
        <v>12</v>
      </c>
      <c r="I1603" s="2779">
        <f>'Part IX A-Scoring Criteria'!I49</f>
        <v>0</v>
      </c>
      <c r="J1603" s="2778"/>
      <c r="K1603" s="2708">
        <f>'Part IX A-Scoring Criteria'!K49</f>
        <v>0.22222222222222221</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4790</v>
      </c>
      <c r="C1605" s="2778"/>
      <c r="D1605" s="2778"/>
      <c r="E1605" s="2724"/>
      <c r="F1605" s="2778"/>
      <c r="G1605" s="2778"/>
      <c r="H1605" s="2626" t="s">
        <v>3678</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3677</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3992</v>
      </c>
      <c r="D1607" s="2778"/>
      <c r="E1607" s="2781"/>
      <c r="F1607" s="2735"/>
      <c r="G1607" s="2778"/>
      <c r="H1607" s="2778"/>
      <c r="I1607" s="2742"/>
      <c r="J1607" s="2742"/>
      <c r="K1607" s="2742"/>
      <c r="L1607" s="2742"/>
      <c r="M1607" s="2742"/>
      <c r="N1607" s="2773" t="s">
        <v>2004</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4146</v>
      </c>
      <c r="C1611" s="2747"/>
      <c r="D1611" s="2783"/>
      <c r="E1611" s="2747"/>
      <c r="F1611" s="2747"/>
      <c r="G1611" s="2747"/>
      <c r="H1611" s="2747"/>
      <c r="I1611" s="2517" t="s">
        <v>3796</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3884</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4791</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3873</v>
      </c>
      <c r="C1615" s="2747"/>
      <c r="D1615" s="2783"/>
      <c r="E1615" s="2747"/>
      <c r="F1615" s="2788"/>
      <c r="G1615" s="2356" t="s">
        <v>4024</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3781</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409.5">
      <c r="A1617" s="2661" t="str">
        <f>'Part IX A-Scoring Criteria'!A63</f>
        <v>The proposed project site is located is not located in a rural county or area and will therefore compete in the Flexible pool.  Therefore the scoring criteria for Flexible Pool properties was followed in calculating points in this section.
The proposed project site is located within .5 miles of six (6) desirable activities/characteristics thereby qualifying the Applicant for twelve (12) points AND
The proposed project site is located within 1.5 miles of six (6) desirable activities/characteristics thereby qualifying the Applicant for six (6) points.  
The Applicant is not aware of any Undesirable/Inefficient Site Activities/Characteristics located within 1/4 mile of the proposed site therefore no points should be deducted for Undesirable/Inefficient Site Activities/Characteristics.
Therefore, the Applicant is eligible for 18 points which exceed the allowable 10 points available in this section.  Therefore the Applicant has met the criteria for and is eligible for the 10 points noted in this section.</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5</v>
      </c>
      <c r="P1621" s="2746">
        <f>'Part IX A-Scoring Criteria'!P67</f>
        <v>0</v>
      </c>
      <c r="Q1621" s="2562" t="s">
        <v>443</v>
      </c>
      <c r="R1621" s="2790" t="s">
        <v>4792</v>
      </c>
      <c r="S1621" s="2790"/>
      <c r="T1621" s="2790"/>
      <c r="U1621" s="2790"/>
      <c r="V1621" s="2747"/>
      <c r="W1621" s="2747"/>
      <c r="X1621" s="2747"/>
      <c r="Y1621" s="2747"/>
      <c r="Z1621" s="2747"/>
    </row>
    <row r="1622" spans="1:26" ht="15">
      <c r="A1622" s="2748"/>
      <c r="B1622" s="2555" t="s">
        <v>3995</v>
      </c>
      <c r="C1622" s="2747"/>
      <c r="D1622" s="2783"/>
      <c r="E1622" s="2747"/>
      <c r="F1622" s="2747"/>
      <c r="G1622" s="2747"/>
      <c r="H1622" s="2569" t="s">
        <v>2812</v>
      </c>
      <c r="I1622" s="2604"/>
      <c r="J1622" s="2569" t="str">
        <f>'Part I-Project Information'!$H$100</f>
        <v>Flexible</v>
      </c>
      <c r="K1622" s="2555"/>
      <c r="L1622" s="2747"/>
      <c r="M1622" s="2562"/>
      <c r="N1622" s="2702"/>
      <c r="O1622" s="2791" t="s">
        <v>3621</v>
      </c>
      <c r="P1622" s="2791" t="s">
        <v>3622</v>
      </c>
      <c r="Q1622" s="2562"/>
      <c r="R1622" s="2790"/>
      <c r="S1622" s="2790"/>
      <c r="T1622" s="2790"/>
      <c r="U1622" s="2790"/>
      <c r="V1622" s="2747"/>
      <c r="W1622" s="2747"/>
      <c r="X1622" s="2747"/>
      <c r="Y1622" s="2747"/>
      <c r="Z1622" s="2747"/>
    </row>
    <row r="1623" spans="1:26" ht="15">
      <c r="A1623" s="2748"/>
      <c r="B1623" s="2792" t="s">
        <v>2002</v>
      </c>
      <c r="C1623" s="1156" t="s">
        <v>3620</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3993</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3994</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4002</v>
      </c>
      <c r="C1627" s="2747"/>
      <c r="D1627" s="2783"/>
      <c r="E1627" s="2747"/>
      <c r="F1627" s="2555" t="s">
        <v>3744</v>
      </c>
      <c r="G1627" s="2555"/>
      <c r="H1627" s="2555"/>
      <c r="I1627" s="2555"/>
      <c r="J1627" s="2555" t="s">
        <v>3745</v>
      </c>
      <c r="K1627" s="2555"/>
      <c r="L1627" s="2555"/>
      <c r="M1627" s="2555"/>
      <c r="N1627" s="2702"/>
      <c r="O1627" s="2518" t="s">
        <v>4793</v>
      </c>
      <c r="P1627" s="2793"/>
      <c r="Q1627" s="2562"/>
      <c r="R1627" s="2790"/>
      <c r="S1627" s="2790"/>
      <c r="T1627" s="2790"/>
      <c r="U1627" s="2790"/>
      <c r="V1627" s="2747"/>
      <c r="W1627" s="2747"/>
      <c r="X1627" s="2747"/>
      <c r="Y1627" s="2747"/>
      <c r="Z1627" s="2747"/>
    </row>
    <row r="1628" spans="1:26" ht="15">
      <c r="A1628" s="2748"/>
      <c r="B1628" s="2747"/>
      <c r="C1628" s="2555" t="s">
        <v>4001</v>
      </c>
      <c r="D1628" s="2439"/>
      <c r="E1628" s="2362"/>
      <c r="F1628" s="2366">
        <f>'Part IX A-Scoring Criteria'!F74</f>
        <v>31.617764000000001</v>
      </c>
      <c r="G1628" s="2366">
        <f>'Part IX A-Scoring Criteria'!G74</f>
        <v>0</v>
      </c>
      <c r="H1628" s="2366">
        <f>'Part IX A-Scoring Criteria'!H74</f>
        <v>0</v>
      </c>
      <c r="I1628" s="2366">
        <f>'Part IX A-Scoring Criteria'!I74</f>
        <v>0</v>
      </c>
      <c r="J1628" s="2366">
        <f>'Part IX A-Scoring Criteria'!J74</f>
        <v>-84.226490999999996</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4003</v>
      </c>
      <c r="E1629" s="2362"/>
      <c r="F1629" s="2366">
        <f>'Part IX A-Scoring Criteria'!F75</f>
        <v>31.616329</v>
      </c>
      <c r="G1629" s="2366">
        <f>'Part IX A-Scoring Criteria'!G75</f>
        <v>0</v>
      </c>
      <c r="H1629" s="2366">
        <f>'Part IX A-Scoring Criteria'!H75</f>
        <v>0</v>
      </c>
      <c r="I1629" s="2366">
        <f>'Part IX A-Scoring Criteria'!I75</f>
        <v>0</v>
      </c>
      <c r="J1629" s="2366">
        <f>'Part IX A-Scoring Criteria'!J75</f>
        <v>-84.216037999999998</v>
      </c>
      <c r="K1629" s="2366">
        <f>'Part IX A-Scoring Criteria'!K75</f>
        <v>0</v>
      </c>
      <c r="L1629" s="2366">
        <f>'Part IX A-Scoring Criteria'!L75</f>
        <v>0</v>
      </c>
      <c r="M1629" s="2366">
        <f>'Part IX A-Scoring Criteria'!M75</f>
        <v>0</v>
      </c>
      <c r="N1629" s="2702"/>
      <c r="O1629" s="2794">
        <f>'Part IX A-Scoring Criteria'!O75</f>
        <v>0.8</v>
      </c>
      <c r="P1629" s="2794">
        <f>'Part IX A-Scoring Criteria'!P75</f>
        <v>0</v>
      </c>
      <c r="Q1629" s="2562"/>
      <c r="R1629" s="2790"/>
      <c r="S1629" s="2790"/>
      <c r="T1629" s="2790"/>
      <c r="U1629" s="2790"/>
      <c r="V1629" s="2747"/>
      <c r="W1629" s="2747"/>
      <c r="X1629" s="2747"/>
      <c r="Y1629" s="2747"/>
      <c r="Z1629" s="2747"/>
    </row>
    <row r="1630" spans="1:26" ht="15" customHeight="1">
      <c r="A1630" s="2652" t="s">
        <v>4193</v>
      </c>
      <c r="B1630" s="2652"/>
      <c r="C1630" s="2555" t="s">
        <v>4144</v>
      </c>
      <c r="D1630" s="2439"/>
      <c r="E1630" s="2362"/>
      <c r="F1630" s="2366">
        <f>'Part IX A-Scoring Criteria'!F76</f>
        <v>31.617764000000001</v>
      </c>
      <c r="G1630" s="2366">
        <f>'Part IX A-Scoring Criteria'!G76</f>
        <v>0</v>
      </c>
      <c r="H1630" s="2366">
        <f>'Part IX A-Scoring Criteria'!H76</f>
        <v>0</v>
      </c>
      <c r="I1630" s="2366">
        <f>'Part IX A-Scoring Criteria'!I76</f>
        <v>0</v>
      </c>
      <c r="J1630" s="2366">
        <f>'Part IX A-Scoring Criteria'!J76</f>
        <v>-84.226490999999996</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4142</v>
      </c>
      <c r="E1631" s="2362"/>
      <c r="F1631" s="2366">
        <f>'Part IX A-Scoring Criteria'!F77</f>
        <v>31.619319000000001</v>
      </c>
      <c r="G1631" s="2366">
        <f>'Part IX A-Scoring Criteria'!G77</f>
        <v>0</v>
      </c>
      <c r="H1631" s="2366">
        <f>'Part IX A-Scoring Criteria'!H77</f>
        <v>0</v>
      </c>
      <c r="I1631" s="2366">
        <f>'Part IX A-Scoring Criteria'!I77</f>
        <v>0</v>
      </c>
      <c r="J1631" s="2366">
        <f>'Part IX A-Scoring Criteria'!J77</f>
        <v>-84.226579000000001</v>
      </c>
      <c r="K1631" s="2366">
        <f>'Part IX A-Scoring Criteria'!K77</f>
        <v>0</v>
      </c>
      <c r="L1631" s="2366">
        <f>'Part IX A-Scoring Criteria'!L77</f>
        <v>0</v>
      </c>
      <c r="M1631" s="2366">
        <f>'Part IX A-Scoring Criteria'!M77</f>
        <v>0</v>
      </c>
      <c r="N1631" s="2702"/>
      <c r="O1631" s="2794">
        <f>'Part IX A-Scoring Criteria'!O77</f>
        <v>0.1</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4794</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3774</v>
      </c>
      <c r="C1634" s="2747"/>
      <c r="D1634" s="2783"/>
      <c r="E1634" s="2747"/>
      <c r="F1634" s="2766" t="s">
        <v>4795</v>
      </c>
      <c r="G1634" s="2747"/>
      <c r="H1634" s="2747"/>
      <c r="I1634" s="2797" t="s">
        <v>4796</v>
      </c>
      <c r="J1634" s="2797"/>
      <c r="K1634" s="2797"/>
      <c r="L1634" s="2797"/>
      <c r="M1634" s="2562">
        <v>6</v>
      </c>
      <c r="N1634" s="2773" t="s">
        <v>1999</v>
      </c>
      <c r="O1634" s="2622">
        <f>'Part IX A-Scoring Criteria'!O80</f>
        <v>5</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4797</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4798</v>
      </c>
      <c r="D1636" s="2686"/>
      <c r="E1636" s="2686"/>
      <c r="F1636" s="2686"/>
      <c r="G1636" s="2686"/>
      <c r="H1636" s="2686"/>
      <c r="I1636" s="2797"/>
      <c r="J1636" s="2797"/>
      <c r="K1636" s="2797"/>
      <c r="L1636" s="2797"/>
      <c r="M1636" s="2800">
        <v>4</v>
      </c>
      <c r="N1636" s="2792" t="s">
        <v>2004</v>
      </c>
      <c r="O1636" s="2785">
        <f>'Part IX A-Scoring Criteria'!O82</f>
        <v>4</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3775</v>
      </c>
      <c r="D1637" s="2686"/>
      <c r="E1637" s="2686"/>
      <c r="F1637" s="2686"/>
      <c r="G1637" s="2702" t="s">
        <v>4141</v>
      </c>
      <c r="H1637" s="2694" t="str">
        <f>'Part I-Project Information'!$H$78</f>
        <v>Family</v>
      </c>
      <c r="I1637" s="2432" t="str">
        <f>'Part IX A-Scoring Criteria'!I83</f>
        <v>Albany Transit System</v>
      </c>
      <c r="J1637" s="2432">
        <f>'Part IX A-Scoring Criteria'!J83</f>
        <v>0</v>
      </c>
      <c r="K1637" s="2432">
        <f>'Part IX A-Scoring Criteria'!K83</f>
        <v>0</v>
      </c>
      <c r="L1637" s="2801" t="str">
        <f>'Part IX A-Scoring Criteria'!L83</f>
        <v>229-446-2700
229-446-2704</v>
      </c>
      <c r="M1637" s="2800">
        <v>1</v>
      </c>
      <c r="N1637" s="2792" t="s">
        <v>2551</v>
      </c>
      <c r="O1637" s="2785">
        <f>'Part IX A-Scoring Criteria'!O83</f>
        <v>1</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3776</v>
      </c>
      <c r="C1638" s="1327"/>
      <c r="D1638" s="1327"/>
      <c r="E1638" s="1327"/>
      <c r="F1638" s="2803" t="s">
        <v>4799</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4800</v>
      </c>
      <c r="D1639" s="2626"/>
      <c r="E1639" s="2626"/>
      <c r="F1639" s="2626"/>
      <c r="G1639" s="2626"/>
      <c r="H1639" s="2626"/>
      <c r="I1639" s="2432" t="str">
        <f>'Part IX A-Scoring Criteria'!I85</f>
        <v>http://www.albanyga.gov/about-us/city-departments/albany-transit-system</v>
      </c>
      <c r="J1639" s="2432">
        <f>'Part IX A-Scoring Criteria'!J85</f>
        <v>0</v>
      </c>
      <c r="K1639" s="2432">
        <f>'Part IX A-Scoring Criteria'!K85</f>
        <v>0</v>
      </c>
      <c r="L1639" s="2432">
        <f>'Part IX A-Scoring Criteria'!L85</f>
        <v>0</v>
      </c>
      <c r="M1639" s="2800">
        <v>3</v>
      </c>
      <c r="N1639" s="2792" t="s">
        <v>2002</v>
      </c>
      <c r="O1639" s="2785">
        <f>'Part IX A-Scoring Criteria'!O85</f>
        <v>0</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4801</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4802</v>
      </c>
      <c r="D1641" s="2661"/>
      <c r="E1641" s="2661"/>
      <c r="F1641" s="2661"/>
      <c r="G1641" s="2661"/>
      <c r="H1641" s="2661"/>
      <c r="I1641" s="2432" t="str">
        <f>'Part IX A-Scoring Criteria'!I87</f>
        <v>http://www.albanyga.gov/about-us/city-departments/albany-transit-system/routes-and-maps</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4803</v>
      </c>
      <c r="D1643" s="2569"/>
      <c r="E1643" s="2569"/>
      <c r="F1643" s="2569"/>
      <c r="G1643" s="2569"/>
      <c r="H1643" s="2569"/>
      <c r="I1643" s="2569"/>
      <c r="J1643" s="2569"/>
      <c r="K1643" s="2569"/>
      <c r="L1643" s="2569"/>
      <c r="M1643" s="2553">
        <v>2</v>
      </c>
      <c r="N1643" s="2792" t="s">
        <v>1236</v>
      </c>
      <c r="O1643" s="2746">
        <f>'Part IX A-Scoring Criteria'!O89</f>
        <v>0</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4804</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3</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4805</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House Multifamily - Platinum Certification</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Flexible</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4005</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4010</v>
      </c>
      <c r="D1653" s="2810"/>
      <c r="E1653" s="2810"/>
      <c r="F1653" s="2810"/>
      <c r="G1653" s="2810"/>
      <c r="H1653" s="2810"/>
      <c r="I1653" s="2746">
        <f>'Part IX A-Scoring Criteria'!I99</f>
        <v>200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4011</v>
      </c>
      <c r="D1654" s="2810"/>
      <c r="E1654" s="2810"/>
      <c r="F1654" s="2810"/>
      <c r="G1654" s="2810"/>
      <c r="H1654" s="2810"/>
      <c r="I1654" s="2746">
        <f>'Part IX A-Scoring Criteria'!I100</f>
        <v>216</v>
      </c>
      <c r="J1654" s="2746">
        <f>'Part IX A-Scoring Criteria'!J100</f>
        <v>0</v>
      </c>
      <c r="K1654" s="2601"/>
      <c r="L1654" s="2810"/>
      <c r="M1654" s="2810"/>
      <c r="N1654" s="2810"/>
      <c r="O1654" s="2810" t="s">
        <v>4019</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4806</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0</v>
      </c>
      <c r="P1657" s="2785">
        <f>'Part IX A-Scoring Criteria'!P103</f>
        <v>0</v>
      </c>
      <c r="Q1657" s="2786" t="str">
        <f t="shared" ref="Q1657:Q1659" si="323">IF(OR($O1657=$M1657,$O1657=0,$O1657=""),"","*CHECK!*")</f>
        <v/>
      </c>
      <c r="R1657" s="2787" t="s">
        <v>2724</v>
      </c>
    </row>
    <row r="1658" spans="1:26" ht="13.5" customHeight="1">
      <c r="A1658" s="2580" t="s">
        <v>757</v>
      </c>
      <c r="B1658" s="2569" t="s">
        <v>4807</v>
      </c>
      <c r="D1658" s="2354"/>
      <c r="E1658" s="2354"/>
      <c r="F1658" s="2354"/>
      <c r="K1658" s="2524"/>
      <c r="L1658" s="2524"/>
      <c r="M1658" s="2800">
        <v>3</v>
      </c>
      <c r="N1658" s="2702" t="s">
        <v>757</v>
      </c>
      <c r="O1658" s="2785">
        <f>'Part IX A-Scoring Criteria'!O104</f>
        <v>3</v>
      </c>
      <c r="P1658" s="2785">
        <f>'Part IX A-Scoring Criteria'!P104</f>
        <v>0</v>
      </c>
      <c r="Q1658" s="2786" t="str">
        <f t="shared" si="323"/>
        <v/>
      </c>
      <c r="R1658" s="2787" t="s">
        <v>2724</v>
      </c>
    </row>
    <row r="1659" spans="1:26" ht="13.5" customHeight="1">
      <c r="A1659" s="2580" t="s">
        <v>2131</v>
      </c>
      <c r="B1659" s="2569" t="s">
        <v>3805</v>
      </c>
      <c r="D1659" s="2354"/>
      <c r="E1659" s="2354"/>
      <c r="F1659" s="478" t="s">
        <v>4021</v>
      </c>
      <c r="J1659" s="2562" t="str">
        <f>'Part IX A-Scoring Criteria'!J105</f>
        <v>&lt;Select &gt;</v>
      </c>
      <c r="K1659" s="2524"/>
      <c r="L1659" s="2524"/>
      <c r="M1659" s="2800">
        <v>1</v>
      </c>
      <c r="N1659" s="2702" t="s">
        <v>2131</v>
      </c>
      <c r="O1659" s="2785">
        <f>'Part IX A-Scoring Criteria'!O105</f>
        <v>0</v>
      </c>
      <c r="P1659" s="2785">
        <f>'Part IX A-Scoring Criteria'!P105</f>
        <v>0</v>
      </c>
      <c r="Q1659" s="2786" t="str">
        <f t="shared" si="323"/>
        <v/>
      </c>
      <c r="R1659" s="2787" t="s">
        <v>2724</v>
      </c>
    </row>
    <row r="1660" spans="1:26" ht="15">
      <c r="A1660" s="2354"/>
      <c r="B1660" s="2766" t="s">
        <v>3781</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The Applicant has committed to obtaining the Platinum certification under Southface Energy Institute’s and Greater Atlanta Home Builders Association’s EarthCraft House multifamily certification program.  The miminum socre required to achieve this level of certification is 200 and the Applicant has completed a draft scoring sheet which shows the expected score for Pointe North Village III is 216.   The Applicant will submit a certificate from Southface Energy Institute confirming that the development has met the requirements to obtain the Platinum certification under Southface Energy Institute’s and Greater Atlanta Home Builders Association’s EarthCraft House multifamily certification program at the Housing Credit final certification.  Therefore, the Applicant is eligible for 3 points under item C. Exceptional Sustainable Building Certification.</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4022</v>
      </c>
      <c r="C1665" s="2747"/>
      <c r="D1665" s="478"/>
      <c r="E1665" s="478"/>
      <c r="F1665" s="2562"/>
      <c r="G1665" s="2562"/>
      <c r="H1665" s="2562"/>
      <c r="I1665" s="2796" t="s">
        <v>4794</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4023</v>
      </c>
      <c r="C1667" s="2765"/>
      <c r="D1667" s="2783"/>
      <c r="E1667" s="1156" t="s">
        <v>4148</v>
      </c>
      <c r="F1667" s="2747"/>
      <c r="G1667" s="2694"/>
      <c r="H1667" s="2747"/>
      <c r="I1667" s="2702" t="s">
        <v>4141</v>
      </c>
      <c r="J1667" s="2694" t="str">
        <f>'Part I-Project Information'!$H$78</f>
        <v>Family</v>
      </c>
      <c r="K1667" s="2783"/>
      <c r="L1667" s="2710" t="str">
        <f>IF(OR($O1667=$M1667,$O1667=0,$O1667=""),"","* * Check Score! * *")</f>
        <v/>
      </c>
      <c r="M1667" s="2553">
        <v>3</v>
      </c>
      <c r="N1667" s="2702" t="s">
        <v>1999</v>
      </c>
      <c r="O1667" s="2746">
        <f>'Part IX A-Scoring Criteria'!O113</f>
        <v>0</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4025</v>
      </c>
      <c r="C1669" s="2765"/>
      <c r="D1669" s="2812"/>
      <c r="E1669" s="2406" t="s">
        <v>4255</v>
      </c>
      <c r="F1669" s="2747"/>
      <c r="G1669" s="2694"/>
      <c r="H1669" s="2747"/>
      <c r="I1669" s="2813"/>
      <c r="J1669" s="2783"/>
      <c r="K1669" s="2747"/>
      <c r="L1669" s="2710" t="str">
        <f>IF(OR($O1669&lt;=$M1669,$O1669=0,$O1669=""),"","* * Check Score! * *")</f>
        <v/>
      </c>
      <c r="M1669" s="2549">
        <v>3</v>
      </c>
      <c r="N1669" s="2702" t="s">
        <v>2001</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4178</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180">
      <c r="A1671" s="2700"/>
      <c r="B1671" s="478"/>
      <c r="C1671" s="2817" t="s">
        <v>4179</v>
      </c>
      <c r="D1671" s="2626" t="str">
        <f>'Part IX A-Scoring Criteria'!D117</f>
        <v>“County Health Rankings &amp; Reports” for Lee County, GA &amp; Phoebe Putney Memorial Hospital 2016 Community Health Needs Assessment (CHNA)</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4026</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2</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4027</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4808</v>
      </c>
      <c r="D1675" s="2356" t="s">
        <v>4149</v>
      </c>
      <c r="E1675" s="2765"/>
      <c r="F1675" s="478"/>
      <c r="G1675" s="478"/>
      <c r="H1675" s="2517" t="str">
        <f>'Part IX A-Scoring Criteria'!H121</f>
        <v>TotalWellness</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4030</v>
      </c>
      <c r="D1676" s="2765"/>
      <c r="E1676" s="478"/>
      <c r="F1676" s="478"/>
      <c r="G1676" s="478"/>
      <c r="H1676" s="2765"/>
      <c r="I1676" s="2765"/>
      <c r="J1676" s="2765"/>
      <c r="K1676" s="2765"/>
      <c r="L1676" s="2765"/>
      <c r="M1676" s="2553"/>
      <c r="N1676" s="2712" t="s">
        <v>3809</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4031</v>
      </c>
      <c r="D1677" s="478"/>
      <c r="E1677" s="478"/>
      <c r="F1677" s="478"/>
      <c r="G1677" s="478"/>
      <c r="H1677" s="478"/>
      <c r="I1677" s="478"/>
      <c r="J1677" s="478"/>
      <c r="K1677" s="478"/>
      <c r="L1677" s="478"/>
      <c r="M1677" s="2659"/>
      <c r="N1677" s="2702" t="s">
        <v>3810</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4176</v>
      </c>
      <c r="D1678" s="1156"/>
      <c r="E1678" s="478"/>
      <c r="F1678" s="478"/>
      <c r="G1678" s="478"/>
      <c r="H1678" s="1156"/>
      <c r="I1678" s="1156"/>
      <c r="J1678" s="1156"/>
      <c r="K1678" s="1156"/>
      <c r="L1678" s="2724" t="s">
        <v>3846</v>
      </c>
      <c r="M1678" s="2724"/>
      <c r="N1678" s="2724"/>
      <c r="O1678" s="2724" t="s">
        <v>3845</v>
      </c>
      <c r="P1678" s="2724"/>
      <c r="Q1678" s="478"/>
      <c r="R1678" s="1156"/>
      <c r="S1678" s="1156"/>
      <c r="T1678" s="1156"/>
      <c r="U1678" s="1156"/>
      <c r="V1678" s="1156"/>
      <c r="W1678" s="1156"/>
      <c r="X1678" s="1156"/>
      <c r="Y1678" s="1156"/>
      <c r="Z1678" s="1156"/>
    </row>
    <row r="1679" spans="1:26" ht="146.25">
      <c r="A1679" s="2700"/>
      <c r="B1679" s="2702"/>
      <c r="C1679" s="2661" t="str">
        <f>'Part IX A-Scoring Criteria'!C125</f>
        <v>Biometric Screening/Blood pressure checks/Body Fat Screenings/Body Mass Index (BMI) screenings (one per month from this list)</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15</v>
      </c>
      <c r="P1679" s="2820">
        <f>'Part IX A-Scoring Criteria'!P125</f>
        <v>0</v>
      </c>
      <c r="Q1679" s="2658" t="str">
        <f>IF(O1679&gt;15, "Too much!","")</f>
        <v/>
      </c>
      <c r="R1679" s="1156"/>
      <c r="S1679" s="1156"/>
      <c r="T1679" s="1156"/>
      <c r="U1679" s="1156"/>
      <c r="V1679" s="1156"/>
      <c r="W1679" s="1156"/>
      <c r="X1679" s="1156"/>
      <c r="Y1679" s="1156"/>
      <c r="Z1679" s="1156"/>
    </row>
    <row r="1680" spans="1:26" ht="90">
      <c r="A1680" s="2700"/>
      <c r="B1680" s="2712"/>
      <c r="C1680" s="2661" t="str">
        <f>'Part IX A-Scoring Criteria'!C126</f>
        <v>Health Education Topics (various topics, topics to be rotated monthly)</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15</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c r="A1681" s="2700"/>
      <c r="B1681" s="2702"/>
      <c r="C1681" s="2661">
        <f>'Part IX A-Scoring Criteria'!C127</f>
        <v>0</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&lt;&lt; Select &gt;&gt;</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4809</v>
      </c>
      <c r="D1683" s="478" t="s">
        <v>4032</v>
      </c>
      <c r="E1683" s="478"/>
      <c r="F1683" s="478"/>
      <c r="G1683" s="478"/>
      <c r="H1683" s="2765"/>
      <c r="I1683" s="2765"/>
      <c r="J1683" s="2765"/>
      <c r="K1683" s="2765"/>
      <c r="L1683" s="2765"/>
      <c r="M1683" s="2765"/>
      <c r="N1683" s="2712" t="s">
        <v>3809</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4033</v>
      </c>
      <c r="E1684" s="478"/>
      <c r="F1684" s="478"/>
      <c r="G1684" s="478"/>
      <c r="H1684" s="2765"/>
      <c r="I1684" s="2765"/>
      <c r="J1684" s="2765"/>
      <c r="K1684" s="2765"/>
      <c r="L1684" s="2765"/>
      <c r="M1684" s="2553"/>
      <c r="N1684" s="2702" t="s">
        <v>3810</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4181</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4210</v>
      </c>
      <c r="D1686" s="2700"/>
      <c r="E1686" s="2700"/>
      <c r="F1686" s="2700"/>
      <c r="G1686" s="2667" t="str">
        <f>'Part IX A-Scoring Criteria'!G132</f>
        <v>Yes</v>
      </c>
      <c r="H1686" s="2667">
        <f>'Part IX A-Scoring Criteria'!H132</f>
        <v>0</v>
      </c>
      <c r="I1686" s="2597" t="s">
        <v>4213</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4211</v>
      </c>
      <c r="D1687" s="2700"/>
      <c r="E1687" s="2700"/>
      <c r="F1687" s="2700"/>
      <c r="G1687" s="2667" t="str">
        <f>'Part IX A-Scoring Criteria'!G133</f>
        <v>Yes</v>
      </c>
      <c r="H1687" s="2667">
        <f>'Part IX A-Scoring Criteria'!H133</f>
        <v>0</v>
      </c>
      <c r="I1687" s="478" t="s">
        <v>4214</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4212</v>
      </c>
      <c r="D1688" s="2700"/>
      <c r="E1688" s="2700"/>
      <c r="F1688" s="2700"/>
      <c r="G1688" s="2667" t="str">
        <f>'Part IX A-Scoring Criteria'!G134</f>
        <v>Yes</v>
      </c>
      <c r="H1688" s="2667">
        <f>'Part IX A-Scoring Criteria'!H134</f>
        <v>0</v>
      </c>
      <c r="I1688" s="2597" t="s">
        <v>4215</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Feedback from residents: are these services helpful?</v>
      </c>
      <c r="D1689" s="2517">
        <f>'Part IX A-Scoring Criteria'!D135</f>
        <v>0</v>
      </c>
      <c r="E1689" s="2517">
        <f>'Part IX A-Scoring Criteria'!E135</f>
        <v>0</v>
      </c>
      <c r="F1689" s="2517">
        <f>'Part IX A-Scoring Criteria'!F135</f>
        <v>0</v>
      </c>
      <c r="G1689" s="2667" t="str">
        <f>'Part IX A-Scoring Criteria'!G135</f>
        <v>Yes</v>
      </c>
      <c r="H1689" s="2667">
        <f>'Part IX A-Scoring Criteria'!H135</f>
        <v>0</v>
      </c>
      <c r="I1689" s="2517" t="str">
        <f>'Part IX A-Scoring Criteria'!I135</f>
        <v>Feedback from residents on what they would like to change about screening/education</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t="str">
        <f>'Part IX A-Scoring Criteria'!O135</f>
        <v>Yes</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3847</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1</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4034</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4810</v>
      </c>
      <c r="D1693" s="2730"/>
      <c r="E1693" s="2730"/>
      <c r="F1693" s="2730"/>
      <c r="G1693" s="2597" t="s">
        <v>4036</v>
      </c>
      <c r="H1693" s="478"/>
      <c r="I1693" s="2730"/>
      <c r="J1693" s="2730"/>
      <c r="K1693" s="2730"/>
      <c r="L1693" s="2730"/>
      <c r="M1693" s="2702" t="s">
        <v>2451</v>
      </c>
      <c r="N1693" s="2702" t="s">
        <v>3809</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4037</v>
      </c>
      <c r="H1694" s="478"/>
      <c r="I1694" s="2730"/>
      <c r="J1694" s="2730"/>
      <c r="K1694" s="2730"/>
      <c r="L1694" s="2730"/>
      <c r="M1694" s="2659"/>
      <c r="N1694" s="2712" t="s">
        <v>3810</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4038</v>
      </c>
      <c r="H1695" s="478"/>
      <c r="I1695" s="2730"/>
      <c r="J1695" s="2730"/>
      <c r="K1695" s="2730"/>
      <c r="L1695" s="2730"/>
      <c r="M1695" s="2659"/>
      <c r="N1695" s="2702" t="s">
        <v>3811</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4039</v>
      </c>
      <c r="H1696" s="478"/>
      <c r="I1696" s="2730"/>
      <c r="J1696" s="2730"/>
      <c r="K1696" s="2730"/>
      <c r="L1696" s="2730"/>
      <c r="M1696" s="2659"/>
      <c r="N1696" s="2702" t="s">
        <v>3813</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4040</v>
      </c>
      <c r="H1697" s="478"/>
      <c r="I1697" s="2730"/>
      <c r="J1697" s="2730"/>
      <c r="K1697" s="2730"/>
      <c r="L1697" s="2730"/>
      <c r="M1697" s="2659"/>
      <c r="N1697" s="2712" t="s">
        <v>3814</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4811</v>
      </c>
      <c r="D1698" s="2730"/>
      <c r="E1698" s="2730"/>
      <c r="F1698" s="2730"/>
      <c r="G1698" s="2730"/>
      <c r="H1698" s="2730"/>
      <c r="I1698" s="2730"/>
      <c r="J1698" s="2730"/>
      <c r="K1698" s="2730"/>
      <c r="L1698" s="2730"/>
      <c r="M1698" s="2702"/>
      <c r="N1698" s="2702" t="s">
        <v>2452</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3862</v>
      </c>
      <c r="D1699" s="1156"/>
      <c r="E1699" s="478"/>
      <c r="F1699" s="478"/>
      <c r="G1699" s="1156" t="s">
        <v>4182</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67.5">
      <c r="A1700" s="2700"/>
      <c r="B1700" s="2702"/>
      <c r="C1700" s="2661" t="str">
        <f>'Part IX A-Scoring Criteria'!C146</f>
        <v>Public Webinars on smart gardening for vegtables</v>
      </c>
      <c r="D1700" s="2661">
        <f>'Part IX A-Scoring Criteria'!D146</f>
        <v>0</v>
      </c>
      <c r="E1700" s="2661">
        <f>'Part IX A-Scoring Criteria'!E146</f>
        <v>0</v>
      </c>
      <c r="F1700" s="2661">
        <f>'Part IX A-Scoring Criteria'!F146</f>
        <v>0</v>
      </c>
      <c r="G1700" s="2661" t="str">
        <f>'Part IX A-Scoring Criteria'!G146</f>
        <v>Gardening topics and garden maintenance for growing vegtables</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101.25">
      <c r="A1701" s="2700"/>
      <c r="B1701" s="2712"/>
      <c r="C1701" s="2661" t="str">
        <f>'Part IX A-Scoring Criteria'!C147</f>
        <v>Healthy Eating &amp; Diet Webinars</v>
      </c>
      <c r="D1701" s="2661">
        <f>'Part IX A-Scoring Criteria'!D147</f>
        <v>0</v>
      </c>
      <c r="E1701" s="2661">
        <f>'Part IX A-Scoring Criteria'!E147</f>
        <v>0</v>
      </c>
      <c r="F1701" s="2661">
        <f>'Part IX A-Scoring Criteria'!F147</f>
        <v>0</v>
      </c>
      <c r="G1701" s="2661" t="str">
        <f>'Part IX A-Scoring Criteria'!G147</f>
        <v>Examples: Not all carbs are created equal, Diets: Fad or Fact, Life Hacks: Eat Healthy on a Busy Schedule</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4216</v>
      </c>
      <c r="B1702" s="2517"/>
      <c r="C1702" s="2661" t="str">
        <f>'Part IX A-Scoring Criteria'!C148</f>
        <v>Obesity Action Coalition presentation</v>
      </c>
      <c r="D1702" s="2661">
        <f>'Part IX A-Scoring Criteria'!D148</f>
        <v>0</v>
      </c>
      <c r="E1702" s="2661">
        <f>'Part IX A-Scoring Criteria'!E148</f>
        <v>0</v>
      </c>
      <c r="F1702" s="2661">
        <f>'Part IX A-Scoring Criteria'!F148</f>
        <v>0</v>
      </c>
      <c r="G1702" s="2661" t="str">
        <f>'Part IX A-Scoring Criteria'!G148</f>
        <v xml:space="preserve">Examples:Does that Really Work? Deciphering Popular Weight-loss Trends, Planning, Shopping and Dining: Practical Tactics for Good Nutrition
</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ht="146.25">
      <c r="A1703" s="2517"/>
      <c r="B1703" s="2517"/>
      <c r="C1703" s="2661" t="str">
        <f>'Part IX A-Scoring Criteria'!C149</f>
        <v>UGA HOME Gardening Programs</v>
      </c>
      <c r="D1703" s="2661">
        <f>'Part IX A-Scoring Criteria'!D149</f>
        <v>0</v>
      </c>
      <c r="E1703" s="2661">
        <f>'Part IX A-Scoring Criteria'!E149</f>
        <v>0</v>
      </c>
      <c r="F1703" s="2661">
        <f>'Part IX A-Scoring Criteria'!F149</f>
        <v>0</v>
      </c>
      <c r="G1703" s="2661" t="str">
        <f>'Part IX A-Scoring Criteria'!G149</f>
        <v>Examples: Georgia Homegrown Tomatoes, Home Garden Grapes, Peppers, Green Beans, Lettuce, Broccolli, etc.</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4004</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4044</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3856</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4812</v>
      </c>
      <c r="C1712" s="2661"/>
      <c r="D1712" s="2661"/>
      <c r="E1712" s="478" t="s">
        <v>3853</v>
      </c>
      <c r="F1712" s="2765"/>
      <c r="G1712" s="478"/>
      <c r="H1712" s="2765"/>
      <c r="I1712" s="2626" t="str">
        <f>'Part IX A-Scoring Criteria'!I158</f>
        <v>Dougherty County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3855</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2924</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3851</v>
      </c>
      <c r="I1715" s="2626" t="s">
        <v>3897</v>
      </c>
      <c r="J1715" s="2626"/>
      <c r="K1715" s="2626"/>
      <c r="L1715" s="2626"/>
      <c r="M1715" s="2434" t="s">
        <v>3850</v>
      </c>
      <c r="N1715" s="2434"/>
      <c r="O1715" s="2434" t="s">
        <v>3854</v>
      </c>
      <c r="P1715" s="2434"/>
      <c r="Q1715" s="2626"/>
      <c r="R1715" s="2747"/>
      <c r="S1715" s="2747"/>
      <c r="T1715" s="2747"/>
      <c r="U1715" s="2747"/>
      <c r="V1715" s="2747"/>
      <c r="W1715" s="2747"/>
      <c r="X1715" s="2747"/>
      <c r="Y1715" s="2747"/>
      <c r="Z1715" s="2747"/>
    </row>
    <row r="1716" spans="1:26" ht="23.25">
      <c r="A1716" s="2580"/>
      <c r="B1716" s="2825" t="s">
        <v>3848</v>
      </c>
      <c r="C1716" s="2591"/>
      <c r="D1716" s="2356" t="s">
        <v>4813</v>
      </c>
      <c r="E1716" s="2356"/>
      <c r="F1716" s="2356"/>
      <c r="G1716" s="2685" t="s">
        <v>3420</v>
      </c>
      <c r="H1716" s="2669"/>
      <c r="I1716" s="2711">
        <v>2014</v>
      </c>
      <c r="J1716" s="2711">
        <v>2015</v>
      </c>
      <c r="K1716" s="2711">
        <v>2016</v>
      </c>
      <c r="L1716" s="2711">
        <v>2017</v>
      </c>
      <c r="M1716" s="2434"/>
      <c r="N1716" s="2434"/>
      <c r="O1716" s="2434"/>
      <c r="P1716" s="2434"/>
      <c r="Q1716" s="2826" t="s">
        <v>3849</v>
      </c>
      <c r="R1716" s="2826"/>
      <c r="S1716" s="2747"/>
      <c r="T1716" s="2747"/>
      <c r="U1716" s="2747"/>
      <c r="V1716" s="2747"/>
      <c r="W1716" s="2747"/>
      <c r="X1716" s="2747"/>
      <c r="Y1716" s="2747"/>
      <c r="Z1716" s="2747"/>
    </row>
    <row r="1717" spans="1:26" ht="15">
      <c r="A1717" s="2702" t="s">
        <v>2451</v>
      </c>
      <c r="B1717" s="2633" t="s">
        <v>4043</v>
      </c>
      <c r="C1717" s="2747"/>
      <c r="D1717" s="2626">
        <f>'Part IX A-Scoring Criteria'!D163</f>
        <v>0</v>
      </c>
      <c r="E1717" s="2626">
        <f>'Part IX A-Scoring Criteria'!E163</f>
        <v>0</v>
      </c>
      <c r="F1717" s="2626">
        <f>'Part IX A-Scoring Criteria'!F163</f>
        <v>0</v>
      </c>
      <c r="G1717" s="2827">
        <f>'Part IX A-Scoring Criteria'!G163</f>
        <v>0</v>
      </c>
      <c r="H1717" s="2693">
        <f>'Part IX A-Scoring Criteria'!H163</f>
        <v>0</v>
      </c>
      <c r="I1717" s="2828">
        <f>'Part IX A-Scoring Criteria'!I163</f>
        <v>0</v>
      </c>
      <c r="J1717" s="2828">
        <f>'Part IX A-Scoring Criteria'!J163</f>
        <v>0</v>
      </c>
      <c r="K1717" s="2828">
        <f>'Part IX A-Scoring Criteria'!K163</f>
        <v>0</v>
      </c>
      <c r="L1717" s="2828">
        <f>'Part IX A-Scoring Criteria'!L163</f>
        <v>0</v>
      </c>
      <c r="M1717" s="2829" t="str">
        <f>IF(I1717+J1717+K1717+L1717=0,"",AVERAGE(I1717,J1717,K1717,L1717))</f>
        <v/>
      </c>
      <c r="N1717" s="2829"/>
      <c r="O1717" s="2556" t="str">
        <f>IF(M1717="","",IF(M1717&gt;Q1717,"Yes",IF(M1717&lt;Q1717,"No","")))</f>
        <v/>
      </c>
      <c r="P1717" s="2747"/>
      <c r="Q1717" s="2367">
        <v>73.400000000000006</v>
      </c>
      <c r="R1717" s="2367"/>
      <c r="S1717" s="2747"/>
      <c r="T1717" s="2747"/>
      <c r="U1717" s="2747"/>
      <c r="V1717" s="2747"/>
      <c r="W1717" s="2747"/>
      <c r="X1717" s="2747"/>
      <c r="Y1717" s="2747"/>
      <c r="Z1717" s="2747"/>
    </row>
    <row r="1718" spans="1:26" ht="45">
      <c r="A1718" s="2712" t="s">
        <v>2452</v>
      </c>
      <c r="B1718" s="2633" t="s">
        <v>4217</v>
      </c>
      <c r="C1718" s="2747"/>
      <c r="D1718" s="2626" t="str">
        <f>'Part IX A-Scoring Criteria'!D164</f>
        <v>Merry Acres Middle School</v>
      </c>
      <c r="E1718" s="2626">
        <f>'Part IX A-Scoring Criteria'!E164</f>
        <v>0</v>
      </c>
      <c r="F1718" s="2626">
        <f>'Part IX A-Scoring Criteria'!F164</f>
        <v>0</v>
      </c>
      <c r="G1718" s="2827" t="str">
        <f>'Part IX A-Scoring Criteria'!G164</f>
        <v>06-08</v>
      </c>
      <c r="H1718" s="2693" t="str">
        <f>'Part IX A-Scoring Criteria'!H164</f>
        <v>No</v>
      </c>
      <c r="I1718" s="2828">
        <f>'Part IX A-Scoring Criteria'!I164</f>
        <v>78.7</v>
      </c>
      <c r="J1718" s="2828">
        <f>'Part IX A-Scoring Criteria'!J164</f>
        <v>75.400000000000006</v>
      </c>
      <c r="K1718" s="2828">
        <f>'Part IX A-Scoring Criteria'!K164</f>
        <v>67.400000000000006</v>
      </c>
      <c r="L1718" s="2828">
        <f>'Part IX A-Scoring Criteria'!L164</f>
        <v>0</v>
      </c>
      <c r="M1718" s="2829">
        <f>IF(I1718+J1718+K1718+L1718=0,"",AVERAGE(I1718,J1718,K1718,L1718))</f>
        <v>55.375000000000007</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15">
      <c r="A1719" s="2702" t="s">
        <v>2453</v>
      </c>
      <c r="B1719" s="2633" t="s">
        <v>4041</v>
      </c>
      <c r="C1719" s="2747"/>
      <c r="D1719" s="2626">
        <f>'Part IX A-Scoring Criteria'!D165</f>
        <v>0</v>
      </c>
      <c r="E1719" s="2626">
        <f>'Part IX A-Scoring Criteria'!E165</f>
        <v>0</v>
      </c>
      <c r="F1719" s="2626">
        <f>'Part IX A-Scoring Criteria'!F165</f>
        <v>0</v>
      </c>
      <c r="G1719" s="2827">
        <f>'Part IX A-Scoring Criteria'!G165</f>
        <v>0</v>
      </c>
      <c r="H1719" s="2693">
        <f>'Part IX A-Scoring Criteria'!H165</f>
        <v>0</v>
      </c>
      <c r="I1719" s="2828">
        <f>'Part IX A-Scoring Criteria'!I165</f>
        <v>0</v>
      </c>
      <c r="J1719" s="2828">
        <f>'Part IX A-Scoring Criteria'!J165</f>
        <v>0</v>
      </c>
      <c r="K1719" s="2828">
        <f>'Part IX A-Scoring Criteria'!K165</f>
        <v>0</v>
      </c>
      <c r="L1719" s="2828">
        <f>'Part IX A-Scoring Criteria'!L165</f>
        <v>0</v>
      </c>
      <c r="M1719" s="2829" t="str">
        <f>IF(I1719+J1719+K1719+L1719=0,"",AVERAGE(I1719,J1719,K1719,L1719))</f>
        <v/>
      </c>
      <c r="N1719" s="2829"/>
      <c r="O1719" s="2556" t="str">
        <f>IF(M1719="","",IF(M1719&gt;Q1719,"Yes",IF(M1719&lt;Q1719,"No","")))</f>
        <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4043</v>
      </c>
      <c r="C1721" s="2747"/>
      <c r="D1721" s="2735">
        <f>IF(D1717="","",D1717)</f>
        <v>0</v>
      </c>
      <c r="E1721" s="2747"/>
      <c r="F1721" s="2747"/>
      <c r="G1721" s="2711">
        <f t="shared" ref="G1721:H1723" si="325">IF(G1717="","",G1717)</f>
        <v>0</v>
      </c>
      <c r="H1721" s="2711">
        <f t="shared" si="325"/>
        <v>0</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4042</v>
      </c>
      <c r="C1722" s="2747"/>
      <c r="D1722" s="2735" t="str">
        <f>IF(D1718="","",D1718)</f>
        <v>Merry Acres Middle School</v>
      </c>
      <c r="E1722" s="2747"/>
      <c r="F1722" s="2747"/>
      <c r="G1722" s="2711" t="str">
        <f t="shared" si="325"/>
        <v>06-08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4041</v>
      </c>
      <c r="C1723" s="2747"/>
      <c r="D1723" s="2735">
        <f>IF(D1719="","",D1719)</f>
        <v>0</v>
      </c>
      <c r="E1723" s="2747"/>
      <c r="F1723" s="2747"/>
      <c r="G1723" s="2711">
        <f t="shared" si="325"/>
        <v>0</v>
      </c>
      <c r="H1723" s="2711">
        <f t="shared" si="325"/>
        <v>0</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4045</v>
      </c>
      <c r="C1725" s="2765"/>
      <c r="D1725" s="2812"/>
      <c r="E1725" s="2812"/>
      <c r="F1725" s="2796" t="s">
        <v>3413</v>
      </c>
      <c r="G1725" s="2765"/>
      <c r="H1725" s="2597" t="s">
        <v>3898</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4220</v>
      </c>
      <c r="F1726" s="2831" t="s">
        <v>3686</v>
      </c>
      <c r="G1726" s="2557" t="s">
        <v>3421</v>
      </c>
      <c r="H1726" s="2557"/>
      <c r="I1726" s="2557"/>
      <c r="J1726" s="2557"/>
      <c r="K1726" s="2557"/>
      <c r="L1726" s="2557"/>
      <c r="M1726" s="2557"/>
      <c r="N1726" s="2557"/>
      <c r="O1726" s="1156"/>
      <c r="P1726" s="2736"/>
      <c r="Q1726" s="1156"/>
      <c r="R1726" s="1156" t="s">
        <v>2851</v>
      </c>
      <c r="S1726" s="1156"/>
      <c r="T1726" s="2724" t="str">
        <f>'Part I-Project Information'!$F$38</f>
        <v>Albany</v>
      </c>
      <c r="U1726" s="2724"/>
      <c r="V1726" s="2724"/>
      <c r="W1726" s="2724"/>
      <c r="X1726" s="2724"/>
      <c r="Y1726" s="1156"/>
      <c r="Z1726" s="1156"/>
    </row>
    <row r="1727" spans="1:26" ht="12.75" customHeight="1">
      <c r="A1727" s="2700"/>
      <c r="B1727" s="2831" t="s">
        <v>4048</v>
      </c>
      <c r="C1727" s="2831"/>
      <c r="D1727" s="2831"/>
      <c r="E1727" s="2831"/>
      <c r="F1727" s="2831"/>
      <c r="G1727" s="2661" t="s">
        <v>4047</v>
      </c>
      <c r="H1727" s="2661"/>
      <c r="I1727" s="2661"/>
      <c r="J1727" s="2661"/>
      <c r="K1727" s="2661"/>
      <c r="L1727" s="2661"/>
      <c r="M1727" s="2661"/>
      <c r="N1727" s="2661"/>
      <c r="O1727" s="2831" t="s">
        <v>3687</v>
      </c>
      <c r="P1727" s="2831"/>
      <c r="Q1727" s="1156"/>
      <c r="R1727" s="2724" t="s">
        <v>2852</v>
      </c>
      <c r="S1727" s="1156"/>
      <c r="T1727" s="2724" t="str">
        <f>'Part I-Project Information'!$J$39</f>
        <v>Dougherty</v>
      </c>
      <c r="U1727" s="2724"/>
      <c r="V1727" s="2724"/>
      <c r="W1727" s="2724"/>
      <c r="X1727" s="2724"/>
      <c r="Y1727" s="1156"/>
      <c r="Z1727" s="1156"/>
    </row>
    <row r="1728" spans="1:26">
      <c r="A1728" s="2700"/>
      <c r="B1728" s="478" t="s">
        <v>3857</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2853</v>
      </c>
      <c r="S1728" s="1156"/>
      <c r="T1728" s="2724" t="str">
        <f>'Part I-Project Information'!$O$40</f>
        <v>Albany</v>
      </c>
      <c r="U1728" s="2724"/>
      <c r="V1728" s="2724"/>
      <c r="W1728" s="2724"/>
      <c r="X1728" s="2724"/>
      <c r="Y1728" s="1156"/>
      <c r="Z1728" s="1156"/>
    </row>
    <row r="1729" spans="1:26" ht="12.75" customHeight="1">
      <c r="A1729" s="2700"/>
      <c r="B1729" s="2626" t="s">
        <v>4046</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3891</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3892</v>
      </c>
      <c r="C1731" s="1156"/>
      <c r="D1731" s="1156"/>
      <c r="E1731" s="2835"/>
      <c r="F1731" s="2835"/>
      <c r="G1731" s="2835"/>
      <c r="H1731" s="1156"/>
      <c r="I1731" s="2835">
        <f>'Part IX A-Scoring Criteria'!I177</f>
        <v>6000</v>
      </c>
      <c r="J1731" s="2835">
        <f>'Part IX A-Scoring Criteria'!J177</f>
        <v>0</v>
      </c>
      <c r="K1731" s="1156"/>
      <c r="L1731" s="1156"/>
      <c r="M1731" s="1156"/>
      <c r="N1731" s="1156"/>
      <c r="O1731" s="1156"/>
      <c r="P1731" s="1156"/>
      <c r="Q1731" s="1156"/>
      <c r="R1731" s="1156" t="s">
        <v>3652</v>
      </c>
      <c r="S1731" s="1156"/>
      <c r="T1731" s="2724" t="str">
        <f>'Part I-Project Information'!$K$40</f>
        <v>Urban</v>
      </c>
      <c r="U1731" s="2724"/>
      <c r="V1731" s="2724"/>
      <c r="W1731" s="2724"/>
      <c r="X1731" s="2724"/>
      <c r="Y1731" s="1156"/>
      <c r="Z1731" s="1156"/>
    </row>
    <row r="1732" spans="1:26" ht="13.5">
      <c r="A1732" s="2725"/>
      <c r="B1732" s="2735" t="s">
        <v>3651</v>
      </c>
      <c r="C1732" s="1156"/>
      <c r="D1732" s="1156"/>
      <c r="E1732" s="1156"/>
      <c r="F1732" s="1156"/>
      <c r="G1732" s="1156"/>
      <c r="H1732" s="2836" t="str">
        <f>IF(I1732&lt;I1731,"Threshold not met!","")</f>
        <v/>
      </c>
      <c r="I1732" s="2835">
        <f>'Part IX A-Scoring Criteria'!I178</f>
        <v>10637</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4219</v>
      </c>
      <c r="D1734" s="2724"/>
      <c r="E1734" s="2724"/>
      <c r="F1734" s="2724"/>
      <c r="G1734" s="2724"/>
      <c r="H1734" s="2837" t="s">
        <v>2002</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4049</v>
      </c>
      <c r="D1735" s="2824"/>
      <c r="E1735" s="2824"/>
      <c r="F1735" s="2824"/>
      <c r="G1735" s="1156"/>
      <c r="H1735" s="2837" t="s">
        <v>2004</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3915</v>
      </c>
      <c r="D1736" s="2824"/>
      <c r="E1736" s="2824"/>
      <c r="F1736" s="2824"/>
      <c r="G1736" s="2813"/>
      <c r="H1736" s="1156"/>
      <c r="I1736" s="2717">
        <f>'Part IX A-Scoring Criteria'!I182</f>
        <v>0.77283333333333326</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3781</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 xml:space="preserve">A. QUALITY EDUCATION AREAS
The proposed development site is located in the attendance zone of one (1) school that has an above-average CCRPI score.  The average of the CCRPI scores for the three successive years of 2014-2016 for Merry Acres Middle School is 73.83 as Merry Acres Middle School achieved CCRPI Scores of 78.7 in 2014, 75.4 in 2015 and 67.4 in 2016.   This average of the 2014-2016 CCRPI Scores for Merry Acres Middle School of 73.83 exceeds the state average of 72.1.  The 2018 QAP allows the Applicant to use the average of 2014-2016 data in determining if the school exceeds the Above-Average CCRPI Score.  Therefore the Applicant is eligible for one (1) point as Pointe North Village III is located in the attendance of one school that achieved above-average CCRPI scores for the three successive years of 2014-2016.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10,637 jobs (using 2015 data as allowed by the 2018 QAP) within a 2-mile radius as noted on the Copy of the report from the Census Bureau’s “OnTheMap” website. The report was generated using the nearest address used in the Application.  That address is;
2713 Pointe North Blvd
Albany, GA 31721
</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4055</v>
      </c>
      <c r="C1743" s="2765"/>
      <c r="D1743" s="2766"/>
      <c r="E1743" s="2766"/>
      <c r="F1743" s="2765"/>
      <c r="G1743" s="2765"/>
      <c r="H1743" s="2598" t="s">
        <v>4056</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4814</v>
      </c>
      <c r="C1745" s="2569"/>
      <c r="D1745" s="2569"/>
      <c r="E1745" s="2356" t="s">
        <v>4230</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4184</v>
      </c>
      <c r="D1747" s="2661"/>
      <c r="E1747" s="2661"/>
      <c r="F1747" s="2661"/>
      <c r="G1747" s="2661"/>
      <c r="H1747" s="2661"/>
      <c r="I1747" s="2661"/>
      <c r="J1747" s="2712" t="s">
        <v>2451</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4815</v>
      </c>
      <c r="D1749" s="2661"/>
      <c r="E1749" s="2661"/>
      <c r="F1749" s="2661"/>
      <c r="G1749" s="2661"/>
      <c r="H1749" s="2747"/>
      <c r="I1749" s="2747"/>
      <c r="J1749" s="2702" t="s">
        <v>2452</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4060</v>
      </c>
      <c r="D1751" s="2686"/>
      <c r="E1751" s="2686"/>
      <c r="F1751" s="2686"/>
      <c r="G1751" s="2686"/>
      <c r="H1751" s="2686"/>
      <c r="I1751" s="2678"/>
      <c r="J1751" s="2712" t="s">
        <v>2454</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4227</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4050</v>
      </c>
      <c r="D1753" s="2686"/>
      <c r="E1753" s="2686"/>
      <c r="F1753" s="2686"/>
      <c r="G1753" s="2686"/>
      <c r="H1753" s="2686"/>
      <c r="I1753" s="2678"/>
      <c r="J1753" s="2712" t="s">
        <v>2455</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4051</v>
      </c>
      <c r="D1755" s="2686"/>
      <c r="E1755" s="2686"/>
      <c r="F1755" s="2686"/>
      <c r="G1755" s="2678"/>
      <c r="H1755" s="2678"/>
      <c r="I1755" s="2678"/>
      <c r="J1755" s="2712" t="s">
        <v>2472</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4052</v>
      </c>
      <c r="E1756" s="2686"/>
      <c r="F1756" s="2843">
        <f>'Part IX A-Scoring Criteria'!F202</f>
        <v>0</v>
      </c>
      <c r="G1756" s="2843">
        <f>'Part IX A-Scoring Criteria'!G202</f>
        <v>0</v>
      </c>
      <c r="H1756" s="2678"/>
      <c r="I1756" s="2686" t="s">
        <v>4053</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4816</v>
      </c>
      <c r="D1757" s="2686"/>
      <c r="E1757" s="2686"/>
      <c r="F1757" s="2686"/>
      <c r="G1757" s="2678"/>
      <c r="H1757" s="2678"/>
      <c r="I1757" s="2678"/>
      <c r="J1757" s="2712" t="s">
        <v>2473</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4185</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4054</v>
      </c>
      <c r="M1761" s="2553">
        <v>5</v>
      </c>
      <c r="N1761" s="2700" t="s">
        <v>1999</v>
      </c>
      <c r="O1761" s="2844">
        <f>'Part IX A-Scoring Criteria'!O207</f>
        <v>0</v>
      </c>
      <c r="P1761" s="2844">
        <f>'Part IX A-Scoring Criteria'!P207</f>
        <v>0</v>
      </c>
      <c r="Q1761" s="2406"/>
      <c r="X1761" s="2551"/>
      <c r="Y1761" s="2702"/>
    </row>
    <row r="1762" spans="1:26" ht="12.75" customHeight="1">
      <c r="A1762" s="2700"/>
      <c r="B1762" s="2823" t="s">
        <v>2002</v>
      </c>
      <c r="C1762" s="2661" t="s">
        <v>4817</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0</v>
      </c>
      <c r="P1762" s="2785">
        <f>'Part IX A-Scoring Criteria'!P208</f>
        <v>0</v>
      </c>
      <c r="Q1762" s="2786" t="str">
        <f>IF(OR($O1762=$M1762,$O1762=0,$O1762=""),"","*CHECK!*")</f>
        <v/>
      </c>
      <c r="R1762" s="2351" t="s">
        <v>2724</v>
      </c>
    </row>
    <row r="1763" spans="1:26" ht="12.75" customHeight="1">
      <c r="A1763" s="2700"/>
      <c r="B1763" s="2823" t="s">
        <v>2004</v>
      </c>
      <c r="C1763" s="2736" t="s">
        <v>4818</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0</v>
      </c>
      <c r="P1763" s="2785">
        <f>'Part IX A-Scoring Criteria'!P209</f>
        <v>0</v>
      </c>
      <c r="Q1763" s="2786" t="str">
        <f>IF(OR($O1763=$M1763,$O1763=0,$O1763=""),"","*CHECK!*")</f>
        <v/>
      </c>
      <c r="R1763" s="2351" t="s">
        <v>2724</v>
      </c>
    </row>
    <row r="1764" spans="1:26">
      <c r="A1764" s="2700"/>
      <c r="B1764" s="2735"/>
      <c r="C1764" s="2735" t="s">
        <v>3806</v>
      </c>
      <c r="E1764" s="2735" t="str">
        <f>'Part I-Project Information'!$N$39</f>
        <v>No</v>
      </c>
      <c r="G1764" s="2735" t="s">
        <v>3600</v>
      </c>
      <c r="I1764" s="2845" t="str">
        <f>'Part I-Project Information'!$O$38</f>
        <v>104.01</v>
      </c>
      <c r="J1764" s="2845"/>
      <c r="K1764" s="2597" t="s">
        <v>3397</v>
      </c>
      <c r="M1764" s="2597" t="str">
        <f>'Part IV-A-Uses of Funds'!$H$152</f>
        <v>DDA/QCT</v>
      </c>
    </row>
    <row r="1765" spans="1:26">
      <c r="A1765" s="2700"/>
      <c r="B1765" s="2735"/>
      <c r="D1765" s="2711"/>
      <c r="E1765" s="2735"/>
      <c r="G1765" s="2597"/>
      <c r="K1765" s="2597"/>
      <c r="L1765" s="2597"/>
    </row>
    <row r="1766" spans="1:26">
      <c r="A1766" s="2580" t="s">
        <v>2001</v>
      </c>
      <c r="B1766" s="2569" t="s">
        <v>4057</v>
      </c>
      <c r="D1766" s="2354"/>
      <c r="K1766" s="2585"/>
      <c r="L1766" s="2710" t="str">
        <f>IF(OR($O1766=$M1766,$O1766=0,$O1766=""),"","* * Check Score! * *")</f>
        <v/>
      </c>
      <c r="M1766" s="2553">
        <v>2</v>
      </c>
      <c r="N1766" s="2700" t="s">
        <v>2001</v>
      </c>
      <c r="O1766" s="2746">
        <f>'Part IX A-Scoring Criteria'!O212</f>
        <v>0</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Flexible</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3888</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3889</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3650</v>
      </c>
      <c r="N1769" s="2747"/>
      <c r="O1769" s="2747"/>
      <c r="P1769" s="2747"/>
      <c r="Q1769" s="2747"/>
      <c r="R1769" s="2747"/>
      <c r="S1769" s="2747"/>
      <c r="T1769" s="2747"/>
      <c r="U1769" s="2747"/>
      <c r="V1769" s="2814"/>
      <c r="W1769" s="2814"/>
      <c r="X1769" s="2747"/>
      <c r="Y1769" s="2747"/>
      <c r="Z1769" s="2747"/>
    </row>
    <row r="1770" spans="1:26" ht="18.75">
      <c r="A1770" s="2640"/>
      <c r="B1770" s="2735" t="s">
        <v>4244</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3817</v>
      </c>
      <c r="G1771" s="2686"/>
      <c r="J1771" s="2847">
        <f>'Part IX A-Scoring Criteria'!J217</f>
        <v>0</v>
      </c>
      <c r="K1771" s="2848" t="s">
        <v>3816</v>
      </c>
      <c r="L1771" s="2678"/>
      <c r="N1771" s="2549"/>
      <c r="O1771" s="2551"/>
      <c r="P1771" s="2551"/>
      <c r="V1771" s="2814"/>
      <c r="W1771" s="2814"/>
    </row>
    <row r="1772" spans="1:26" ht="18.75" customHeight="1">
      <c r="A1772" s="2849" t="s">
        <v>4224</v>
      </c>
      <c r="B1772" s="2661" t="s">
        <v>4221</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4222</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4223</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3477</v>
      </c>
      <c r="G1775" s="478" t="s">
        <v>2646</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4548</v>
      </c>
      <c r="D1776" s="2664"/>
      <c r="E1776" s="2747"/>
      <c r="F1776" s="2747"/>
      <c r="G1776" s="2851">
        <f>'Part IV-A-Uses of Funds'!$G$132</f>
        <v>10235578.982141985</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3781</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78.75">
      <c r="A1778" s="2661" t="str">
        <f>'Part IX A-Scoring Criteria'!A224</f>
        <v>Not Applicable - The Applicant is not claiming points in this section.</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4058</v>
      </c>
      <c r="C1782" s="2664"/>
      <c r="D1782" s="2664"/>
      <c r="E1782" s="2664"/>
      <c r="F1782" s="2664"/>
      <c r="G1782" s="2664"/>
      <c r="H1782" s="2664"/>
      <c r="I1782" s="2664"/>
      <c r="J1782" s="2664"/>
      <c r="K1782" s="2693" t="s">
        <v>3267</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4061</v>
      </c>
      <c r="C1783" s="2747"/>
      <c r="D1783" s="1156" t="s">
        <v>4062</v>
      </c>
      <c r="E1783" s="2747"/>
      <c r="F1783" s="2747"/>
      <c r="G1783" s="2747"/>
      <c r="H1783" s="2747"/>
      <c r="I1783" s="2747"/>
      <c r="J1783" s="2747"/>
      <c r="K1783" s="2844">
        <f>'Part IX A-Scoring Criteria'!K229</f>
        <v>0</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4063</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4064</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4065</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4066</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4819</v>
      </c>
      <c r="D1789" s="2354"/>
      <c r="G1789" s="2735" t="s">
        <v>3812</v>
      </c>
      <c r="Q1789" s="2406"/>
    </row>
    <row r="1790" spans="1:26">
      <c r="A1790" s="2700"/>
      <c r="B1790" s="478" t="s">
        <v>3893</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4067</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4820</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4071</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4071</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4072</v>
      </c>
      <c r="D1799" s="2686"/>
      <c r="E1799" s="2686"/>
      <c r="F1799" s="2686"/>
      <c r="G1799" s="2735" t="s">
        <v>3812</v>
      </c>
      <c r="H1799" s="2686"/>
      <c r="I1799" s="2686"/>
      <c r="J1799" s="2686"/>
      <c r="K1799" s="2686"/>
      <c r="L1799" s="2686"/>
      <c r="M1799" s="2686"/>
      <c r="N1799" s="2686"/>
      <c r="O1799" s="2659" t="s">
        <v>2527</v>
      </c>
      <c r="P1799" s="2659" t="s">
        <v>2527</v>
      </c>
      <c r="Q1799" s="2686"/>
    </row>
    <row r="1800" spans="1:26" ht="18.75" customHeight="1">
      <c r="A1800" s="2700"/>
      <c r="B1800" s="2854"/>
      <c r="C1800" s="2661" t="s">
        <v>4821</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4188</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4186</v>
      </c>
      <c r="D1805" s="2664"/>
      <c r="E1805" s="2664"/>
      <c r="F1805" s="2664"/>
      <c r="G1805" s="2664"/>
      <c r="H1805" s="2664"/>
      <c r="I1805" s="2664"/>
      <c r="J1805" s="2664"/>
      <c r="K1805" s="2664"/>
      <c r="L1805" s="2661" t="s">
        <v>4190</v>
      </c>
      <c r="M1805" s="2661"/>
      <c r="N1805" s="2686" t="s">
        <v>4191</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4073</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4077</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3815</v>
      </c>
      <c r="D1811" s="2354"/>
      <c r="Q1811" s="2553"/>
    </row>
    <row r="1812" spans="1:26" ht="18.75" customHeight="1">
      <c r="A1812" s="2700"/>
      <c r="B1812" s="2855"/>
      <c r="C1812" s="2661" t="s">
        <v>4079</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4080</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4081</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4822</v>
      </c>
      <c r="D1816" s="2354"/>
      <c r="G1816" s="2735" t="s">
        <v>3812</v>
      </c>
      <c r="O1816" s="2659" t="s">
        <v>2527</v>
      </c>
      <c r="P1816" s="2659" t="s">
        <v>2527</v>
      </c>
      <c r="Q1816" s="2406"/>
    </row>
    <row r="1817" spans="1:26" ht="18.75" customHeight="1">
      <c r="A1817" s="2700"/>
      <c r="B1817" s="2823" t="s">
        <v>2002</v>
      </c>
      <c r="C1817" s="2661" t="s">
        <v>4075</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4076</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3781</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76.5">
      <c r="A1820" s="2432" t="str">
        <f>'Part IX A-Scoring Criteria'!A266</f>
        <v>Not Applicable - The Applicant is not claiming points in this section.</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4232</v>
      </c>
      <c r="I1824" s="2765"/>
      <c r="J1824" s="2765"/>
      <c r="K1824" s="2765"/>
      <c r="L1824" s="2765"/>
      <c r="M1824" s="2562">
        <v>7</v>
      </c>
      <c r="N1824" s="2553"/>
      <c r="O1824" s="2565">
        <f>'Part IX A-Scoring Criteria'!O270</f>
        <v>5</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3626</v>
      </c>
      <c r="B1826" s="2569" t="s">
        <v>3624</v>
      </c>
      <c r="C1826" s="2765"/>
      <c r="D1826" s="2766"/>
      <c r="E1826" s="2766"/>
      <c r="F1826" s="2765"/>
      <c r="G1826" s="2765"/>
      <c r="H1826" s="2356"/>
      <c r="I1826" s="2765"/>
      <c r="J1826" s="2765"/>
      <c r="K1826" s="2765"/>
      <c r="L1826" s="2765"/>
      <c r="M1826" s="2553">
        <v>3</v>
      </c>
      <c r="N1826" s="2809" t="s">
        <v>4085</v>
      </c>
      <c r="O1826" s="2565">
        <f>'Part IX A-Scoring Criteria'!O272</f>
        <v>3</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Flexible</v>
      </c>
      <c r="N1827" s="2809"/>
      <c r="O1827" s="2711" t="s">
        <v>2527</v>
      </c>
      <c r="P1827" s="2711" t="s">
        <v>2527</v>
      </c>
    </row>
    <row r="1828" spans="1:26" ht="12.75" customHeight="1">
      <c r="A1828" s="2859"/>
      <c r="B1828" s="2818" t="s">
        <v>2002</v>
      </c>
      <c r="C1828" s="1156" t="s">
        <v>2702</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f>'Part IX A-Scoring Criteria'!H275</f>
        <v>0.05</v>
      </c>
      <c r="I1829" s="1156" t="s">
        <v>2758</v>
      </c>
      <c r="L1829" s="478" t="s">
        <v>2756</v>
      </c>
      <c r="M1829" s="2658" t="str">
        <f>IF(O1829&gt;H1829,"CHECK ACTUAL PERCENT!!!","")</f>
        <v/>
      </c>
      <c r="N1829" s="2784" t="s">
        <v>2004</v>
      </c>
      <c r="O1829" s="2862">
        <f>'Part IX A-Scoring Criteria'!O275</f>
        <v>4.2900000000000001E-2</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t="str">
        <f>'Part IX A-Scoring Criteria'!O276</f>
        <v>Upper</v>
      </c>
      <c r="P1830" s="2659" t="str">
        <f>'Part IX A-Scoring Criteria'!P276</f>
        <v>&lt;Select&gt;</v>
      </c>
      <c r="Q1830" s="2860"/>
      <c r="R1830" s="2860"/>
    </row>
    <row r="1831" spans="1:26" ht="12.75" customHeight="1">
      <c r="A1831" s="2678"/>
      <c r="B1831" s="2823" t="s">
        <v>1236</v>
      </c>
      <c r="C1831" s="2661" t="s">
        <v>4823</v>
      </c>
      <c r="D1831" s="2661"/>
      <c r="E1831" s="2661"/>
      <c r="F1831" s="2661"/>
      <c r="G1831" s="2661"/>
      <c r="H1831" s="2661"/>
      <c r="I1831" s="2661"/>
      <c r="J1831" s="2863" t="s">
        <v>4084</v>
      </c>
      <c r="K1831" s="2863" t="s">
        <v>4082</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4147</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3625</v>
      </c>
      <c r="C1834" s="1156"/>
      <c r="G1834" s="1156"/>
      <c r="M1834" s="2553">
        <v>2</v>
      </c>
      <c r="N1834" s="2583" t="s">
        <v>757</v>
      </c>
      <c r="O1834" s="2565">
        <f>'Part IX A-Scoring Criteria'!O280</f>
        <v>2</v>
      </c>
      <c r="P1834" s="2565">
        <f>'Part IX A-Scoring Criteria'!P280</f>
        <v>0</v>
      </c>
    </row>
    <row r="1835" spans="1:26">
      <c r="A1835" s="2604"/>
      <c r="B1835" s="2724" t="s">
        <v>3629</v>
      </c>
      <c r="C1835" s="2724"/>
      <c r="D1835" s="2724"/>
      <c r="E1835" s="2724"/>
      <c r="F1835" s="2724"/>
      <c r="G1835" s="2724"/>
      <c r="H1835" s="2669"/>
      <c r="I1835" s="2669"/>
      <c r="N1835" s="2549"/>
      <c r="O1835" s="2659" t="str">
        <f>'Part IX A-Scoring Criteria'!O281</f>
        <v>A2</v>
      </c>
      <c r="P1835" s="2659" t="str">
        <f>'Part IX A-Scoring Criteria'!P281</f>
        <v>&lt;Select&gt;</v>
      </c>
    </row>
    <row r="1836" spans="1:26">
      <c r="A1836" s="2604" t="s">
        <v>2131</v>
      </c>
      <c r="B1836" s="2818" t="s">
        <v>3627</v>
      </c>
      <c r="C1836" s="1156"/>
      <c r="G1836" s="2735" t="s">
        <v>3628</v>
      </c>
      <c r="H1836" s="2869">
        <f>'Part VI-Revenues &amp; Expenses'!$O$59</f>
        <v>0</v>
      </c>
      <c r="I1836" s="2711" t="s">
        <v>3631</v>
      </c>
      <c r="J1836" s="2869">
        <f>'Part VI-Revenues &amp; Expenses'!$O$62</f>
        <v>54</v>
      </c>
      <c r="K1836" s="2711" t="s">
        <v>3632</v>
      </c>
      <c r="L1836" s="2870">
        <f>IF(J1836=0,0,H1836/J1836)</f>
        <v>0</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4086</v>
      </c>
      <c r="C1840" s="2765"/>
      <c r="D1840" s="2766"/>
      <c r="E1840" s="2766"/>
      <c r="F1840" s="2765"/>
      <c r="G1840" s="2765"/>
      <c r="H1840" s="2356"/>
      <c r="I1840" s="2871" t="s">
        <v>3828</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3819</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f>'Part IX A-Scoring Criteria'!O287</f>
        <v>0</v>
      </c>
      <c r="P1841" s="2667">
        <f>'Part IX A-Scoring Criteria'!P287</f>
        <v>0</v>
      </c>
      <c r="U1841" s="2711">
        <f>IF(L1841="Yes",1,0)</f>
        <v>0</v>
      </c>
    </row>
    <row r="1842" spans="1:26">
      <c r="A1842" s="2561" t="s">
        <v>2001</v>
      </c>
      <c r="B1842" s="2872" t="s">
        <v>3820</v>
      </c>
      <c r="D1842" s="2721"/>
      <c r="L1842" s="2721"/>
      <c r="M1842" s="2873"/>
      <c r="N1842" s="2702" t="s">
        <v>2001</v>
      </c>
      <c r="O1842" s="2667">
        <f>'Part IX A-Scoring Criteria'!O288</f>
        <v>0</v>
      </c>
      <c r="P1842" s="2667">
        <f>'Part IX A-Scoring Criteria'!P288</f>
        <v>0</v>
      </c>
      <c r="U1842" s="2711">
        <f>IF(L1842="Yes",1,0)</f>
        <v>0</v>
      </c>
    </row>
    <row r="1843" spans="1:26" ht="15">
      <c r="A1843" s="2354"/>
      <c r="B1843" s="2766" t="s">
        <v>3781</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78.75">
      <c r="A1844" s="2661" t="str">
        <f>'Part IX A-Scoring Criteria'!A290</f>
        <v>Not Applicable - The Applicant is not claiming points in this section.</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3413</v>
      </c>
      <c r="I1848" s="2747"/>
      <c r="J1848" s="2658" t="s">
        <v>2812</v>
      </c>
      <c r="K1848" s="2555"/>
      <c r="L1848" s="2658" t="str">
        <f>'Part I-Project Information'!$H$100</f>
        <v>Flexible</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4824</v>
      </c>
      <c r="D1849" s="2354"/>
      <c r="E1849" s="2354"/>
      <c r="F1849" s="2354"/>
      <c r="H1849" s="2658" t="s">
        <v>3709</v>
      </c>
      <c r="I1849" s="1156"/>
      <c r="J1849" s="2658" t="str">
        <f>'Part I-Project Information'!$O$34</f>
        <v>No</v>
      </c>
      <c r="K1849" s="2658"/>
      <c r="L1849" s="2813" t="str">
        <f>'Part I-Project Information'!$O$35</f>
        <v>N/A</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4245</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4825</v>
      </c>
      <c r="R1850" s="2661"/>
      <c r="S1850" s="2661"/>
      <c r="T1850" s="2661"/>
      <c r="U1850" s="2661"/>
      <c r="V1850" s="2661"/>
      <c r="W1850" s="2661"/>
      <c r="X1850" s="2661"/>
      <c r="Y1850" s="2661"/>
      <c r="Z1850" s="2661"/>
    </row>
    <row r="1851" spans="1:26">
      <c r="A1851" s="478"/>
      <c r="B1851" s="2818"/>
      <c r="C1851" s="478" t="s">
        <v>3834</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3890</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4826</v>
      </c>
      <c r="C1856" s="2354"/>
      <c r="D1856" s="2354"/>
      <c r="E1856" s="2354"/>
      <c r="F1856" s="2354"/>
      <c r="G1856" s="2354"/>
      <c r="H1856" s="2796" t="s">
        <v>3414</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3633</v>
      </c>
      <c r="C1857" s="2354"/>
      <c r="D1857" s="2354"/>
      <c r="E1857" s="2354"/>
      <c r="F1857" s="2354"/>
      <c r="G1857" s="2354"/>
      <c r="H1857" s="2796"/>
      <c r="I1857" s="2354"/>
      <c r="J1857" s="2354"/>
      <c r="K1857" s="2354"/>
      <c r="L1857" s="2354"/>
      <c r="M1857" s="2553">
        <v>3</v>
      </c>
      <c r="N1857" s="2702" t="s">
        <v>2001</v>
      </c>
      <c r="O1857" s="2746">
        <f>'Part IX A-Scoring Criteria'!O303</f>
        <v>3</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4827</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3</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4828</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4829</v>
      </c>
      <c r="C1860" s="2354"/>
      <c r="D1860" s="2354"/>
      <c r="E1860" s="2354"/>
      <c r="F1860" s="2354"/>
      <c r="G1860" s="2354"/>
      <c r="H1860" s="2796" t="s">
        <v>4092</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3636</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3635</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4830</v>
      </c>
      <c r="D1863" s="2354"/>
      <c r="E1863" s="2354"/>
      <c r="F1863" s="2354"/>
      <c r="G1863" s="2597"/>
      <c r="H1863" s="2598"/>
      <c r="I1863" s="2597"/>
      <c r="K1863" s="2566"/>
      <c r="L1863" s="2566"/>
      <c r="M1863" s="2549">
        <v>3</v>
      </c>
      <c r="N1863" s="2816" t="s">
        <v>2004</v>
      </c>
      <c r="O1863" s="2746">
        <f>'Part IX A-Scoring Criteria'!O309</f>
        <v>0</v>
      </c>
      <c r="P1863" s="2746">
        <f>'Part IX A-Scoring Criteria'!P309</f>
        <v>0</v>
      </c>
      <c r="Q1863" s="2786" t="str">
        <f t="shared" ref="Q1863:Q1864" si="326">IF(OR($O1863=$M1863,$O1863=0,$O1863=""),"","*CHECK!*")</f>
        <v/>
      </c>
      <c r="R1863" s="2830" t="s">
        <v>2724</v>
      </c>
    </row>
    <row r="1864" spans="1:26">
      <c r="A1864" s="2667" t="s">
        <v>1365</v>
      </c>
      <c r="B1864" s="2823" t="s">
        <v>2551</v>
      </c>
      <c r="C1864" s="2718" t="s">
        <v>4831</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3781</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409.5">
      <c r="A1866" s="2661" t="str">
        <f>'Part IX A-Scoring Criteria'!A312</f>
        <v>Per the 2018 QAP, any developments within a 1-mile radius of a transit hub, (as defined in Scoring Section IV. Transportation Options, A. Transit-Oriented Development) that received an award of 9% credits in the last the last six (6) DCA competitive funding cycles are not included in the analysis of previous competitive funding cycles.  There are two (2) developments (Pointe North Senior Village, 2013-034 and Pointe North Village II, 2015-043) that received awards in the last six (6) DCA competitive funding cycles that are within a 1-mile radius of a transit hub.  Per the QAP, these two (2) developments are not included in the analysis of previous competitive funding cycles.  Furthermore, the subject site itself is within a one mile radius of the transit hub.  See documentation in Tab 44.
When these two (2) developments are removed from the analysis of previous competitive funding cycles, the proposed development site not within a 1-mile radius of a 9% Georgia Housing Credit development that has received an award in the last six (6) DCA competitive funding cycles.  Therefore, the Applicant is eligible for three (3) points under Previous Projects-Flexible Pool.</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4093</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4094</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4095</v>
      </c>
      <c r="C1879" s="2619"/>
      <c r="D1879" s="2724"/>
      <c r="E1879" s="478"/>
      <c r="F1879" s="2747"/>
      <c r="G1879" s="2606">
        <f>'Part IX A-Scoring Criteria'!G325</f>
        <v>0</v>
      </c>
      <c r="H1879" s="2747"/>
      <c r="I1879" s="2747"/>
      <c r="J1879" s="2597" t="s">
        <v>2703</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3483</v>
      </c>
      <c r="D1880" s="2354"/>
      <c r="E1880" s="2765"/>
      <c r="F1880" s="2765"/>
      <c r="G1880" s="2765"/>
      <c r="H1880" s="2765"/>
      <c r="I1880" s="2765"/>
      <c r="J1880" s="2765"/>
      <c r="K1880" s="2765"/>
      <c r="L1880" s="2765"/>
      <c r="M1880" s="2765"/>
      <c r="N1880" s="2816" t="s">
        <v>2002</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4114</v>
      </c>
      <c r="D1881" s="2354"/>
      <c r="E1881" s="2765"/>
      <c r="F1881" s="2765"/>
      <c r="G1881" s="2765"/>
      <c r="H1881" s="2765"/>
      <c r="I1881" s="2765"/>
      <c r="J1881" s="2765"/>
      <c r="K1881" s="2765"/>
      <c r="L1881" s="2765"/>
      <c r="M1881" s="2765"/>
      <c r="N1881" s="2816" t="s">
        <v>2004</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4113</v>
      </c>
      <c r="D1882" s="2354"/>
      <c r="E1882" s="2765"/>
      <c r="F1882" s="2765"/>
      <c r="G1882" s="2765"/>
      <c r="H1882" s="2765"/>
      <c r="I1882" s="2765"/>
      <c r="J1882" s="2765"/>
      <c r="K1882" s="2765"/>
      <c r="L1882" s="2765"/>
      <c r="M1882" s="2765"/>
      <c r="N1882" s="2816" t="s">
        <v>2551</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4115</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4096</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3483</v>
      </c>
      <c r="D1885" s="478"/>
      <c r="E1885" s="478"/>
      <c r="F1885" s="2765"/>
      <c r="G1885" s="2765"/>
      <c r="H1885" s="2765"/>
      <c r="I1885" s="2765"/>
      <c r="J1885" s="2765"/>
      <c r="K1885" s="2765"/>
      <c r="L1885" s="2765"/>
      <c r="M1885" s="2562"/>
      <c r="N1885" s="2816" t="s">
        <v>2002</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4127</v>
      </c>
      <c r="D1886" s="2354"/>
      <c r="E1886" s="2765"/>
      <c r="F1886" s="2765"/>
      <c r="G1886" s="2765"/>
      <c r="H1886" s="2765"/>
      <c r="I1886" s="2765"/>
      <c r="J1886" s="2765"/>
      <c r="K1886" s="2765"/>
      <c r="L1886" s="2765"/>
      <c r="M1886" s="2765"/>
      <c r="N1886" s="2816" t="s">
        <v>2004</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4115</v>
      </c>
      <c r="D1887" s="2354"/>
      <c r="E1887" s="2765"/>
      <c r="F1887" s="2765"/>
      <c r="G1887" s="2765"/>
      <c r="H1887" s="2765"/>
      <c r="I1887" s="2765"/>
      <c r="J1887" s="2765"/>
      <c r="K1887" s="2765"/>
      <c r="L1887" s="2765"/>
      <c r="M1887" s="2765"/>
      <c r="N1887" s="2816" t="s">
        <v>2551</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4097</v>
      </c>
      <c r="C1891" s="2807"/>
      <c r="D1891" s="2807"/>
      <c r="E1891" s="2807"/>
      <c r="F1891" s="2807"/>
      <c r="G1891" s="2807"/>
      <c r="H1891" s="478" t="s">
        <v>3601</v>
      </c>
      <c r="I1891" s="2694" t="str">
        <f>'Part I-Project Information'!$H$100</f>
        <v>Flexible</v>
      </c>
      <c r="J1891" s="2597"/>
      <c r="K1891" s="2807"/>
      <c r="L1891" s="2710" t="str">
        <f>IF(OR($O1891=$M1891,$O1891=0,$O1891=""),"","* * Check Score! * *")</f>
        <v/>
      </c>
      <c r="M1891" s="2562">
        <v>1</v>
      </c>
      <c r="N1891" s="2808"/>
      <c r="O1891" s="2562">
        <f>'Part IX A-Scoring Criteria'!O337</f>
        <v>0</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4832</v>
      </c>
      <c r="B1892" s="2661"/>
      <c r="C1892" s="2661"/>
      <c r="D1892" s="2661"/>
      <c r="E1892" s="2661"/>
      <c r="F1892" s="2661"/>
      <c r="G1892" s="2661"/>
      <c r="H1892" s="2661"/>
      <c r="I1892" s="2686" t="s">
        <v>4196</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1 Vinings Senior Village</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t="str">
        <f>'Part IX A-Scoring Criteria'!I340</f>
        <v>2 Cartmell Senior Village</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3781</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78.75">
      <c r="A1896" s="2661" t="str">
        <f>'Part IX A-Scoring Criteria'!A342</f>
        <v>The Applicant is NOT claiming the Priority point for this Application.</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4151</v>
      </c>
      <c r="B1900" s="2749" t="s">
        <v>1685</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3640</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4101</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4098</v>
      </c>
      <c r="D1903" s="478"/>
      <c r="E1903" s="478"/>
      <c r="F1903" s="478"/>
      <c r="G1903" s="478"/>
      <c r="H1903" s="478"/>
      <c r="I1903" s="478"/>
      <c r="J1903" s="478"/>
      <c r="K1903" s="478"/>
      <c r="L1903" s="478"/>
      <c r="M1903" s="478"/>
      <c r="N1903" s="2816" t="s">
        <v>2002</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4099</v>
      </c>
      <c r="D1904" s="478"/>
      <c r="E1904" s="478"/>
      <c r="F1904" s="478"/>
      <c r="G1904" s="478"/>
      <c r="H1904" s="478"/>
      <c r="I1904" s="478"/>
      <c r="J1904" s="478"/>
      <c r="K1904" s="478"/>
      <c r="L1904" s="478"/>
      <c r="M1904" s="478"/>
      <c r="N1904" s="2816" t="s">
        <v>2004</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4100</v>
      </c>
      <c r="D1905" s="478"/>
      <c r="E1905" s="478"/>
      <c r="F1905" s="478"/>
      <c r="G1905" s="478"/>
      <c r="H1905" s="478"/>
      <c r="I1905" s="478"/>
      <c r="J1905" s="478"/>
      <c r="K1905" s="478"/>
      <c r="L1905" s="478"/>
      <c r="M1905" s="478"/>
      <c r="N1905" s="2816" t="s">
        <v>2551</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3641</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3509</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3643</v>
      </c>
      <c r="C1910" s="478" t="str">
        <f>'Part I-Project Information'!$F$38</f>
        <v>Albany</v>
      </c>
      <c r="D1910" s="2354"/>
      <c r="E1910" s="478" t="s">
        <v>3508</v>
      </c>
      <c r="F1910" s="478" t="str">
        <f>'Part I-Project Information'!$J$39</f>
        <v>Dougherty</v>
      </c>
      <c r="G1910" s="2354"/>
      <c r="H1910" s="2597" t="s">
        <v>455</v>
      </c>
      <c r="I1910" s="2597" t="str">
        <f>'Part I-Project Information'!$N$39</f>
        <v>No</v>
      </c>
      <c r="J1910" s="2354"/>
      <c r="K1910" s="2597" t="s">
        <v>3642</v>
      </c>
      <c r="L1910" s="2845" t="str">
        <f>'Part I-Project Information'!$O$38</f>
        <v>104.01</v>
      </c>
      <c r="M1910" s="2845"/>
      <c r="N1910" s="2845"/>
      <c r="O1910" s="2845"/>
      <c r="P1910" s="2845"/>
      <c r="Q1910" s="2354"/>
      <c r="R1910" s="2354"/>
      <c r="S1910" s="2354"/>
      <c r="T1910" s="2354"/>
      <c r="U1910" s="2354"/>
      <c r="V1910" s="2354"/>
      <c r="W1910" s="2354"/>
      <c r="X1910" s="2354"/>
      <c r="Y1910" s="2354"/>
      <c r="Z1910" s="2354"/>
    </row>
    <row r="1911" spans="1:26" ht="15">
      <c r="A1911" s="2354"/>
      <c r="B1911" s="2766" t="s">
        <v>3781</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213.75">
      <c r="A1912" s="2661" t="str">
        <f>'Part IX A-Scoring Criteria'!A358</f>
        <v>Not Applicable-The proposed development did not receive a letter from a designated Georgia Initiative for Community Housing Community nor is it located in a Designated Military Zone.</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4152</v>
      </c>
      <c r="B1916" s="2749" t="s">
        <v>4104</v>
      </c>
      <c r="C1916" s="2747"/>
      <c r="D1916" s="2619"/>
      <c r="E1916" s="2619"/>
      <c r="F1916" s="478"/>
      <c r="G1916" s="478"/>
      <c r="H1916" s="2569" t="s">
        <v>2812</v>
      </c>
      <c r="I1916" s="2747"/>
      <c r="J1916" s="2569" t="str">
        <f>'Part I-Project Information'!$H$100</f>
        <v>Flexible</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2902</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3837</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3836</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4105</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4106</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4107</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3647</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3484</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3645</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4549</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3646</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3648</v>
      </c>
      <c r="C1934" s="478" t="s">
        <v>4189</v>
      </c>
      <c r="I1934" s="2702" t="s">
        <v>3648</v>
      </c>
      <c r="J1934" s="2614">
        <f>'Part IX A-Scoring Criteria'!J380</f>
        <v>0</v>
      </c>
      <c r="K1934" s="2614">
        <f>'Part IX A-Scoring Criteria'!K380</f>
        <v>0</v>
      </c>
      <c r="L1934" s="2702" t="s">
        <v>3648</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4833</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10235578.982141985</v>
      </c>
      <c r="K1937" s="2614"/>
      <c r="M1937" s="2347"/>
      <c r="N1937" s="2347"/>
      <c r="P1937" s="2347"/>
    </row>
    <row r="1938" spans="1:26" ht="12.75" customHeight="1">
      <c r="A1938" s="2652" t="s">
        <v>4834</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4299</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3649</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0</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4108</v>
      </c>
      <c r="D1942" s="2661"/>
      <c r="E1942" s="2661"/>
      <c r="F1942" s="2661"/>
      <c r="G1942" s="2661"/>
      <c r="H1942" s="2661"/>
      <c r="I1942" s="2661"/>
      <c r="J1942" s="2661"/>
      <c r="K1942" s="2661"/>
      <c r="L1942" s="2661"/>
      <c r="M1942" s="2661"/>
      <c r="N1942" s="2712" t="s">
        <v>2451</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3829</v>
      </c>
      <c r="D1943" s="478"/>
      <c r="E1943" s="478"/>
      <c r="F1943" s="478"/>
      <c r="G1943" s="478"/>
      <c r="H1943" s="478"/>
      <c r="I1943" s="478"/>
      <c r="J1943" s="478"/>
      <c r="K1943" s="478"/>
      <c r="L1943" s="2747"/>
      <c r="M1943" s="478"/>
      <c r="N1943" s="2712" t="s">
        <v>2452</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2453</v>
      </c>
      <c r="C1944" s="1156" t="s">
        <v>4109</v>
      </c>
      <c r="N1944" s="2702" t="s">
        <v>2453</v>
      </c>
      <c r="O1944" s="2667">
        <f>'Part IX A-Scoring Criteria'!O390</f>
        <v>0</v>
      </c>
      <c r="P1944" s="2667">
        <f>'Part IX A-Scoring Criteria'!P390</f>
        <v>0</v>
      </c>
    </row>
    <row r="1945" spans="1:26">
      <c r="B1945" s="2766" t="s">
        <v>3781</v>
      </c>
      <c r="N1945" s="2549"/>
      <c r="O1945" s="2551"/>
      <c r="P1945" s="2551"/>
    </row>
    <row r="1946" spans="1:26" ht="78.75">
      <c r="A1946" s="2661" t="str">
        <f>'Part IX A-Scoring Criteria'!A392</f>
        <v>Not Applicable - The Applicant is not claiming points in this section.</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4150</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3675</v>
      </c>
      <c r="C1951" s="2747"/>
      <c r="D1951" s="2354"/>
      <c r="E1951" s="2354"/>
      <c r="F1951" s="2354"/>
      <c r="G1951" s="2747"/>
      <c r="H1951" s="2747"/>
      <c r="I1951" s="2747"/>
      <c r="J1951" s="2597" t="s">
        <v>3840</v>
      </c>
      <c r="K1951" s="2747"/>
      <c r="L1951" s="2634">
        <f>'Part VI-Revenues &amp; Expenses'!$O$62*0.1</f>
        <v>5.4</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3839</v>
      </c>
      <c r="D1952" s="2661"/>
      <c r="E1952" s="2661"/>
      <c r="F1952" s="2661"/>
      <c r="G1952" s="2661"/>
      <c r="H1952" s="2661"/>
      <c r="I1952" s="2661"/>
      <c r="J1952" s="2597" t="s">
        <v>3842</v>
      </c>
      <c r="K1952" s="2747"/>
      <c r="L1952" s="2634">
        <f>'Part VI-Revenues &amp; Expenses'!$O$58</f>
        <v>54</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3843</v>
      </c>
      <c r="K1953" s="2798"/>
      <c r="L1953" s="2634">
        <f>L1952*0.1</f>
        <v>5.4</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3844</v>
      </c>
      <c r="K1954" s="2798"/>
      <c r="L1954" s="2634">
        <f>'Part VI-Revenues &amp; Expenses'!$K$58</f>
        <v>6</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3416</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3841</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3838</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3861</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3680</v>
      </c>
      <c r="D1961" s="2664"/>
      <c r="E1961" s="2664"/>
      <c r="F1961" s="2664"/>
      <c r="G1961" s="2432">
        <f>'Part IX A-Scoring Criteria'!G407</f>
        <v>0</v>
      </c>
      <c r="H1961" s="2432">
        <f>'Part IX A-Scoring Criteria'!H407</f>
        <v>0</v>
      </c>
      <c r="I1961" s="2432">
        <f>'Part IX A-Scoring Criteria'!I407</f>
        <v>0</v>
      </c>
      <c r="J1961" s="2882" t="s">
        <v>3681</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3417</v>
      </c>
      <c r="D1962" s="2686"/>
      <c r="E1962" s="2686"/>
      <c r="F1962" s="2686"/>
      <c r="G1962" s="2686"/>
      <c r="H1962" s="2686"/>
      <c r="I1962" s="2686"/>
      <c r="J1962" s="2686" t="s">
        <v>3679</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3781</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409.5">
      <c r="A1964" s="2661" t="str">
        <f>'Part IX A-Scoring Criteria'!A410</f>
        <v>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one bedroom units required to claim points in this section. The Applicant is also willing to accept Assistance set for 50% AMI tenants.  Therefore, the Applicant is eligible for the 2 points noted in this section.</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4153</v>
      </c>
      <c r="B1968" s="2749" t="s">
        <v>2739</v>
      </c>
      <c r="C1968" s="2747"/>
      <c r="D1968" s="2597"/>
      <c r="E1968" s="2747"/>
      <c r="F1968" s="2747"/>
      <c r="G1968" s="2796" t="s">
        <v>3413</v>
      </c>
      <c r="H1968" s="2747"/>
      <c r="I1968" s="2747"/>
      <c r="J1968" s="478" t="s">
        <v>3419</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3485</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2850</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4835</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4247</v>
      </c>
      <c r="C1973" s="2626"/>
      <c r="D1973" s="2626"/>
      <c r="E1973" s="2626"/>
      <c r="F1973" s="2626"/>
      <c r="G1973" s="2626"/>
      <c r="H1973" s="2626"/>
      <c r="I1973" s="2626"/>
      <c r="J1973" s="2626"/>
      <c r="K1973" s="2626"/>
      <c r="L1973" s="2626"/>
      <c r="M1973" s="2661" t="s">
        <v>4836</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2848</v>
      </c>
      <c r="N1975" s="2800"/>
      <c r="O1975" s="2886">
        <f>'Part VI-Revenues &amp; Expenses'!$O$62</f>
        <v>54</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2849</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4837</v>
      </c>
      <c r="B1979" s="2657" t="s">
        <v>3379</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4248</v>
      </c>
      <c r="C1980" s="2661"/>
      <c r="D1980" s="2661"/>
      <c r="E1980" s="2661"/>
      <c r="F1980" s="2661"/>
      <c r="G1980" s="2661"/>
      <c r="H1980" s="2661"/>
      <c r="I1980" s="2661"/>
      <c r="J1980" s="2661"/>
      <c r="K1980" s="2661"/>
      <c r="L1980" s="2661"/>
      <c r="M1980" s="2721" t="s">
        <v>2848</v>
      </c>
      <c r="N1980" s="2800"/>
      <c r="O1980" s="2886">
        <f>'Part VI-Revenues &amp; Expenses'!$O$62</f>
        <v>54</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2849</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3781</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78.75">
      <c r="A1983" s="2661" t="str">
        <f>'Part IX A-Scoring Criteria'!A429</f>
        <v>Not Applicable - The Applicant is not claiming points in this section.</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4154</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3683</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3684</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3685</v>
      </c>
      <c r="C1991" s="2765"/>
      <c r="D1991" s="2766"/>
      <c r="E1991" s="2766"/>
      <c r="F1991" s="478"/>
      <c r="G1991" s="478"/>
      <c r="H1991" s="2765"/>
      <c r="I1991" s="478"/>
      <c r="J1991" s="478"/>
      <c r="K1991" s="478"/>
      <c r="L1991" s="2710"/>
      <c r="M1991" s="2562"/>
      <c r="N1991" s="2553"/>
      <c r="O1991" s="2746">
        <f>'Part IX A-Scoring Criteria'!O437</f>
        <v>3</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57</v>
      </c>
      <c r="P1995" s="2891">
        <f>P1562+P1597+P1611+P1621+P1648+P1665+P1707+P1743+P1782+P1824+P1840+P1848+P1870+P1878+P1891+P1900+P1916+P1950+P1968+P1987</f>
        <v>20</v>
      </c>
      <c r="Q1995" s="2354"/>
      <c r="R1995" s="2602">
        <f>'Part IX A-Scoring Criteria'!O441</f>
        <v>57</v>
      </c>
      <c r="S1995" s="2354"/>
      <c r="T1995" s="2354"/>
      <c r="U1995" s="2354"/>
      <c r="V1995" s="2354"/>
      <c r="W1995" s="2354"/>
      <c r="X1995" s="2354"/>
      <c r="Y1995" s="2354"/>
      <c r="Z1995" s="2354"/>
    </row>
    <row r="1996" spans="1:26" ht="15.75">
      <c r="A1996" s="2747"/>
      <c r="B1996" s="2889"/>
      <c r="C1996" s="2747"/>
      <c r="F1996" s="2745"/>
      <c r="G1996" s="2745"/>
      <c r="H1996" s="2569" t="s">
        <v>4242</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4243</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4251</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3715</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The Applicant is eligible for Four (4) points under A. Transit-Oriented Development as Pointe North Village III is located within a one (1) mile walking distance of a transit hub.  Please see supporting documentation in Tab 28, Section A.  The Applicant is also eligible for one (1) additional point as Pointe North Village III will serve a Family tenancy.  Therefore the Applicant is eligible for five (5) points under Community Transportation Options.
Pointe North Village III is also eligible for Three (3) points under B. Access to Public Transportation as Pointe North Village III is within a 0.25-mile walking distance of an established public transportation stop.  
The Applicant realizes that points may only be claimed under either A. A. Transit-Oriented Development OR B. Access to Public Transportation.  
The Applicant wishes to claim five (5) points under A. Transit-Oriented Development and NOT three (3) points under B. Access to Public Transportation.
The Applicant is submitting documentation in Tab 28 for B. Access to Public Transportation as the Applicant was unsure if documentation for A and B were both required.  DCA may choose to ignore the documentation in this section if DCA determines the Applicant is eligible for five (5) points under A. Transit-Oriented Development.</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4256</v>
      </c>
    </row>
    <row r="2010" spans="1:26" ht="16.5">
      <c r="A2010" s="2894" t="str">
        <f>'Part I-Project Information'!$F$34</f>
        <v>Pointe North Village III</v>
      </c>
    </row>
    <row r="2011" spans="1:26" ht="16.5">
      <c r="A2011" s="2894" t="str">
        <f>CONCATENATE('Part I-Project Information'!$F$38,", ", 'Part I-Project Information'!$J$39," County")</f>
        <v>Albany, Dougherty County</v>
      </c>
    </row>
    <row r="2013" spans="1:26" ht="12.75" customHeight="1">
      <c r="A2013" s="2346" t="str">
        <f>'Pt IX B-Healthy Housg Init Narr'!A5</f>
        <v xml:space="preserve">SOURCE OF DATA EVALUATED BY APPLICANT
The Applicant evaluated data from the following sources in an effort to identify the local health needs and to ensure that a Preventive Health Care initiative at Pointe North Village III would be effective in addressing those needs.  
• The “County Health Rankings &amp; Roadmaps” for Dougherty County, GA
• Phoebe Putney Memorial Hospital 2016 Community Health Needs Assessment (CHNA) with selected data highlighted by Applicant
SELECTED DATA AND OBSERVATIONS AFTER DATA EVALUATION
The Applicant evaluated the needs data results for Dougherty County, GA from the sources above to determine that the Preventive Health Screening/EducationProgram for the residents of Pointe North Village III will meet those needs;
Summary of health needs and health deficiencies from the data sources noted above:
The “County Health Rankings &amp; Reports” for Dougherty County, GA – selected data and observations;
• Adult Smoking and Adult Obesity were highlighted as areas to explore and are above the national averages.
o (Applicant Comment: both factors above contribute to Heart Disease)
Phoebe Putney Memorial Hospital 2016 Community Health Needs Assessment (CHNA)  - selected data and observations;
• Page 14 – 
  o “access to care was the biggest issue facing Southwest Georgia residents today”
  o “What’s blocking access to care?”
  o “Travel time impedes access to health services and employment opportunities”
• Page 28 – Diabetes Age Adjusted Death Rate – “age adjusted death rates due to diabetes were more than twice the State average for Dougherty” – Dougherty County residents are not effectively managing their Diabetes
• Page 30 – “Compared to the Georgia Average, all counties had a higher inactivity percentage as measured by County Rankings. Obesity in adults increases the risk of many diseases and health conditions including heart disease, Type 2 diabetes, cancer, hypertension, stroke, liver and gallbladder disease, respiratory problems, and osteoarthritis”
• Page 49 – County Rankings – Dougherty County ranked poorly compared to other Georgia Counties in the categories of Length of Life, Health Behaviors, Health Outcome Ranking &amp; Health Factor Ranking
• Page 60 – “ADULTS WHO SMOKE” – Dougherty County is noted as being above the state average in this category
• Page 60 – “ADULT OBESITY” - Dougherty County is noted as being above the state average in this category
• Page 63 – “Obstructive heart disease exceeded the state average since 2011 with a 19% gap as of 2014.”
HOW THE PROPOSED INITIATIVE ADDRESSES LOCAL HEALTH ISSUES
Through a review of this data, the health issues most in need of attention in Dougherty County are Diabetes, Smoking, Heart Disease and Obesity which increases the risk of many diseases and health conditions including heart disease, Type 2 diabetes, cancer, hypertension, stroke, liver and gallbladder disease, respiratory problems, and osteoarthritis.  The Applicant will implement an on-site preventive health screening and on-site health education program at Pointe North Village III in an effort to assist residents in understanding they may have or be at risk for these conditions and to encourage them to seek additional treatment and to make healthy lifestyle changes to reverse or minimize the impact of these conditions.  
Furthermore, “access to care” was noted as an issue in the CHNA reviewed by the Applicant.  The On-site screening and Education initiative to be offered at Pointe North Village III will directly address this concern by bringing on-site basic health screening and education to the residents of Pointe North Village III.
DETAILS OF THE PROPOSED PROGRAM INCLUDING A LIST OF SCREENING SERVICES TO BE OFFERED AND DETAILS OF RESIDENT EDUCATION
• Pointe North Village III has signed a service letter with TotalWellness to provide monthly on-site preventive health screenings to consist of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 Furthermore, TotalWellness will provide monthly on-site Health Education which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In the chart below, the Applicant has noted the identified local health issue and how that issue will be addressed by the proposed on-site preventive health screening and on-site health education.
IDENTIFIED LOCAL HEALTH ISSUE TO BE ADDRESSED BY
• Diabetes-Biometric Screening (specifically blood Glucose check included in biometric screening), Blood pressure checks, Body Fat Screenings and Body Mass Index (BMI) screenings, Health Education Topics (nutrition, physical activity, heart health and stress)
• Obesity-Biometric Screening, Blood pressure checks, Body Fat Screenings and Body Mass Index (BMI) screenings, Health Education Topics (nutrition, physical activity, heart health and stress)
• Heart Disease-Biometric Screening, Blood pressure checks, Body Fat Screenings and Body Mass Index (BMI) screenings, Health Education Topics (nutrition, physical activity, heart health and stress)
• Smoking cessation-Health Education Booths
• Length of Life, Health Behaviors, Health Outcome Ranking &amp; Health Factor Ranking-Biometric Screening, Blood pressure checks, Body Fat Screenings and Body Mass Index (BMI) screenings, Health Education Topics (nutrition, physical activity, heart health and stress)
• Convenient access to care-All Services will be offered on-site
In Conclusion, the needs data results identified in this narrative will be addressed by the on-site preventive health screening and health education booths.  All services will be offered on-site at Pointe North Village III and will provide a convenient, efficient and effective way for residents to receive these services without having to leave the development.  </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n531FeO+5lUeFBc8OoIgEI3DM87wVnY0BpxEJpsK+E3YOwtB+CIEPXN0Z6HGjBty4K8NHjSYn7R6E9mMVE6Jwg==" saltValue="hDc7htmsWrbizb0F2RfRp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8" ma:contentTypeDescription="Create a new document." ma:contentTypeScope="" ma:versionID="a80d630d9d5f1fcc7109311cb0f43535">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26e401f64c5f00174fd006d0f393548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B7E5D-57E0-4272-BD0E-5742FD4AF340}">
  <ds:schemaRef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http://purl.org/dc/elements/1.1/"/>
    <ds:schemaRef ds:uri="http://schemas.microsoft.com/office/2006/metadata/properties"/>
    <ds:schemaRef ds:uri="b369fc44-467f-4fd4-ad5b-7b83e11effc3"/>
    <ds:schemaRef ds:uri="http://www.w3.org/XML/1998/namespace"/>
    <ds:schemaRef ds:uri="http://purl.org/dc/dcmitype/"/>
  </ds:schemaRefs>
</ds:datastoreItem>
</file>

<file path=customXml/itemProps2.xml><?xml version="1.0" encoding="utf-8"?>
<ds:datastoreItem xmlns:ds="http://schemas.openxmlformats.org/officeDocument/2006/customXml" ds:itemID="{013FBBB0-CD70-49C9-8639-1DD05C405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B39CC-CFF1-4630-A9DA-973EB7C6D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2018-05-22T13:57:55Z</cp:lastPrinted>
  <dcterms:created xsi:type="dcterms:W3CDTF">2005-09-15T20:51:37Z</dcterms:created>
  <dcterms:modified xsi:type="dcterms:W3CDTF">2018-08-30T17:43:59Z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