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C3A5CA8F-D6E5-49C1-9846-3A799B5F1607}" xr6:coauthVersionLast="31" xr6:coauthVersionMax="31" xr10:uidLastSave="{00000000-0000-0000-0000-000000000000}"/>
  <bookViews>
    <workbookView xWindow="-135" yWindow="-90" windowWidth="21735" windowHeight="613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B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K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O907" i="93" s="1"/>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L901" i="93"/>
  <c r="K901" i="93"/>
  <c r="J901" i="93"/>
  <c r="I901" i="93"/>
  <c r="H901" i="93"/>
  <c r="G901" i="93"/>
  <c r="P897" i="93"/>
  <c r="O897" i="93"/>
  <c r="O898" i="93" s="1"/>
  <c r="N897" i="93"/>
  <c r="M897" i="93"/>
  <c r="L897" i="93"/>
  <c r="K897" i="93"/>
  <c r="J897" i="93"/>
  <c r="I897" i="93"/>
  <c r="H897" i="93"/>
  <c r="G897" i="93"/>
  <c r="G898" i="93" s="1"/>
  <c r="P896" i="93"/>
  <c r="O896" i="93"/>
  <c r="N896" i="93"/>
  <c r="M896" i="93"/>
  <c r="L896" i="93"/>
  <c r="K896" i="93"/>
  <c r="J896" i="93"/>
  <c r="I896" i="93"/>
  <c r="H896" i="93"/>
  <c r="G896" i="93"/>
  <c r="P893" i="93"/>
  <c r="O893" i="93"/>
  <c r="N893" i="93"/>
  <c r="M893" i="93"/>
  <c r="L893" i="93"/>
  <c r="K893" i="93"/>
  <c r="K894" i="93" s="1"/>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I885" i="93" s="1"/>
  <c r="J883" i="93"/>
  <c r="K883" i="93"/>
  <c r="L883" i="93"/>
  <c r="M883" i="93"/>
  <c r="M885" i="93" s="1"/>
  <c r="N883" i="93"/>
  <c r="O883" i="93"/>
  <c r="P883" i="93"/>
  <c r="H884" i="93"/>
  <c r="H885" i="93" s="1"/>
  <c r="I884" i="93"/>
  <c r="J884" i="93"/>
  <c r="J885" i="93" s="1"/>
  <c r="K884" i="93"/>
  <c r="L884" i="93"/>
  <c r="L885" i="93" s="1"/>
  <c r="M884" i="93"/>
  <c r="N884" i="93"/>
  <c r="N885" i="93" s="1"/>
  <c r="O884" i="93"/>
  <c r="P884" i="93"/>
  <c r="P885" i="93" s="1"/>
  <c r="G884" i="93"/>
  <c r="K838" i="93"/>
  <c r="L838" i="93"/>
  <c r="M838" i="93"/>
  <c r="N838" i="93"/>
  <c r="K839" i="93"/>
  <c r="L839" i="93"/>
  <c r="M839" i="93"/>
  <c r="N839" i="93"/>
  <c r="J839" i="93"/>
  <c r="P804" i="93"/>
  <c r="P803" i="93"/>
  <c r="P802" i="93"/>
  <c r="P801" i="93"/>
  <c r="P800" i="93"/>
  <c r="P799" i="93"/>
  <c r="P798" i="93"/>
  <c r="P797" i="93"/>
  <c r="HP797" i="93" s="1"/>
  <c r="P796" i="93"/>
  <c r="P795" i="93"/>
  <c r="P794" i="93"/>
  <c r="P793" i="93"/>
  <c r="P792" i="93"/>
  <c r="P791" i="93"/>
  <c r="P790" i="93"/>
  <c r="P789" i="93"/>
  <c r="GG789" i="93" s="1"/>
  <c r="P788" i="93"/>
  <c r="P787" i="93"/>
  <c r="P786" i="93"/>
  <c r="P785" i="93"/>
  <c r="P784" i="93"/>
  <c r="P783" i="93"/>
  <c r="P782" i="93"/>
  <c r="P781" i="93"/>
  <c r="GA781" i="93" s="1"/>
  <c r="P780" i="93"/>
  <c r="P779" i="93"/>
  <c r="P778" i="93"/>
  <c r="P777" i="93"/>
  <c r="P776" i="93"/>
  <c r="P775" i="93"/>
  <c r="P774" i="93"/>
  <c r="P773" i="93"/>
  <c r="HQ773" i="93" s="1"/>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BK773" i="93" s="1"/>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JP789" i="93" s="1"/>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FO801" i="93" s="1"/>
  <c r="C800" i="93"/>
  <c r="C799" i="93"/>
  <c r="C798" i="93"/>
  <c r="C797" i="93"/>
  <c r="C796" i="93"/>
  <c r="C795" i="93"/>
  <c r="C794" i="93"/>
  <c r="C793" i="93"/>
  <c r="GV793" i="93" s="1"/>
  <c r="C792" i="93"/>
  <c r="C791" i="93"/>
  <c r="C790" i="93"/>
  <c r="C789" i="93"/>
  <c r="C788" i="93"/>
  <c r="C787" i="93"/>
  <c r="C786" i="93"/>
  <c r="C785" i="93"/>
  <c r="IC785" i="93" s="1"/>
  <c r="C784" i="93"/>
  <c r="C783" i="93"/>
  <c r="C782" i="93"/>
  <c r="C781" i="93"/>
  <c r="C780" i="93"/>
  <c r="C779" i="93"/>
  <c r="C778" i="93"/>
  <c r="C777" i="93"/>
  <c r="GD777" i="93" s="1"/>
  <c r="C776" i="93"/>
  <c r="C775" i="93"/>
  <c r="C774" i="93"/>
  <c r="C773" i="93"/>
  <c r="C772" i="93"/>
  <c r="C771" i="93"/>
  <c r="C770" i="93"/>
  <c r="C769" i="93"/>
  <c r="C768" i="93"/>
  <c r="C767" i="93"/>
  <c r="B768" i="93"/>
  <c r="B769" i="93"/>
  <c r="B770" i="93"/>
  <c r="B771" i="93"/>
  <c r="B772" i="93"/>
  <c r="B773" i="93"/>
  <c r="CQ773" i="93" s="1"/>
  <c r="B774" i="93"/>
  <c r="B775" i="93"/>
  <c r="B776" i="93"/>
  <c r="B777" i="93"/>
  <c r="B778" i="93"/>
  <c r="B779" i="93"/>
  <c r="B780" i="93"/>
  <c r="B781" i="93"/>
  <c r="B782" i="93"/>
  <c r="B783" i="93"/>
  <c r="B784" i="93"/>
  <c r="B785" i="93"/>
  <c r="B786" i="93"/>
  <c r="B787" i="93"/>
  <c r="B788" i="93"/>
  <c r="B789" i="93"/>
  <c r="EQ789" i="93" s="1"/>
  <c r="B790" i="93"/>
  <c r="B791" i="93"/>
  <c r="B792" i="93"/>
  <c r="B793" i="93"/>
  <c r="B794" i="93"/>
  <c r="B795" i="93"/>
  <c r="IF795" i="93" s="1"/>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K912" i="93"/>
  <c r="S909" i="93"/>
  <c r="R904" i="93"/>
  <c r="S900" i="93"/>
  <c r="R895" i="93"/>
  <c r="S891" i="93"/>
  <c r="R886" i="93"/>
  <c r="R882" i="93"/>
  <c r="R881" i="93"/>
  <c r="R879" i="93"/>
  <c r="R869" i="93"/>
  <c r="R860" i="93"/>
  <c r="R842" i="93"/>
  <c r="R828" i="93"/>
  <c r="R824" i="93"/>
  <c r="R820" i="93"/>
  <c r="R810" i="93"/>
  <c r="JR805" i="93"/>
  <c r="JN804" i="93"/>
  <c r="JE804" i="93"/>
  <c r="IC804" i="93"/>
  <c r="HX804" i="93"/>
  <c r="HP804" i="93"/>
  <c r="HM804" i="93"/>
  <c r="HH804" i="93"/>
  <c r="GZ804" i="93"/>
  <c r="GW804" i="93"/>
  <c r="GR804" i="93"/>
  <c r="GJ804" i="93"/>
  <c r="GG804" i="93"/>
  <c r="GB804" i="93"/>
  <c r="FT804" i="93"/>
  <c r="FQ804" i="93"/>
  <c r="FL804" i="93"/>
  <c r="FD804" i="93"/>
  <c r="FA804" i="93"/>
  <c r="EI804" i="93"/>
  <c r="CY804" i="93"/>
  <c r="CV804" i="93"/>
  <c r="BX804" i="93"/>
  <c r="JM800" i="93"/>
  <c r="JG800" i="93"/>
  <c r="JF800" i="93"/>
  <c r="HZ800" i="93"/>
  <c r="HW800" i="93"/>
  <c r="HV800" i="93"/>
  <c r="HR800" i="93"/>
  <c r="HO800" i="93"/>
  <c r="HN800" i="93"/>
  <c r="HJ800" i="93"/>
  <c r="HG800" i="93"/>
  <c r="HF800" i="93"/>
  <c r="HB800" i="93"/>
  <c r="GY800" i="93"/>
  <c r="GX800" i="93"/>
  <c r="GT800" i="93"/>
  <c r="GQ800" i="93"/>
  <c r="GP800" i="93"/>
  <c r="GL800" i="93"/>
  <c r="GI800" i="93"/>
  <c r="GH800" i="93"/>
  <c r="GD800" i="93"/>
  <c r="GA800" i="93"/>
  <c r="FZ800" i="93"/>
  <c r="FV800" i="93"/>
  <c r="FS800" i="93"/>
  <c r="FR800" i="93"/>
  <c r="FN800" i="93"/>
  <c r="FK800" i="93"/>
  <c r="FJ800" i="93"/>
  <c r="FF800" i="93"/>
  <c r="FC800" i="93"/>
  <c r="FB800" i="93"/>
  <c r="EX800" i="93"/>
  <c r="DC800" i="93"/>
  <c r="DA800" i="93"/>
  <c r="CU800" i="93"/>
  <c r="BW800" i="93"/>
  <c r="BV800" i="93"/>
  <c r="HC797" i="93"/>
  <c r="EY797" i="93"/>
  <c r="EX797" i="93"/>
  <c r="JO796" i="93"/>
  <c r="JJ796" i="93"/>
  <c r="JI796" i="93"/>
  <c r="JE796" i="93"/>
  <c r="IB796" i="93"/>
  <c r="IA796" i="93"/>
  <c r="HX796" i="93"/>
  <c r="HT796" i="93"/>
  <c r="HS796" i="93"/>
  <c r="HP796" i="93"/>
  <c r="HL796" i="93"/>
  <c r="HK796" i="93"/>
  <c r="HH796" i="93"/>
  <c r="HD796" i="93"/>
  <c r="HC796" i="93"/>
  <c r="GZ796" i="93"/>
  <c r="GV796" i="93"/>
  <c r="GU796" i="93"/>
  <c r="GR796" i="93"/>
  <c r="GN796" i="93"/>
  <c r="GM796" i="93"/>
  <c r="GJ796" i="93"/>
  <c r="GF796" i="93"/>
  <c r="GE796" i="93"/>
  <c r="GB796" i="93"/>
  <c r="FX796" i="93"/>
  <c r="FW796" i="93"/>
  <c r="FT796" i="93"/>
  <c r="FP796" i="93"/>
  <c r="FO796" i="93"/>
  <c r="FN796" i="93"/>
  <c r="FK796" i="93"/>
  <c r="FJ796" i="93"/>
  <c r="FI796" i="93"/>
  <c r="FG796" i="93"/>
  <c r="FF796" i="93"/>
  <c r="FE796" i="93"/>
  <c r="FC796" i="93"/>
  <c r="FB796" i="93"/>
  <c r="FA796" i="93"/>
  <c r="EY796" i="93"/>
  <c r="EX796" i="93"/>
  <c r="EW796" i="93"/>
  <c r="DC796" i="93"/>
  <c r="DB796" i="93"/>
  <c r="DA796" i="93"/>
  <c r="CX796" i="93"/>
  <c r="CW796" i="93"/>
  <c r="CT796" i="93"/>
  <c r="BX796" i="93"/>
  <c r="BV796" i="93"/>
  <c r="BU796" i="93"/>
  <c r="EW794" i="93"/>
  <c r="HD793" i="93"/>
  <c r="GN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GR791" i="93"/>
  <c r="HS790" i="93"/>
  <c r="FW790" i="93"/>
  <c r="FG790" i="93"/>
  <c r="BX790" i="93"/>
  <c r="HU789" i="93"/>
  <c r="GW789" i="93"/>
  <c r="GO789" i="93"/>
  <c r="FY789" i="93"/>
  <c r="FI789" i="93"/>
  <c r="FA789" i="93"/>
  <c r="EZ789" i="93"/>
  <c r="EY789" i="93"/>
  <c r="EX789" i="93"/>
  <c r="E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HJ787" i="93"/>
  <c r="BF787" i="93"/>
  <c r="HY786" i="93"/>
  <c r="GS786" i="93"/>
  <c r="FB786" i="93"/>
  <c r="AP786" i="93"/>
  <c r="HU785" i="93"/>
  <c r="FY785" i="93"/>
  <c r="FI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C783" i="93"/>
  <c r="GT783" i="93"/>
  <c r="FY783" i="93"/>
  <c r="FD783" i="93"/>
  <c r="AN783" i="93"/>
  <c r="IA782" i="93"/>
  <c r="HP782" i="93"/>
  <c r="HF782" i="93"/>
  <c r="GJ782" i="93"/>
  <c r="FZ782" i="93"/>
  <c r="FO782" i="93"/>
  <c r="AO782" i="93"/>
  <c r="JO781" i="93"/>
  <c r="HW781" i="93"/>
  <c r="HO781" i="93"/>
  <c r="GQ781" i="93"/>
  <c r="GI781" i="93"/>
  <c r="FS781" i="93"/>
  <c r="FK781" i="93"/>
  <c r="FC781" i="93"/>
  <c r="FA781" i="93"/>
  <c r="EZ781" i="93"/>
  <c r="EY781" i="93"/>
  <c r="EX781" i="93"/>
  <c r="EW781" i="93"/>
  <c r="DT781" i="93"/>
  <c r="BY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HX779" i="93"/>
  <c r="HP779" i="93"/>
  <c r="GZ779" i="93"/>
  <c r="GR779" i="93"/>
  <c r="GJ779" i="93"/>
  <c r="FT779" i="93"/>
  <c r="FL779" i="93"/>
  <c r="FD779" i="93"/>
  <c r="DC779" i="93"/>
  <c r="CS779" i="93"/>
  <c r="AX779" i="93"/>
  <c r="W779" i="93"/>
  <c r="IH778" i="93"/>
  <c r="HX778" i="93"/>
  <c r="HH778" i="93"/>
  <c r="GZ778" i="93"/>
  <c r="GR778" i="93"/>
  <c r="GB778" i="93"/>
  <c r="FT778" i="93"/>
  <c r="FL778" i="93"/>
  <c r="CZ778" i="93"/>
  <c r="BV778" i="93"/>
  <c r="HZ777" i="93"/>
  <c r="HR777" i="93"/>
  <c r="GL777" i="93"/>
  <c r="FV777" i="93"/>
  <c r="FN777" i="93"/>
  <c r="FF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M775" i="93"/>
  <c r="JE775" i="93"/>
  <c r="HY775" i="93"/>
  <c r="HQ775" i="93"/>
  <c r="HI775" i="93"/>
  <c r="GS775" i="93"/>
  <c r="GK775" i="93"/>
  <c r="GC775" i="93"/>
  <c r="FM775" i="93"/>
  <c r="FE775" i="93"/>
  <c r="EW775" i="93"/>
  <c r="Y775" i="93"/>
  <c r="JN774" i="93"/>
  <c r="IB774" i="93"/>
  <c r="HR774" i="93"/>
  <c r="HL774" i="93"/>
  <c r="HG774" i="93"/>
  <c r="GV774" i="93"/>
  <c r="GQ774" i="93"/>
  <c r="GL774" i="93"/>
  <c r="GA774" i="93"/>
  <c r="FV774" i="93"/>
  <c r="FP774" i="93"/>
  <c r="FF774" i="93"/>
  <c r="EZ774" i="93"/>
  <c r="CM774" i="93"/>
  <c r="AQ774" i="93"/>
  <c r="JN773" i="93"/>
  <c r="HX773" i="93"/>
  <c r="HR773" i="93"/>
  <c r="HP773" i="93"/>
  <c r="HJ773" i="93"/>
  <c r="HI773" i="93"/>
  <c r="HH773" i="93"/>
  <c r="HA773" i="93"/>
  <c r="GZ773" i="93"/>
  <c r="GS773" i="93"/>
  <c r="GR773" i="93"/>
  <c r="GL773" i="93"/>
  <c r="GK773" i="93"/>
  <c r="GF773" i="93"/>
  <c r="GD773" i="93"/>
  <c r="GB773" i="93"/>
  <c r="FX773" i="93"/>
  <c r="FV773" i="93"/>
  <c r="FU773" i="93"/>
  <c r="FP773" i="93"/>
  <c r="FN773" i="93"/>
  <c r="FL773" i="93"/>
  <c r="FH773" i="93"/>
  <c r="FF773" i="93"/>
  <c r="FE773" i="93"/>
  <c r="FA773" i="93"/>
  <c r="EZ773" i="93"/>
  <c r="EY773" i="93"/>
  <c r="EX773" i="93"/>
  <c r="EW773" i="93"/>
  <c r="EU773" i="93"/>
  <c r="DG773" i="93"/>
  <c r="CY773" i="93"/>
  <c r="CI773" i="93"/>
  <c r="CA773" i="93"/>
  <c r="BS773" i="93"/>
  <c r="AU773" i="93"/>
  <c r="AM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J771" i="93"/>
  <c r="JB771" i="93"/>
  <c r="IL771" i="93"/>
  <c r="HZ771" i="93"/>
  <c r="HR771" i="93"/>
  <c r="HJ771" i="93"/>
  <c r="HB771" i="93"/>
  <c r="GT771" i="93"/>
  <c r="GL771" i="93"/>
  <c r="GD771" i="93"/>
  <c r="FV771" i="93"/>
  <c r="FN771" i="93"/>
  <c r="FF771" i="93"/>
  <c r="EX771" i="93"/>
  <c r="EH771" i="93"/>
  <c r="DR771" i="93"/>
  <c r="DC771" i="93"/>
  <c r="CP771" i="93"/>
  <c r="BZ771" i="93"/>
  <c r="BI771" i="93"/>
  <c r="AK771" i="93"/>
  <c r="JM770" i="93"/>
  <c r="IA770" i="93"/>
  <c r="HQ770" i="93"/>
  <c r="HK770" i="93"/>
  <c r="HF770" i="93"/>
  <c r="GU770" i="93"/>
  <c r="GP770" i="93"/>
  <c r="GK770" i="93"/>
  <c r="FZ770" i="93"/>
  <c r="FU770" i="93"/>
  <c r="FO770" i="93"/>
  <c r="FE770" i="93"/>
  <c r="EY770" i="93"/>
  <c r="ES770" i="93"/>
  <c r="CI770" i="93"/>
  <c r="AM770" i="93"/>
  <c r="JQ769" i="93"/>
  <c r="JM769" i="93"/>
  <c r="IX769" i="93"/>
  <c r="IP769" i="93"/>
  <c r="IH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T769" i="93"/>
  <c r="EL769" i="93"/>
  <c r="ED769" i="93"/>
  <c r="DV769" i="93"/>
  <c r="DN769" i="93"/>
  <c r="DF769" i="93"/>
  <c r="CX769" i="93"/>
  <c r="CP769" i="93"/>
  <c r="CK769" i="93"/>
  <c r="CH769" i="93"/>
  <c r="CC769" i="93"/>
  <c r="BZ769" i="93"/>
  <c r="BU769" i="93"/>
  <c r="BR769" i="93"/>
  <c r="BM769" i="93"/>
  <c r="BJ769" i="93"/>
  <c r="BE769" i="93"/>
  <c r="BB769" i="93"/>
  <c r="AW769" i="93"/>
  <c r="AT769" i="93"/>
  <c r="AO769" i="93"/>
  <c r="AL769" i="93"/>
  <c r="AG769" i="93"/>
  <c r="AD769" i="93"/>
  <c r="Y769" i="93"/>
  <c r="JQ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P767" i="93"/>
  <c r="JO767" i="93"/>
  <c r="JH767" i="93"/>
  <c r="JG767" i="93"/>
  <c r="IZ767" i="93"/>
  <c r="IY767" i="93"/>
  <c r="IR767" i="93"/>
  <c r="IQ767" i="93"/>
  <c r="IJ767" i="93"/>
  <c r="II767" i="93"/>
  <c r="IB767" i="93"/>
  <c r="IA767" i="93"/>
  <c r="HT767" i="93"/>
  <c r="HS767" i="93"/>
  <c r="HN767" i="93"/>
  <c r="HL767" i="93"/>
  <c r="HH767" i="93"/>
  <c r="HG767" i="93"/>
  <c r="HC767" i="93"/>
  <c r="HB767" i="93"/>
  <c r="GX767" i="93"/>
  <c r="GV767" i="93"/>
  <c r="GR767" i="93"/>
  <c r="GQ767" i="93"/>
  <c r="GM767" i="93"/>
  <c r="GL767" i="93"/>
  <c r="GH767" i="93"/>
  <c r="GF767" i="93"/>
  <c r="GB767" i="93"/>
  <c r="GA767" i="93"/>
  <c r="FW767" i="93"/>
  <c r="FV767" i="93"/>
  <c r="FS767" i="93"/>
  <c r="FR767" i="93"/>
  <c r="FO767" i="93"/>
  <c r="FN767" i="93"/>
  <c r="FK767" i="93"/>
  <c r="FJ767" i="93"/>
  <c r="FG767" i="93"/>
  <c r="FF767" i="93"/>
  <c r="FC767" i="93"/>
  <c r="FB767" i="93"/>
  <c r="EY767" i="93"/>
  <c r="EX767" i="93"/>
  <c r="EU767" i="93"/>
  <c r="ET767" i="93"/>
  <c r="EQ767" i="93"/>
  <c r="EP767" i="93"/>
  <c r="EM767" i="93"/>
  <c r="EL767" i="93"/>
  <c r="EI767" i="93"/>
  <c r="EH767" i="93"/>
  <c r="EE767" i="93"/>
  <c r="ED767" i="93"/>
  <c r="EA767" i="93"/>
  <c r="DZ767" i="93"/>
  <c r="DW767" i="93"/>
  <c r="DV767" i="93"/>
  <c r="DS767" i="93"/>
  <c r="DR767" i="93"/>
  <c r="DO767" i="93"/>
  <c r="DN767" i="93"/>
  <c r="DK767" i="93"/>
  <c r="DJ767" i="93"/>
  <c r="DG767" i="93"/>
  <c r="DF767" i="93"/>
  <c r="DC767" i="93"/>
  <c r="DB767" i="93"/>
  <c r="CY767" i="93"/>
  <c r="CW767" i="93"/>
  <c r="CR767" i="93"/>
  <c r="CQ767" i="93"/>
  <c r="CN767" i="93"/>
  <c r="CM767" i="93"/>
  <c r="CJ767" i="93"/>
  <c r="CI767" i="93"/>
  <c r="CF767" i="93"/>
  <c r="CE767" i="93"/>
  <c r="CB767" i="93"/>
  <c r="CA767" i="93"/>
  <c r="BX767" i="93"/>
  <c r="BW767" i="93"/>
  <c r="BT767" i="93"/>
  <c r="BQ767" i="93"/>
  <c r="BL767" i="93"/>
  <c r="BI767" i="93"/>
  <c r="BD767" i="93"/>
  <c r="A767" i="93"/>
  <c r="U760" i="93"/>
  <c r="A758" i="93"/>
  <c r="U758" i="93" s="1"/>
  <c r="AE773" i="93" l="1"/>
  <c r="FM773" i="93"/>
  <c r="GC773" i="93"/>
  <c r="GT773" i="93"/>
  <c r="FQ785" i="93"/>
  <c r="AH781" i="93"/>
  <c r="EV781" i="93"/>
  <c r="X781" i="93"/>
  <c r="IK781" i="93"/>
  <c r="DF781" i="93"/>
  <c r="IH773" i="93"/>
  <c r="EE773" i="93"/>
  <c r="IP773" i="93"/>
  <c r="EM773" i="93"/>
  <c r="IS777" i="93"/>
  <c r="HW777" i="93"/>
  <c r="HO777" i="93"/>
  <c r="HG777" i="93"/>
  <c r="GY777" i="93"/>
  <c r="GQ777" i="93"/>
  <c r="GI777" i="93"/>
  <c r="GA777" i="93"/>
  <c r="FS777" i="93"/>
  <c r="FK777" i="93"/>
  <c r="FC777" i="93"/>
  <c r="EE777" i="93"/>
  <c r="BM777" i="93"/>
  <c r="IJ777" i="93"/>
  <c r="HV777" i="93"/>
  <c r="HN777" i="93"/>
  <c r="HF777" i="93"/>
  <c r="GX777" i="93"/>
  <c r="GP777" i="93"/>
  <c r="GH777" i="93"/>
  <c r="FZ777" i="93"/>
  <c r="FR777" i="93"/>
  <c r="FJ777" i="93"/>
  <c r="FB777" i="93"/>
  <c r="DT777" i="93"/>
  <c r="BE777" i="93"/>
  <c r="IC777" i="93"/>
  <c r="HU777" i="93"/>
  <c r="HM777" i="93"/>
  <c r="HE777" i="93"/>
  <c r="GW777" i="93"/>
  <c r="GO777" i="93"/>
  <c r="GG777" i="93"/>
  <c r="FY777" i="93"/>
  <c r="FQ777" i="93"/>
  <c r="FI777" i="93"/>
  <c r="FA777" i="93"/>
  <c r="DI777" i="93"/>
  <c r="AW777" i="93"/>
  <c r="IB777" i="93"/>
  <c r="HT777" i="93"/>
  <c r="HL777" i="93"/>
  <c r="HD777" i="93"/>
  <c r="GV777" i="93"/>
  <c r="GN777" i="93"/>
  <c r="GF777" i="93"/>
  <c r="FX777" i="93"/>
  <c r="FP777" i="93"/>
  <c r="FH777" i="93"/>
  <c r="EZ777" i="93"/>
  <c r="DA777" i="93"/>
  <c r="AO777" i="93"/>
  <c r="IA777" i="93"/>
  <c r="HS777" i="93"/>
  <c r="HK777" i="93"/>
  <c r="HC777" i="93"/>
  <c r="GU777" i="93"/>
  <c r="GM777" i="93"/>
  <c r="GE777" i="93"/>
  <c r="FW777" i="93"/>
  <c r="FO777" i="93"/>
  <c r="FG777" i="93"/>
  <c r="EY777" i="93"/>
  <c r="CS777" i="93"/>
  <c r="AG777" i="93"/>
  <c r="JN777" i="93"/>
  <c r="HY777" i="93"/>
  <c r="HQ777" i="93"/>
  <c r="HI777" i="93"/>
  <c r="HA777" i="93"/>
  <c r="GS777" i="93"/>
  <c r="GK777" i="93"/>
  <c r="GC777" i="93"/>
  <c r="FU777" i="93"/>
  <c r="FM777" i="93"/>
  <c r="FE777" i="93"/>
  <c r="EW777" i="93"/>
  <c r="CC777" i="93"/>
  <c r="JJ777" i="93"/>
  <c r="HX777" i="93"/>
  <c r="HP777" i="93"/>
  <c r="HH777" i="93"/>
  <c r="GZ777" i="93"/>
  <c r="GR777" i="93"/>
  <c r="GJ777" i="93"/>
  <c r="GB777" i="93"/>
  <c r="FT777" i="93"/>
  <c r="FL777" i="93"/>
  <c r="FD777" i="93"/>
  <c r="EO777" i="93"/>
  <c r="BU777" i="93"/>
  <c r="HZ785" i="93"/>
  <c r="HR785" i="93"/>
  <c r="HJ785" i="93"/>
  <c r="HB785" i="93"/>
  <c r="GT785" i="93"/>
  <c r="GL785" i="93"/>
  <c r="GD785" i="93"/>
  <c r="FV785" i="93"/>
  <c r="FN785" i="93"/>
  <c r="FF785" i="93"/>
  <c r="EX785" i="93"/>
  <c r="HY785" i="93"/>
  <c r="HQ785" i="93"/>
  <c r="HI785" i="93"/>
  <c r="HA785" i="93"/>
  <c r="GS785" i="93"/>
  <c r="GK785" i="93"/>
  <c r="GC785" i="93"/>
  <c r="FU785" i="93"/>
  <c r="FM785" i="93"/>
  <c r="FE785" i="93"/>
  <c r="EW785" i="93"/>
  <c r="HX785" i="93"/>
  <c r="HP785" i="93"/>
  <c r="HH785" i="93"/>
  <c r="GZ785" i="93"/>
  <c r="GR785" i="93"/>
  <c r="GJ785" i="93"/>
  <c r="GB785" i="93"/>
  <c r="FT785" i="93"/>
  <c r="FL785" i="93"/>
  <c r="FD785" i="93"/>
  <c r="DD785" i="93"/>
  <c r="JP785" i="93"/>
  <c r="HW785" i="93"/>
  <c r="HO785" i="93"/>
  <c r="HG785" i="93"/>
  <c r="GY785" i="93"/>
  <c r="GQ785" i="93"/>
  <c r="GI785" i="93"/>
  <c r="GA785" i="93"/>
  <c r="FS785" i="93"/>
  <c r="FK785" i="93"/>
  <c r="FC785" i="93"/>
  <c r="CD785" i="93"/>
  <c r="ID785" i="93"/>
  <c r="HV785" i="93"/>
  <c r="HN785" i="93"/>
  <c r="HF785" i="93"/>
  <c r="GX785" i="93"/>
  <c r="GP785" i="93"/>
  <c r="GH785" i="93"/>
  <c r="FZ785" i="93"/>
  <c r="FR785" i="93"/>
  <c r="FJ785" i="93"/>
  <c r="FB785" i="93"/>
  <c r="BI785" i="93"/>
  <c r="IB785" i="93"/>
  <c r="HT785" i="93"/>
  <c r="HL785" i="93"/>
  <c r="HD785" i="93"/>
  <c r="GV785" i="93"/>
  <c r="GN785" i="93"/>
  <c r="GF785" i="93"/>
  <c r="FX785" i="93"/>
  <c r="FP785" i="93"/>
  <c r="FH785" i="93"/>
  <c r="EZ785" i="93"/>
  <c r="IA785" i="93"/>
  <c r="HS785" i="93"/>
  <c r="HK785" i="93"/>
  <c r="HC785" i="93"/>
  <c r="GU785" i="93"/>
  <c r="GM785" i="93"/>
  <c r="GE785" i="93"/>
  <c r="FW785" i="93"/>
  <c r="FO785" i="93"/>
  <c r="FG785" i="93"/>
  <c r="EY785" i="93"/>
  <c r="HY793" i="93"/>
  <c r="HQ793" i="93"/>
  <c r="HI793" i="93"/>
  <c r="HA793" i="93"/>
  <c r="GS793" i="93"/>
  <c r="GK793" i="93"/>
  <c r="GC793" i="93"/>
  <c r="FU793" i="93"/>
  <c r="FM793" i="93"/>
  <c r="FE793" i="93"/>
  <c r="EW793" i="93"/>
  <c r="HX793" i="93"/>
  <c r="HP793" i="93"/>
  <c r="HH793" i="93"/>
  <c r="GZ793" i="93"/>
  <c r="GR793" i="93"/>
  <c r="GJ793" i="93"/>
  <c r="GB793" i="93"/>
  <c r="FT793" i="93"/>
  <c r="FL793" i="93"/>
  <c r="FD793" i="93"/>
  <c r="HW793" i="93"/>
  <c r="HO793" i="93"/>
  <c r="HG793" i="93"/>
  <c r="GY793" i="93"/>
  <c r="GQ793" i="93"/>
  <c r="GI793" i="93"/>
  <c r="GA793" i="93"/>
  <c r="FS793" i="93"/>
  <c r="FK793" i="93"/>
  <c r="FC793" i="93"/>
  <c r="JO793" i="93"/>
  <c r="HV793" i="93"/>
  <c r="HN793" i="93"/>
  <c r="HF793" i="93"/>
  <c r="GX793" i="93"/>
  <c r="GP793" i="93"/>
  <c r="GH793" i="93"/>
  <c r="FZ793" i="93"/>
  <c r="FR793" i="93"/>
  <c r="FJ793" i="93"/>
  <c r="FB793" i="93"/>
  <c r="IC793" i="93"/>
  <c r="HU793" i="93"/>
  <c r="HM793" i="93"/>
  <c r="HE793" i="93"/>
  <c r="GW793" i="93"/>
  <c r="GO793" i="93"/>
  <c r="GG793" i="93"/>
  <c r="FY793" i="93"/>
  <c r="FQ793" i="93"/>
  <c r="FI793" i="93"/>
  <c r="FA793" i="93"/>
  <c r="IA793" i="93"/>
  <c r="HS793" i="93"/>
  <c r="HK793" i="93"/>
  <c r="HC793" i="93"/>
  <c r="GU793" i="93"/>
  <c r="GM793" i="93"/>
  <c r="GE793" i="93"/>
  <c r="FW793" i="93"/>
  <c r="FO793" i="93"/>
  <c r="FG793" i="93"/>
  <c r="EY793" i="93"/>
  <c r="HZ793" i="93"/>
  <c r="HR793" i="93"/>
  <c r="HJ793" i="93"/>
  <c r="HB793" i="93"/>
  <c r="GT793" i="93"/>
  <c r="GL793" i="93"/>
  <c r="GD793" i="93"/>
  <c r="FV793" i="93"/>
  <c r="FN793" i="93"/>
  <c r="FF793" i="93"/>
  <c r="EX793" i="93"/>
  <c r="IA801" i="93"/>
  <c r="HE801" i="93"/>
  <c r="GQ801" i="93"/>
  <c r="GO801" i="93"/>
  <c r="GF801" i="93"/>
  <c r="FT801" i="93"/>
  <c r="HX801" i="93"/>
  <c r="FD801" i="93"/>
  <c r="HK801" i="93"/>
  <c r="EY801" i="93"/>
  <c r="BN781" i="93"/>
  <c r="BD781" i="93"/>
  <c r="CT781" i="93"/>
  <c r="AW789" i="93"/>
  <c r="DF775" i="93"/>
  <c r="CT775" i="93"/>
  <c r="BY775" i="93"/>
  <c r="DA783" i="93"/>
  <c r="BX783" i="93"/>
  <c r="IO779" i="93"/>
  <c r="DW779" i="93"/>
  <c r="HV773" i="93"/>
  <c r="HN773" i="93"/>
  <c r="HF773" i="93"/>
  <c r="GX773" i="93"/>
  <c r="GP773" i="93"/>
  <c r="GH773" i="93"/>
  <c r="FZ773" i="93"/>
  <c r="FR773" i="93"/>
  <c r="FJ773" i="93"/>
  <c r="FB773" i="93"/>
  <c r="IC773" i="93"/>
  <c r="HU773" i="93"/>
  <c r="HM773" i="93"/>
  <c r="HE773" i="93"/>
  <c r="GW773" i="93"/>
  <c r="GO773" i="93"/>
  <c r="GG773" i="93"/>
  <c r="FY773" i="93"/>
  <c r="FQ773" i="93"/>
  <c r="FI773" i="93"/>
  <c r="IB773" i="93"/>
  <c r="HT773" i="93"/>
  <c r="HL773" i="93"/>
  <c r="HD773" i="93"/>
  <c r="GV773" i="93"/>
  <c r="GN773" i="93"/>
  <c r="IA773" i="93"/>
  <c r="HS773" i="93"/>
  <c r="HK773" i="93"/>
  <c r="HC773" i="93"/>
  <c r="GU773" i="93"/>
  <c r="GM773" i="93"/>
  <c r="GE773" i="93"/>
  <c r="FW773" i="93"/>
  <c r="FO773" i="93"/>
  <c r="FG773" i="93"/>
  <c r="HZ773" i="93"/>
  <c r="HW773" i="93"/>
  <c r="HO773" i="93"/>
  <c r="HG773" i="93"/>
  <c r="GY773" i="93"/>
  <c r="GQ773" i="93"/>
  <c r="GI773" i="93"/>
  <c r="GA773" i="93"/>
  <c r="FS773" i="93"/>
  <c r="FK773" i="93"/>
  <c r="FC773" i="93"/>
  <c r="IB781" i="93"/>
  <c r="HT781" i="93"/>
  <c r="HL781" i="93"/>
  <c r="HD781" i="93"/>
  <c r="GV781" i="93"/>
  <c r="GN781" i="93"/>
  <c r="GF781" i="93"/>
  <c r="FX781" i="93"/>
  <c r="FP781" i="93"/>
  <c r="FH781" i="93"/>
  <c r="IA781" i="93"/>
  <c r="HS781" i="93"/>
  <c r="HK781" i="93"/>
  <c r="HC781" i="93"/>
  <c r="GU781" i="93"/>
  <c r="GM781" i="93"/>
  <c r="GE781" i="93"/>
  <c r="FW781" i="93"/>
  <c r="FO781" i="93"/>
  <c r="FG781" i="93"/>
  <c r="HZ781" i="93"/>
  <c r="HR781" i="93"/>
  <c r="HJ781" i="93"/>
  <c r="HB781" i="93"/>
  <c r="GT781" i="93"/>
  <c r="GL781" i="93"/>
  <c r="GD781" i="93"/>
  <c r="FV781" i="93"/>
  <c r="FN781" i="93"/>
  <c r="FF781" i="93"/>
  <c r="HY781" i="93"/>
  <c r="HQ781" i="93"/>
  <c r="HI781" i="93"/>
  <c r="HA781" i="93"/>
  <c r="GS781" i="93"/>
  <c r="GK781" i="93"/>
  <c r="GC781" i="93"/>
  <c r="FU781" i="93"/>
  <c r="FM781" i="93"/>
  <c r="FE781" i="93"/>
  <c r="HX781" i="93"/>
  <c r="HP781" i="93"/>
  <c r="HH781" i="93"/>
  <c r="GZ781" i="93"/>
  <c r="GR781" i="93"/>
  <c r="GJ781" i="93"/>
  <c r="GB781" i="93"/>
  <c r="FT781" i="93"/>
  <c r="FL781" i="93"/>
  <c r="FD781" i="93"/>
  <c r="HV781" i="93"/>
  <c r="HN781" i="93"/>
  <c r="HF781" i="93"/>
  <c r="GX781" i="93"/>
  <c r="GP781" i="93"/>
  <c r="GH781" i="93"/>
  <c r="FZ781" i="93"/>
  <c r="FR781" i="93"/>
  <c r="FJ781" i="93"/>
  <c r="FB781" i="93"/>
  <c r="IC781" i="93"/>
  <c r="HU781" i="93"/>
  <c r="HM781" i="93"/>
  <c r="HE781" i="93"/>
  <c r="GW781" i="93"/>
  <c r="GO781" i="93"/>
  <c r="GG781" i="93"/>
  <c r="FY781" i="93"/>
  <c r="FQ781" i="93"/>
  <c r="FI781" i="93"/>
  <c r="HZ789" i="93"/>
  <c r="HR789" i="93"/>
  <c r="HJ789" i="93"/>
  <c r="HB789" i="93"/>
  <c r="GT789" i="93"/>
  <c r="GL789" i="93"/>
  <c r="GD789" i="93"/>
  <c r="FV789" i="93"/>
  <c r="FN789" i="93"/>
  <c r="FF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T789" i="93"/>
  <c r="HL789" i="93"/>
  <c r="HD789" i="93"/>
  <c r="GV789" i="93"/>
  <c r="GN789" i="93"/>
  <c r="GF789" i="93"/>
  <c r="FX789" i="93"/>
  <c r="FP789" i="93"/>
  <c r="FH789" i="93"/>
  <c r="IA789" i="93"/>
  <c r="HS789" i="93"/>
  <c r="HK789" i="93"/>
  <c r="HC789" i="93"/>
  <c r="GU789" i="93"/>
  <c r="GM789" i="93"/>
  <c r="GE789" i="93"/>
  <c r="FW789" i="93"/>
  <c r="FO789" i="93"/>
  <c r="FG789" i="93"/>
  <c r="HZ797" i="93"/>
  <c r="HK797" i="93"/>
  <c r="GX797" i="93"/>
  <c r="GI797" i="93"/>
  <c r="FT797" i="93"/>
  <c r="FG797" i="93"/>
  <c r="HX797" i="93"/>
  <c r="HJ797" i="93"/>
  <c r="GU797" i="93"/>
  <c r="GH797" i="93"/>
  <c r="FS797" i="93"/>
  <c r="FD797" i="93"/>
  <c r="HV797" i="93"/>
  <c r="HH797" i="93"/>
  <c r="GT797" i="93"/>
  <c r="GE797" i="93"/>
  <c r="FR797" i="93"/>
  <c r="FC797" i="93"/>
  <c r="HT797" i="93"/>
  <c r="HF797" i="93"/>
  <c r="GR797" i="93"/>
  <c r="GD797" i="93"/>
  <c r="FO797" i="93"/>
  <c r="FB797" i="93"/>
  <c r="HS797" i="93"/>
  <c r="HD797" i="93"/>
  <c r="GP797" i="93"/>
  <c r="GB797" i="93"/>
  <c r="FN797" i="93"/>
  <c r="HO797" i="93"/>
  <c r="GZ797" i="93"/>
  <c r="GM797" i="93"/>
  <c r="FX797" i="93"/>
  <c r="FJ797" i="93"/>
  <c r="IA797" i="93"/>
  <c r="HN797" i="93"/>
  <c r="GY797" i="93"/>
  <c r="GJ797" i="93"/>
  <c r="FW797" i="93"/>
  <c r="FH797" i="93"/>
  <c r="Y777" i="93"/>
  <c r="GT777" i="93"/>
  <c r="GG785" i="93"/>
  <c r="EZ793" i="93"/>
  <c r="HL793" i="93"/>
  <c r="BC773" i="93"/>
  <c r="DO773" i="93"/>
  <c r="FD773" i="93"/>
  <c r="FT773" i="93"/>
  <c r="GJ773" i="93"/>
  <c r="HB773" i="93"/>
  <c r="HY773" i="93"/>
  <c r="CK777" i="93"/>
  <c r="HB777" i="93"/>
  <c r="GY781" i="93"/>
  <c r="GO785" i="93"/>
  <c r="HE789" i="93"/>
  <c r="FH793" i="93"/>
  <c r="HT793" i="93"/>
  <c r="DW773" i="93"/>
  <c r="IX773" i="93"/>
  <c r="EX777" i="93"/>
  <c r="HJ777" i="93"/>
  <c r="HG781" i="93"/>
  <c r="GW785" i="93"/>
  <c r="HM789" i="93"/>
  <c r="FP793" i="93"/>
  <c r="IB793" i="93"/>
  <c r="FL797" i="93"/>
  <c r="HE785" i="93"/>
  <c r="FX793" i="93"/>
  <c r="FZ797" i="93"/>
  <c r="FA785" i="93"/>
  <c r="HM785" i="93"/>
  <c r="FQ789" i="93"/>
  <c r="IC789" i="93"/>
  <c r="GF793" i="93"/>
  <c r="GN797" i="93"/>
  <c r="IH799" i="93"/>
  <c r="JF777" i="93"/>
  <c r="I889" i="93"/>
  <c r="M903" i="93"/>
  <c r="I907" i="93"/>
  <c r="JF773" i="93"/>
  <c r="M889" i="93"/>
  <c r="G894" i="93"/>
  <c r="O894" i="93"/>
  <c r="I903" i="93"/>
  <c r="M907" i="93"/>
  <c r="K907" i="93"/>
  <c r="K923" i="93"/>
  <c r="J894" i="93"/>
  <c r="IF803" i="93"/>
  <c r="IH803" i="93"/>
  <c r="IH791" i="93"/>
  <c r="IF791" i="93"/>
  <c r="IE787" i="93"/>
  <c r="IG787" i="93"/>
  <c r="IF783" i="93"/>
  <c r="IG783" i="93"/>
  <c r="IH779" i="93"/>
  <c r="ID779" i="93"/>
  <c r="IH775" i="93"/>
  <c r="ID775" i="93"/>
  <c r="IZ771" i="93"/>
  <c r="IG771" i="93"/>
  <c r="IH771" i="93"/>
  <c r="ID771" i="93"/>
  <c r="JQ767" i="93"/>
  <c r="JM767" i="93"/>
  <c r="JI767" i="93"/>
  <c r="JE767" i="93"/>
  <c r="JA767" i="93"/>
  <c r="IW767" i="93"/>
  <c r="IS767" i="93"/>
  <c r="IO767" i="93"/>
  <c r="IK767" i="93"/>
  <c r="IG767" i="93"/>
  <c r="IC767" i="93"/>
  <c r="HY767" i="93"/>
  <c r="HU767" i="93"/>
  <c r="HQ767" i="93"/>
  <c r="HM767" i="93"/>
  <c r="HI767" i="93"/>
  <c r="HE767" i="93"/>
  <c r="HA767" i="93"/>
  <c r="GW767" i="93"/>
  <c r="GS767" i="93"/>
  <c r="GO767" i="93"/>
  <c r="GK767" i="93"/>
  <c r="GG767" i="93"/>
  <c r="GC767" i="93"/>
  <c r="FY767" i="93"/>
  <c r="JN767" i="93"/>
  <c r="JJ767" i="93"/>
  <c r="JF767" i="93"/>
  <c r="JB767" i="93"/>
  <c r="IX767" i="93"/>
  <c r="IT767" i="93"/>
  <c r="IP767" i="93"/>
  <c r="IL767" i="93"/>
  <c r="IH767" i="93"/>
  <c r="ID767" i="93"/>
  <c r="HZ767" i="93"/>
  <c r="HV767" i="93"/>
  <c r="HR767" i="93"/>
  <c r="JK767" i="93"/>
  <c r="JC767" i="93"/>
  <c r="IU767" i="93"/>
  <c r="IM767" i="93"/>
  <c r="IE767" i="93"/>
  <c r="HW767" i="93"/>
  <c r="HO767" i="93"/>
  <c r="HJ767" i="93"/>
  <c r="HD767" i="93"/>
  <c r="GY767" i="93"/>
  <c r="GT767" i="93"/>
  <c r="GN767" i="93"/>
  <c r="GI767" i="93"/>
  <c r="GD767" i="93"/>
  <c r="FX767" i="93"/>
  <c r="FT767" i="93"/>
  <c r="FP767" i="93"/>
  <c r="FL767" i="93"/>
  <c r="FH767" i="93"/>
  <c r="FD767" i="93"/>
  <c r="EZ767" i="93"/>
  <c r="EV767" i="93"/>
  <c r="ER767" i="93"/>
  <c r="EN767" i="93"/>
  <c r="EJ767" i="93"/>
  <c r="EF767" i="93"/>
  <c r="EB767" i="93"/>
  <c r="DX767" i="93"/>
  <c r="DT767" i="93"/>
  <c r="DP767" i="93"/>
  <c r="DL767" i="93"/>
  <c r="DH767" i="93"/>
  <c r="DD767" i="93"/>
  <c r="CZ767" i="93"/>
  <c r="CS767" i="93"/>
  <c r="CO767" i="93"/>
  <c r="CK767" i="93"/>
  <c r="CG767" i="93"/>
  <c r="CC767" i="93"/>
  <c r="BY767" i="93"/>
  <c r="BU767" i="93"/>
  <c r="BM767" i="93"/>
  <c r="BE767" i="93"/>
  <c r="JL767" i="93"/>
  <c r="JD767" i="93"/>
  <c r="IV767" i="93"/>
  <c r="IN767" i="93"/>
  <c r="IF767" i="93"/>
  <c r="HX767" i="93"/>
  <c r="HP767" i="93"/>
  <c r="HK767" i="93"/>
  <c r="HF767" i="93"/>
  <c r="GZ767" i="93"/>
  <c r="GU767" i="93"/>
  <c r="GP767" i="93"/>
  <c r="GJ767" i="93"/>
  <c r="GE767" i="93"/>
  <c r="FZ767" i="93"/>
  <c r="FU767" i="93"/>
  <c r="FQ767" i="93"/>
  <c r="FM767" i="93"/>
  <c r="FI767" i="93"/>
  <c r="FE767" i="93"/>
  <c r="FA767" i="93"/>
  <c r="EW767" i="93"/>
  <c r="ES767" i="93"/>
  <c r="EO767" i="93"/>
  <c r="EK767" i="93"/>
  <c r="EG767" i="93"/>
  <c r="EC767" i="93"/>
  <c r="DY767" i="93"/>
  <c r="DU767" i="93"/>
  <c r="DQ767" i="93"/>
  <c r="DM767" i="93"/>
  <c r="DI767" i="93"/>
  <c r="DE767" i="93"/>
  <c r="DA767" i="93"/>
  <c r="CV767" i="93"/>
  <c r="CP767" i="93"/>
  <c r="CL767" i="93"/>
  <c r="CH767" i="93"/>
  <c r="CD767" i="93"/>
  <c r="BZ767" i="93"/>
  <c r="BV767" i="93"/>
  <c r="BP767" i="93"/>
  <c r="BH767" i="93"/>
  <c r="JO771" i="93"/>
  <c r="JK771" i="93"/>
  <c r="JG771" i="93"/>
  <c r="JC771" i="93"/>
  <c r="IW771" i="93"/>
  <c r="IO771" i="93"/>
  <c r="IA771" i="93"/>
  <c r="HW771" i="93"/>
  <c r="HS771" i="93"/>
  <c r="HO771" i="93"/>
  <c r="HK771" i="93"/>
  <c r="HG771" i="93"/>
  <c r="HC771" i="93"/>
  <c r="GY771" i="93"/>
  <c r="GU771" i="93"/>
  <c r="GQ771" i="93"/>
  <c r="GM771" i="93"/>
  <c r="GI771" i="93"/>
  <c r="GE771" i="93"/>
  <c r="GA771" i="93"/>
  <c r="FW771" i="93"/>
  <c r="FS771" i="93"/>
  <c r="FO771" i="93"/>
  <c r="FK771" i="93"/>
  <c r="FG771" i="93"/>
  <c r="FC771" i="93"/>
  <c r="EY771" i="93"/>
  <c r="ES771" i="93"/>
  <c r="EK771" i="93"/>
  <c r="EC771" i="93"/>
  <c r="DU771" i="93"/>
  <c r="DM771" i="93"/>
  <c r="DE771" i="93"/>
  <c r="CZ771" i="93"/>
  <c r="CS771" i="93"/>
  <c r="CK771" i="93"/>
  <c r="CC771" i="93"/>
  <c r="BW771" i="93"/>
  <c r="BN771" i="93"/>
  <c r="AX771" i="93"/>
  <c r="AL771" i="93"/>
  <c r="AD771" i="93"/>
  <c r="JP771" i="93"/>
  <c r="JL771" i="93"/>
  <c r="JH771" i="93"/>
  <c r="JD771" i="93"/>
  <c r="IX771" i="93"/>
  <c r="IP771" i="93"/>
  <c r="IB771" i="93"/>
  <c r="HX771" i="93"/>
  <c r="HT771" i="93"/>
  <c r="HP771" i="93"/>
  <c r="HL771" i="93"/>
  <c r="HH771" i="93"/>
  <c r="HD771" i="93"/>
  <c r="GZ771" i="93"/>
  <c r="GV771" i="93"/>
  <c r="GR771" i="93"/>
  <c r="GN771" i="93"/>
  <c r="GJ771" i="93"/>
  <c r="GF771" i="93"/>
  <c r="GB771" i="93"/>
  <c r="FX771" i="93"/>
  <c r="FT771" i="93"/>
  <c r="FP771" i="93"/>
  <c r="FL771" i="93"/>
  <c r="FH771" i="93"/>
  <c r="FD771" i="93"/>
  <c r="EZ771" i="93"/>
  <c r="ET771" i="93"/>
  <c r="EL771" i="93"/>
  <c r="ED771" i="93"/>
  <c r="DV771" i="93"/>
  <c r="DN771" i="93"/>
  <c r="DF771" i="93"/>
  <c r="DA771" i="93"/>
  <c r="CV771" i="93"/>
  <c r="CL771" i="93"/>
  <c r="CD771" i="93"/>
  <c r="BX771" i="93"/>
  <c r="BQ771" i="93"/>
  <c r="BA771" i="93"/>
  <c r="AO771" i="93"/>
  <c r="AG771" i="93"/>
  <c r="Y771" i="93"/>
  <c r="JN771" i="93"/>
  <c r="JF771" i="93"/>
  <c r="IT771" i="93"/>
  <c r="HV771" i="93"/>
  <c r="HN771" i="93"/>
  <c r="HF771" i="93"/>
  <c r="GX771" i="93"/>
  <c r="GP771" i="93"/>
  <c r="GH771" i="93"/>
  <c r="FZ771" i="93"/>
  <c r="FR771" i="93"/>
  <c r="FJ771" i="93"/>
  <c r="FB771" i="93"/>
  <c r="EP771" i="93"/>
  <c r="DZ771" i="93"/>
  <c r="DJ771" i="93"/>
  <c r="CY771" i="93"/>
  <c r="CH771" i="93"/>
  <c r="BV771" i="93"/>
  <c r="AS771" i="93"/>
  <c r="AC771" i="93"/>
  <c r="JQ771" i="93"/>
  <c r="JI771" i="93"/>
  <c r="JA771" i="93"/>
  <c r="IK771" i="93"/>
  <c r="HY771" i="93"/>
  <c r="HQ771" i="93"/>
  <c r="HI771" i="93"/>
  <c r="HA771" i="93"/>
  <c r="GS771" i="93"/>
  <c r="GK771" i="93"/>
  <c r="GC771" i="93"/>
  <c r="FU771" i="93"/>
  <c r="FM771" i="93"/>
  <c r="FE771" i="93"/>
  <c r="EW771" i="93"/>
  <c r="EG771" i="93"/>
  <c r="DQ771" i="93"/>
  <c r="DB771" i="93"/>
  <c r="CO771" i="93"/>
  <c r="BY771" i="93"/>
  <c r="BF771" i="93"/>
  <c r="AH771" i="93"/>
  <c r="JM771" i="93"/>
  <c r="JE771" i="93"/>
  <c r="IS771" i="93"/>
  <c r="IC771" i="93"/>
  <c r="HU771" i="93"/>
  <c r="HM771" i="93"/>
  <c r="HE771" i="93"/>
  <c r="GW771" i="93"/>
  <c r="GO771" i="93"/>
  <c r="GG771" i="93"/>
  <c r="FY771" i="93"/>
  <c r="FQ771" i="93"/>
  <c r="FI771" i="93"/>
  <c r="FA771" i="93"/>
  <c r="EO771" i="93"/>
  <c r="DY771" i="93"/>
  <c r="DI771" i="93"/>
  <c r="CW771" i="93"/>
  <c r="CG771" i="93"/>
  <c r="BU771" i="93"/>
  <c r="AP771" i="93"/>
  <c r="Z771" i="93"/>
  <c r="JO775" i="93"/>
  <c r="JK775" i="93"/>
  <c r="JG775" i="93"/>
  <c r="JC775" i="93"/>
  <c r="IS775" i="93"/>
  <c r="IA775" i="93"/>
  <c r="HW775" i="93"/>
  <c r="HS775" i="93"/>
  <c r="HO775" i="93"/>
  <c r="HK775" i="93"/>
  <c r="HG775" i="93"/>
  <c r="HC775" i="93"/>
  <c r="GY775" i="93"/>
  <c r="GU775" i="93"/>
  <c r="GQ775" i="93"/>
  <c r="GM775" i="93"/>
  <c r="GI775" i="93"/>
  <c r="GE775" i="93"/>
  <c r="GA775" i="93"/>
  <c r="FW775" i="93"/>
  <c r="FS775" i="93"/>
  <c r="FO775" i="93"/>
  <c r="FK775" i="93"/>
  <c r="FG775" i="93"/>
  <c r="FC775" i="93"/>
  <c r="EY775" i="93"/>
  <c r="EQ775" i="93"/>
  <c r="EG775" i="93"/>
  <c r="DV775" i="93"/>
  <c r="DK775" i="93"/>
  <c r="DB775" i="93"/>
  <c r="CX775" i="93"/>
  <c r="CO775" i="93"/>
  <c r="CD775" i="93"/>
  <c r="BW775" i="93"/>
  <c r="BJ775" i="93"/>
  <c r="AO775" i="93"/>
  <c r="AD775" i="93"/>
  <c r="JP775" i="93"/>
  <c r="JL775" i="93"/>
  <c r="JH775" i="93"/>
  <c r="JD775" i="93"/>
  <c r="IT775" i="93"/>
  <c r="II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S775" i="93"/>
  <c r="EH775" i="93"/>
  <c r="DW775" i="93"/>
  <c r="DM775" i="93"/>
  <c r="DC775" i="93"/>
  <c r="CY775" i="93"/>
  <c r="CS775" i="93"/>
  <c r="CH775" i="93"/>
  <c r="BX775" i="93"/>
  <c r="BS775" i="93"/>
  <c r="AX775" i="93"/>
  <c r="AH775" i="93"/>
  <c r="W775" i="93"/>
  <c r="JQ775" i="93"/>
  <c r="JI775" i="93"/>
  <c r="IX775" i="93"/>
  <c r="IC775" i="93"/>
  <c r="HU775" i="93"/>
  <c r="HM775" i="93"/>
  <c r="HE775" i="93"/>
  <c r="GW775" i="93"/>
  <c r="GO775" i="93"/>
  <c r="GG775" i="93"/>
  <c r="FY775" i="93"/>
  <c r="FQ775" i="93"/>
  <c r="FI775" i="93"/>
  <c r="FA775" i="93"/>
  <c r="EL775" i="93"/>
  <c r="DQ775" i="93"/>
  <c r="CZ775" i="93"/>
  <c r="CI775" i="93"/>
  <c r="BU775" i="93"/>
  <c r="AI775" i="93"/>
  <c r="JJ775" i="93"/>
  <c r="IY775" i="93"/>
  <c r="HV775" i="93"/>
  <c r="HN775" i="93"/>
  <c r="HF775" i="93"/>
  <c r="GX775" i="93"/>
  <c r="GP775" i="93"/>
  <c r="GH775" i="93"/>
  <c r="FZ775" i="93"/>
  <c r="FR775" i="93"/>
  <c r="FJ775" i="93"/>
  <c r="FB775" i="93"/>
  <c r="EM775" i="93"/>
  <c r="DR775" i="93"/>
  <c r="DA775" i="93"/>
  <c r="CM775" i="93"/>
  <c r="BV775" i="93"/>
  <c r="AM775" i="93"/>
  <c r="JN775" i="93"/>
  <c r="JF775" i="93"/>
  <c r="IO775" i="93"/>
  <c r="HZ775" i="93"/>
  <c r="HR775" i="93"/>
  <c r="HJ775" i="93"/>
  <c r="HB775" i="93"/>
  <c r="GT775" i="93"/>
  <c r="GL775" i="93"/>
  <c r="GD775" i="93"/>
  <c r="FV775" i="93"/>
  <c r="FN775" i="93"/>
  <c r="FF775" i="93"/>
  <c r="EX775" i="93"/>
  <c r="EC775" i="93"/>
  <c r="DG775" i="93"/>
  <c r="CW775" i="93"/>
  <c r="CC775" i="93"/>
  <c r="BI775" i="93"/>
  <c r="AC775" i="93"/>
  <c r="JO779" i="93"/>
  <c r="JK779" i="93"/>
  <c r="JG779" i="93"/>
  <c r="JC779" i="93"/>
  <c r="IS779" i="93"/>
  <c r="IA779" i="93"/>
  <c r="JP779" i="93"/>
  <c r="JJ779" i="93"/>
  <c r="JE779" i="93"/>
  <c r="IT779" i="93"/>
  <c r="HY779" i="93"/>
  <c r="HU779" i="93"/>
  <c r="HQ779" i="93"/>
  <c r="HM779" i="93"/>
  <c r="HI779" i="93"/>
  <c r="HE779" i="93"/>
  <c r="HA779" i="93"/>
  <c r="GW779" i="93"/>
  <c r="GS779" i="93"/>
  <c r="GO779" i="93"/>
  <c r="GK779" i="93"/>
  <c r="GG779" i="93"/>
  <c r="GC779" i="93"/>
  <c r="FY779" i="93"/>
  <c r="FU779" i="93"/>
  <c r="FQ779" i="93"/>
  <c r="FM779" i="93"/>
  <c r="FI779" i="93"/>
  <c r="FE779" i="93"/>
  <c r="FA779" i="93"/>
  <c r="EW779" i="93"/>
  <c r="EL779" i="93"/>
  <c r="EA779" i="93"/>
  <c r="DQ779" i="93"/>
  <c r="DF779" i="93"/>
  <c r="CZ779" i="93"/>
  <c r="CT779" i="93"/>
  <c r="CI779" i="93"/>
  <c r="BY779" i="93"/>
  <c r="BU779" i="93"/>
  <c r="AY779" i="93"/>
  <c r="AI779" i="93"/>
  <c r="Y779" i="93"/>
  <c r="JQ779" i="93"/>
  <c r="JL779" i="93"/>
  <c r="JF779" i="93"/>
  <c r="IX779" i="93"/>
  <c r="II779" i="93"/>
  <c r="HZ779" i="93"/>
  <c r="HV779" i="93"/>
  <c r="HR779" i="93"/>
  <c r="HN779" i="93"/>
  <c r="HJ779" i="93"/>
  <c r="HF779" i="93"/>
  <c r="HB779" i="93"/>
  <c r="GX779" i="93"/>
  <c r="GT779" i="93"/>
  <c r="GP779" i="93"/>
  <c r="GL779" i="93"/>
  <c r="GH779" i="93"/>
  <c r="GD779" i="93"/>
  <c r="FZ779" i="93"/>
  <c r="FV779" i="93"/>
  <c r="FR779" i="93"/>
  <c r="FN779" i="93"/>
  <c r="FJ779" i="93"/>
  <c r="FF779" i="93"/>
  <c r="FB779" i="93"/>
  <c r="EX779" i="93"/>
  <c r="EM779" i="93"/>
  <c r="EC779" i="93"/>
  <c r="DR779" i="93"/>
  <c r="DG779" i="93"/>
  <c r="DA779" i="93"/>
  <c r="CW779" i="93"/>
  <c r="CM779" i="93"/>
  <c r="CC779" i="93"/>
  <c r="BV779" i="93"/>
  <c r="BI779" i="93"/>
  <c r="AM779" i="93"/>
  <c r="AC779" i="93"/>
  <c r="JN779" i="93"/>
  <c r="JD779" i="93"/>
  <c r="IC779" i="93"/>
  <c r="HT779" i="93"/>
  <c r="HL779" i="93"/>
  <c r="HD779" i="93"/>
  <c r="GV779" i="93"/>
  <c r="GN779" i="93"/>
  <c r="GF779" i="93"/>
  <c r="FX779" i="93"/>
  <c r="FP779" i="93"/>
  <c r="FH779" i="93"/>
  <c r="EZ779" i="93"/>
  <c r="EH779" i="93"/>
  <c r="DM779" i="93"/>
  <c r="CY779" i="93"/>
  <c r="CH779" i="93"/>
  <c r="BS779" i="93"/>
  <c r="AH779" i="93"/>
  <c r="JH779" i="93"/>
  <c r="IM779" i="93"/>
  <c r="HW779" i="93"/>
  <c r="HO779" i="93"/>
  <c r="HG779" i="93"/>
  <c r="GY779" i="93"/>
  <c r="GQ779" i="93"/>
  <c r="GI779" i="93"/>
  <c r="GA779" i="93"/>
  <c r="FS779" i="93"/>
  <c r="FK779" i="93"/>
  <c r="FC779" i="93"/>
  <c r="EQ779" i="93"/>
  <c r="DV779" i="93"/>
  <c r="DB779" i="93"/>
  <c r="CO779" i="93"/>
  <c r="BW779" i="93"/>
  <c r="AO779" i="93"/>
  <c r="JM779" i="93"/>
  <c r="IY779" i="93"/>
  <c r="IB779" i="93"/>
  <c r="HS779" i="93"/>
  <c r="HK779" i="93"/>
  <c r="HC779" i="93"/>
  <c r="GU779" i="93"/>
  <c r="GM779" i="93"/>
  <c r="GE779" i="93"/>
  <c r="FW779" i="93"/>
  <c r="FO779" i="93"/>
  <c r="FG779" i="93"/>
  <c r="EY779" i="93"/>
  <c r="EG779" i="93"/>
  <c r="DK779" i="93"/>
  <c r="CX779" i="93"/>
  <c r="CD779" i="93"/>
  <c r="BJ779" i="93"/>
  <c r="AD779" i="93"/>
  <c r="JO783" i="93"/>
  <c r="JJ783" i="93"/>
  <c r="JF783" i="93"/>
  <c r="JA783" i="93"/>
  <c r="IP783" i="93"/>
  <c r="HY783" i="93"/>
  <c r="HT783" i="93"/>
  <c r="HO783" i="93"/>
  <c r="HK783" i="93"/>
  <c r="HG783" i="93"/>
  <c r="HC783" i="93"/>
  <c r="GY783" i="93"/>
  <c r="GU783" i="93"/>
  <c r="GQ783" i="93"/>
  <c r="GM783" i="93"/>
  <c r="GI783" i="93"/>
  <c r="GE783" i="93"/>
  <c r="GA783" i="93"/>
  <c r="FW783" i="93"/>
  <c r="FS783" i="93"/>
  <c r="FO783" i="93"/>
  <c r="FK783" i="93"/>
  <c r="FG783" i="93"/>
  <c r="FC783" i="93"/>
  <c r="EY783" i="93"/>
  <c r="ET783" i="93"/>
  <c r="EJ783" i="93"/>
  <c r="DY783" i="93"/>
  <c r="DN783" i="93"/>
  <c r="DD783" i="93"/>
  <c r="CZ783" i="93"/>
  <c r="CS783" i="93"/>
  <c r="CH783" i="93"/>
  <c r="BY783" i="93"/>
  <c r="BU783" i="93"/>
  <c r="BH783" i="93"/>
  <c r="AL783" i="93"/>
  <c r="AB783" i="93"/>
  <c r="JL783" i="93"/>
  <c r="JG783" i="93"/>
  <c r="IW783" i="93"/>
  <c r="IK783" i="93"/>
  <c r="IA783" i="93"/>
  <c r="HS783" i="93"/>
  <c r="HM783" i="93"/>
  <c r="HH783" i="93"/>
  <c r="HB783" i="93"/>
  <c r="GW783" i="93"/>
  <c r="GR783" i="93"/>
  <c r="GL783" i="93"/>
  <c r="GG783" i="93"/>
  <c r="GB783" i="93"/>
  <c r="FV783" i="93"/>
  <c r="FQ783" i="93"/>
  <c r="FL783" i="93"/>
  <c r="FF783" i="93"/>
  <c r="FA783" i="93"/>
  <c r="EV783" i="93"/>
  <c r="EF783" i="93"/>
  <c r="DT783" i="93"/>
  <c r="DE783" i="93"/>
  <c r="CY783" i="93"/>
  <c r="CN783" i="93"/>
  <c r="JK783" i="93"/>
  <c r="JD783" i="93"/>
  <c r="IV783" i="93"/>
  <c r="HX783" i="93"/>
  <c r="HQ783" i="93"/>
  <c r="HL783" i="93"/>
  <c r="HF783" i="93"/>
  <c r="HA783" i="93"/>
  <c r="GV783" i="93"/>
  <c r="GP783" i="93"/>
  <c r="GK783" i="93"/>
  <c r="GF783" i="93"/>
  <c r="FZ783" i="93"/>
  <c r="FU783" i="93"/>
  <c r="FP783" i="93"/>
  <c r="FJ783" i="93"/>
  <c r="FE783" i="93"/>
  <c r="JI783" i="93"/>
  <c r="IR783" i="93"/>
  <c r="HW783" i="93"/>
  <c r="HJ783" i="93"/>
  <c r="GZ783" i="93"/>
  <c r="GO783" i="93"/>
  <c r="GD783" i="93"/>
  <c r="FT783" i="93"/>
  <c r="FI783" i="93"/>
  <c r="EZ783" i="93"/>
  <c r="EO783" i="93"/>
  <c r="DU783" i="93"/>
  <c r="DC783" i="93"/>
  <c r="CU783" i="93"/>
  <c r="CC783" i="93"/>
  <c r="BV783" i="93"/>
  <c r="AX783" i="93"/>
  <c r="AG783" i="93"/>
  <c r="JN783" i="93"/>
  <c r="JB783" i="93"/>
  <c r="IB783" i="93"/>
  <c r="HN783" i="93"/>
  <c r="HD783" i="93"/>
  <c r="GS783" i="93"/>
  <c r="GH783" i="93"/>
  <c r="FX783" i="93"/>
  <c r="FM783" i="93"/>
  <c r="FB783" i="93"/>
  <c r="EP783" i="93"/>
  <c r="DZ783" i="93"/>
  <c r="DI783" i="93"/>
  <c r="CV783" i="93"/>
  <c r="CG783" i="93"/>
  <c r="BW783" i="93"/>
  <c r="BI783" i="93"/>
  <c r="AH783" i="93"/>
  <c r="JP783" i="93"/>
  <c r="IC783" i="93"/>
  <c r="HE783" i="93"/>
  <c r="GJ783" i="93"/>
  <c r="FN783" i="93"/>
  <c r="EW783" i="93"/>
  <c r="DJ783" i="93"/>
  <c r="CL783" i="93"/>
  <c r="BR783" i="93"/>
  <c r="X783" i="93"/>
  <c r="IL783" i="93"/>
  <c r="HI783" i="93"/>
  <c r="GN783" i="93"/>
  <c r="FR783" i="93"/>
  <c r="EX783" i="93"/>
  <c r="DP783" i="93"/>
  <c r="CR783" i="93"/>
  <c r="BT783" i="93"/>
  <c r="AC783" i="93"/>
  <c r="JH783" i="93"/>
  <c r="HU783" i="93"/>
  <c r="GX783" i="93"/>
  <c r="GC783" i="93"/>
  <c r="FH783" i="93"/>
  <c r="EK783" i="93"/>
  <c r="DB783" i="93"/>
  <c r="CB783" i="93"/>
  <c r="AW783"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P787" i="93"/>
  <c r="JI787" i="93"/>
  <c r="IW787" i="93"/>
  <c r="IK787" i="93"/>
  <c r="HY787" i="93"/>
  <c r="HM787" i="93"/>
  <c r="HB787" i="93"/>
  <c r="GS787" i="93"/>
  <c r="GG787" i="93"/>
  <c r="FV787" i="93"/>
  <c r="FM787" i="93"/>
  <c r="FA787" i="93"/>
  <c r="EU787" i="93"/>
  <c r="EI787" i="93"/>
  <c r="DS787" i="93"/>
  <c r="DE787" i="93"/>
  <c r="CY787" i="93"/>
  <c r="CL787" i="93"/>
  <c r="BZ787" i="93"/>
  <c r="BU787" i="93"/>
  <c r="AQ787" i="93"/>
  <c r="AE787" i="93"/>
  <c r="JK787" i="93"/>
  <c r="JB787" i="93"/>
  <c r="HR787" i="93"/>
  <c r="HE787" i="93"/>
  <c r="GO787" i="93"/>
  <c r="GC787" i="93"/>
  <c r="FN787" i="93"/>
  <c r="EZ787" i="93"/>
  <c r="EO787" i="93"/>
  <c r="DY787" i="93"/>
  <c r="DC787" i="93"/>
  <c r="CT787" i="93"/>
  <c r="CA787" i="93"/>
  <c r="BM787" i="93"/>
  <c r="AL787" i="93"/>
  <c r="JM787" i="93"/>
  <c r="IU787" i="93"/>
  <c r="HZ787" i="93"/>
  <c r="HI787" i="93"/>
  <c r="GL787" i="93"/>
  <c r="FU787" i="93"/>
  <c r="FE787" i="93"/>
  <c r="EK787" i="93"/>
  <c r="DN787" i="93"/>
  <c r="CU787" i="93"/>
  <c r="BY787" i="93"/>
  <c r="BB787" i="93"/>
  <c r="JJ787" i="93"/>
  <c r="IQ787" i="93"/>
  <c r="HU787" i="93"/>
  <c r="HA787" i="93"/>
  <c r="GK787" i="93"/>
  <c r="FQ787" i="93"/>
  <c r="EY787" i="93"/>
  <c r="ED787" i="93"/>
  <c r="DI787" i="93"/>
  <c r="CQ787" i="93"/>
  <c r="BW787" i="93"/>
  <c r="AP787" i="93"/>
  <c r="JQ787" i="93"/>
  <c r="IC787" i="93"/>
  <c r="GT787" i="93"/>
  <c r="FF787" i="93"/>
  <c r="DO787" i="93"/>
  <c r="CG787" i="93"/>
  <c r="AA787" i="93"/>
  <c r="IL787" i="93"/>
  <c r="GW787" i="93"/>
  <c r="FI787" i="93"/>
  <c r="DZ787" i="93"/>
  <c r="CK787" i="93"/>
  <c r="AG787" i="93"/>
  <c r="JD787" i="93"/>
  <c r="FY787" i="93"/>
  <c r="CZ787" i="93"/>
  <c r="JE787" i="93"/>
  <c r="GD787" i="93"/>
  <c r="DA787" i="93"/>
  <c r="HQ787" i="93"/>
  <c r="EW787" i="93"/>
  <c r="BV787"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H791" i="93"/>
  <c r="IN791" i="93"/>
  <c r="HT791" i="93"/>
  <c r="HA791" i="93"/>
  <c r="GO791" i="93"/>
  <c r="GC791" i="93"/>
  <c r="FT791" i="93"/>
  <c r="FI791" i="93"/>
  <c r="EY791" i="93"/>
  <c r="EN791" i="93"/>
  <c r="DX791" i="93"/>
  <c r="DC791" i="93"/>
  <c r="CW791" i="93"/>
  <c r="CH791" i="93"/>
  <c r="BV791" i="93"/>
  <c r="AV791" i="93"/>
  <c r="AA791" i="93"/>
  <c r="JL791" i="93"/>
  <c r="IV791" i="93"/>
  <c r="IB791" i="93"/>
  <c r="GW791" i="93"/>
  <c r="GJ791" i="93"/>
  <c r="FU791" i="93"/>
  <c r="FE791" i="93"/>
  <c r="EW791" i="93"/>
  <c r="EA791" i="93"/>
  <c r="DB791" i="93"/>
  <c r="CN791" i="93"/>
  <c r="BX791" i="93"/>
  <c r="AP791" i="93"/>
  <c r="IT791" i="93"/>
  <c r="HL791" i="93"/>
  <c r="GK791" i="93"/>
  <c r="FQ791" i="93"/>
  <c r="FA791" i="93"/>
  <c r="EF791" i="93"/>
  <c r="DA791" i="93"/>
  <c r="BZ791" i="93"/>
  <c r="BB791" i="93"/>
  <c r="JK791" i="93"/>
  <c r="HD791" i="93"/>
  <c r="GG791" i="93"/>
  <c r="FM791" i="93"/>
  <c r="EX791" i="93"/>
  <c r="DR791" i="93"/>
  <c r="CY791" i="93"/>
  <c r="BY791" i="93"/>
  <c r="AI791" i="93"/>
  <c r="JI791" i="93"/>
  <c r="GS791" i="93"/>
  <c r="FL791" i="93"/>
  <c r="DL791" i="93"/>
  <c r="BU791" i="93"/>
  <c r="HQ791" i="93"/>
  <c r="FY791" i="93"/>
  <c r="EM791" i="93"/>
  <c r="CI791" i="93"/>
  <c r="JG791" i="93"/>
  <c r="FD791" i="93"/>
  <c r="BP791" i="93"/>
  <c r="GB791" i="93"/>
  <c r="CV791" i="93"/>
  <c r="ET791" i="93"/>
  <c r="AF791" i="93"/>
  <c r="IU795" i="93"/>
  <c r="GS795" i="93"/>
  <c r="FM795" i="93"/>
  <c r="ES795" i="93"/>
  <c r="DC795" i="93"/>
  <c r="CC795" i="93"/>
  <c r="BV795" i="93"/>
  <c r="AK795" i="93"/>
  <c r="JL795" i="93"/>
  <c r="HY795" i="93"/>
  <c r="GL795" i="93"/>
  <c r="FF795" i="93"/>
  <c r="EF795" i="93"/>
  <c r="CZ795" i="93"/>
  <c r="CB795" i="93"/>
  <c r="BU795" i="93"/>
  <c r="AI795" i="93"/>
  <c r="HI795" i="93"/>
  <c r="EZ795" i="93"/>
  <c r="CY795" i="93"/>
  <c r="BM795" i="93"/>
  <c r="JH795" i="93"/>
  <c r="FV795" i="93"/>
  <c r="CR795" i="93"/>
  <c r="AC795" i="93"/>
  <c r="HB795" i="93"/>
  <c r="DD795" i="93"/>
  <c r="W795" i="93"/>
  <c r="GC795" i="93"/>
  <c r="BY795" i="93"/>
  <c r="BW795" i="93"/>
  <c r="DP795" i="93"/>
  <c r="AY795" i="93"/>
  <c r="EY795" i="93"/>
  <c r="ER799" i="93"/>
  <c r="JM799" i="93"/>
  <c r="DP799" i="93"/>
  <c r="HI799" i="93"/>
  <c r="GP799" i="93"/>
  <c r="BD799" i="93"/>
  <c r="BX799" i="93"/>
  <c r="EW803" i="93"/>
  <c r="CT803" i="93"/>
  <c r="HO803" i="93"/>
  <c r="FC803" i="93"/>
  <c r="BX803" i="93"/>
  <c r="A771" i="93"/>
  <c r="A787" i="93"/>
  <c r="IM769" i="93"/>
  <c r="II769" i="93"/>
  <c r="IE769" i="93"/>
  <c r="DC769" i="93"/>
  <c r="CY769" i="93"/>
  <c r="CU769" i="93"/>
  <c r="CQ769" i="93"/>
  <c r="CM769" i="93"/>
  <c r="CI769" i="93"/>
  <c r="CE769" i="93"/>
  <c r="CA769" i="93"/>
  <c r="BW769" i="93"/>
  <c r="BS769" i="93"/>
  <c r="BO769" i="93"/>
  <c r="BK769" i="93"/>
  <c r="BG769" i="93"/>
  <c r="BC769" i="93"/>
  <c r="AY769" i="93"/>
  <c r="AU769" i="93"/>
  <c r="AQ769" i="93"/>
  <c r="AM769" i="93"/>
  <c r="AI769" i="93"/>
  <c r="AE769" i="93"/>
  <c r="AA769" i="93"/>
  <c r="W769" i="93"/>
  <c r="IJ769" i="93"/>
  <c r="IF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IL769" i="93"/>
  <c r="ID769" i="93"/>
  <c r="DB769" i="93"/>
  <c r="CT769" i="93"/>
  <c r="CL769" i="93"/>
  <c r="CD769" i="93"/>
  <c r="BV769" i="93"/>
  <c r="BN769" i="93"/>
  <c r="BF769" i="93"/>
  <c r="AX769" i="93"/>
  <c r="AP769" i="93"/>
  <c r="AH769" i="93"/>
  <c r="Z769" i="93"/>
  <c r="IG769" i="93"/>
  <c r="CW769" i="93"/>
  <c r="CO769" i="93"/>
  <c r="CG769" i="93"/>
  <c r="BY769" i="93"/>
  <c r="BQ769" i="93"/>
  <c r="BI769" i="93"/>
  <c r="BA769" i="93"/>
  <c r="AS769" i="93"/>
  <c r="AK769" i="93"/>
  <c r="AC769" i="93"/>
  <c r="IK769" i="93"/>
  <c r="DQ769" i="93"/>
  <c r="DI769" i="93"/>
  <c r="DA769" i="93"/>
  <c r="CS769" i="93"/>
  <c r="IJ773" i="93"/>
  <c r="IF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IK773" i="93"/>
  <c r="IG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IL773" i="93"/>
  <c r="ID773" i="93"/>
  <c r="DC773" i="93"/>
  <c r="CU773" i="93"/>
  <c r="CM773" i="93"/>
  <c r="CE773" i="93"/>
  <c r="BW773" i="93"/>
  <c r="BO773" i="93"/>
  <c r="BG773" i="93"/>
  <c r="AY773" i="93"/>
  <c r="AQ773" i="93"/>
  <c r="AI773" i="93"/>
  <c r="AA773" i="93"/>
  <c r="IM773" i="93"/>
  <c r="IE773" i="93"/>
  <c r="CX773" i="93"/>
  <c r="CP773" i="93"/>
  <c r="CH773" i="93"/>
  <c r="BZ773" i="93"/>
  <c r="BR773" i="93"/>
  <c r="BJ773" i="93"/>
  <c r="BB773" i="93"/>
  <c r="AT773" i="93"/>
  <c r="AL773" i="93"/>
  <c r="AD773" i="93"/>
  <c r="II773" i="93"/>
  <c r="DB773" i="93"/>
  <c r="CT773" i="93"/>
  <c r="CL773" i="93"/>
  <c r="CD773" i="93"/>
  <c r="BV773" i="93"/>
  <c r="BN773" i="93"/>
  <c r="BF773" i="93"/>
  <c r="AX773" i="93"/>
  <c r="AP773" i="93"/>
  <c r="AH773" i="93"/>
  <c r="Z773" i="93"/>
  <c r="IK777" i="93"/>
  <c r="I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IL777" i="93"/>
  <c r="IH777" i="93"/>
  <c r="ID777" i="93"/>
  <c r="CZ777" i="93"/>
  <c r="CV777" i="93"/>
  <c r="CR777" i="93"/>
  <c r="CN777" i="93"/>
  <c r="CJ777" i="93"/>
  <c r="CF777" i="93"/>
  <c r="CB777" i="93"/>
  <c r="BX777" i="93"/>
  <c r="BT777" i="93"/>
  <c r="BP777" i="93"/>
  <c r="BL777" i="93"/>
  <c r="BH777" i="93"/>
  <c r="BD777" i="93"/>
  <c r="AZ777" i="93"/>
  <c r="AV777" i="93"/>
  <c r="AR777" i="93"/>
  <c r="AN777" i="93"/>
  <c r="AJ777" i="93"/>
  <c r="AF777" i="93"/>
  <c r="AB777" i="93"/>
  <c r="X777" i="93"/>
  <c r="IF777" i="93"/>
  <c r="CW777" i="93"/>
  <c r="CO777" i="93"/>
  <c r="CG777" i="93"/>
  <c r="BY777" i="93"/>
  <c r="BQ777" i="93"/>
  <c r="BI777" i="93"/>
  <c r="BA777" i="93"/>
  <c r="AS777" i="93"/>
  <c r="AK777" i="93"/>
  <c r="AC777" i="93"/>
  <c r="II777" i="93"/>
  <c r="CX777" i="93"/>
  <c r="CP777" i="93"/>
  <c r="CH777" i="93"/>
  <c r="BZ777" i="93"/>
  <c r="BR777" i="93"/>
  <c r="BJ777" i="93"/>
  <c r="BB777" i="93"/>
  <c r="AT777" i="93"/>
  <c r="AL777" i="93"/>
  <c r="AD777" i="93"/>
  <c r="IM777" i="93"/>
  <c r="IE777" i="93"/>
  <c r="DB777" i="93"/>
  <c r="CT777" i="93"/>
  <c r="CL777" i="93"/>
  <c r="CD777" i="93"/>
  <c r="BV777" i="93"/>
  <c r="BN777" i="93"/>
  <c r="BF777" i="93"/>
  <c r="AX777" i="93"/>
  <c r="AP777" i="93"/>
  <c r="AH777" i="93"/>
  <c r="Z777" i="93"/>
  <c r="IL781" i="93"/>
  <c r="IH781" i="93"/>
  <c r="ID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II781" i="93"/>
  <c r="DA781" i="93"/>
  <c r="CV781" i="93"/>
  <c r="CP781" i="93"/>
  <c r="CK781" i="93"/>
  <c r="CF781" i="93"/>
  <c r="BZ781" i="93"/>
  <c r="BU781" i="93"/>
  <c r="BP781" i="93"/>
  <c r="BJ781" i="93"/>
  <c r="BE781" i="93"/>
  <c r="AZ781" i="93"/>
  <c r="AT781" i="93"/>
  <c r="AO781" i="93"/>
  <c r="AJ781" i="93"/>
  <c r="AD781" i="93"/>
  <c r="Y781" i="93"/>
  <c r="IJ781" i="93"/>
  <c r="IE781" i="93"/>
  <c r="DB781" i="93"/>
  <c r="CW781" i="93"/>
  <c r="CR781" i="93"/>
  <c r="CL781" i="93"/>
  <c r="CG781" i="93"/>
  <c r="CB781" i="93"/>
  <c r="BV781" i="93"/>
  <c r="BQ781" i="93"/>
  <c r="BL781" i="93"/>
  <c r="BF781" i="93"/>
  <c r="BA781" i="93"/>
  <c r="AV781" i="93"/>
  <c r="AP781" i="93"/>
  <c r="AK781" i="93"/>
  <c r="AF781" i="93"/>
  <c r="Z781" i="93"/>
  <c r="IF781" i="93"/>
  <c r="CZ781" i="93"/>
  <c r="CO781" i="93"/>
  <c r="CD781" i="93"/>
  <c r="BT781" i="93"/>
  <c r="BI781" i="93"/>
  <c r="AX781" i="93"/>
  <c r="AN781" i="93"/>
  <c r="AC781" i="93"/>
  <c r="IG781" i="93"/>
  <c r="CS781" i="93"/>
  <c r="CH781" i="93"/>
  <c r="BX781" i="93"/>
  <c r="BM781" i="93"/>
  <c r="BB781" i="93"/>
  <c r="AR781" i="93"/>
  <c r="AG781" i="93"/>
  <c r="IM781" i="93"/>
  <c r="CX781" i="93"/>
  <c r="CN781" i="93"/>
  <c r="CC781" i="93"/>
  <c r="BR781" i="93"/>
  <c r="BH781" i="93"/>
  <c r="AW781" i="93"/>
  <c r="AL781" i="93"/>
  <c r="AB781" i="93"/>
  <c r="IJ785" i="93"/>
  <c r="IF785" i="93"/>
  <c r="DB785" i="93"/>
  <c r="CX785" i="93"/>
  <c r="CT785" i="93"/>
  <c r="CP785" i="93"/>
  <c r="IL785" i="93"/>
  <c r="IG785" i="93"/>
  <c r="II785" i="93"/>
  <c r="DC785" i="93"/>
  <c r="CW785" i="93"/>
  <c r="CR785" i="93"/>
  <c r="CM785" i="93"/>
  <c r="CI785" i="93"/>
  <c r="CE785" i="93"/>
  <c r="CA785" i="93"/>
  <c r="BW785" i="93"/>
  <c r="BS785" i="93"/>
  <c r="BO785" i="93"/>
  <c r="BK785" i="93"/>
  <c r="BG785" i="93"/>
  <c r="BC785" i="93"/>
  <c r="AY785" i="93"/>
  <c r="AU785" i="93"/>
  <c r="AQ785" i="93"/>
  <c r="AM785" i="93"/>
  <c r="AI785" i="93"/>
  <c r="AE785" i="93"/>
  <c r="AA785" i="93"/>
  <c r="W785" i="93"/>
  <c r="IH785" i="93"/>
  <c r="DA785" i="93"/>
  <c r="CU785" i="93"/>
  <c r="CN785" i="93"/>
  <c r="CH785" i="93"/>
  <c r="CC785" i="93"/>
  <c r="BX785" i="93"/>
  <c r="BR785" i="93"/>
  <c r="BM785" i="93"/>
  <c r="BH785" i="93"/>
  <c r="BB785" i="93"/>
  <c r="AW785" i="93"/>
  <c r="AR785" i="93"/>
  <c r="AL785" i="93"/>
  <c r="AG785" i="93"/>
  <c r="AB785" i="93"/>
  <c r="IE785" i="93"/>
  <c r="CZ785" i="93"/>
  <c r="CS785" i="93"/>
  <c r="CL785" i="93"/>
  <c r="CG785" i="93"/>
  <c r="CB785" i="93"/>
  <c r="BV785" i="93"/>
  <c r="BQ785" i="93"/>
  <c r="BL785" i="93"/>
  <c r="BF785" i="93"/>
  <c r="BA785" i="93"/>
  <c r="AV785" i="93"/>
  <c r="AP785" i="93"/>
  <c r="AK785" i="93"/>
  <c r="AF785" i="93"/>
  <c r="Z785" i="93"/>
  <c r="IM785" i="93"/>
  <c r="CQ785" i="93"/>
  <c r="CF785" i="93"/>
  <c r="BU785" i="93"/>
  <c r="BJ785" i="93"/>
  <c r="AZ785" i="93"/>
  <c r="AO785" i="93"/>
  <c r="AD785" i="93"/>
  <c r="CV785" i="93"/>
  <c r="CJ785" i="93"/>
  <c r="BY785" i="93"/>
  <c r="BN785" i="93"/>
  <c r="BD785" i="93"/>
  <c r="AS785" i="93"/>
  <c r="AH785" i="93"/>
  <c r="X785" i="93"/>
  <c r="CO785" i="93"/>
  <c r="BT785" i="93"/>
  <c r="AX785" i="93"/>
  <c r="AC785" i="93"/>
  <c r="CY785" i="93"/>
  <c r="BZ785" i="93"/>
  <c r="BE785" i="93"/>
  <c r="AJ785" i="93"/>
  <c r="IK785" i="93"/>
  <c r="CK785" i="93"/>
  <c r="BP785" i="93"/>
  <c r="AT785" i="93"/>
  <c r="Y785" i="93"/>
  <c r="IK789" i="93"/>
  <c r="IG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M789" i="93"/>
  <c r="IH789" i="93"/>
  <c r="CZ789" i="93"/>
  <c r="CU789" i="93"/>
  <c r="CO789" i="93"/>
  <c r="CJ789" i="93"/>
  <c r="CE789" i="93"/>
  <c r="BY789" i="93"/>
  <c r="BT789" i="93"/>
  <c r="BO789" i="93"/>
  <c r="BI789" i="93"/>
  <c r="BD789" i="93"/>
  <c r="AY789" i="93"/>
  <c r="AS789" i="93"/>
  <c r="AN789" i="93"/>
  <c r="AI789" i="93"/>
  <c r="AC789" i="93"/>
  <c r="X789" i="93"/>
  <c r="IF789" i="93"/>
  <c r="CW789" i="93"/>
  <c r="CQ789" i="93"/>
  <c r="CI789" i="93"/>
  <c r="CB789" i="93"/>
  <c r="BU789" i="93"/>
  <c r="BM789" i="93"/>
  <c r="BG789" i="93"/>
  <c r="AZ789" i="93"/>
  <c r="AR789" i="93"/>
  <c r="AK789" i="93"/>
  <c r="AE789" i="93"/>
  <c r="W789" i="93"/>
  <c r="IJ789" i="93"/>
  <c r="CY789" i="93"/>
  <c r="CN789" i="93"/>
  <c r="CF789" i="93"/>
  <c r="BW789" i="93"/>
  <c r="BL789" i="93"/>
  <c r="BC789" i="93"/>
  <c r="AU789" i="93"/>
  <c r="AJ789" i="93"/>
  <c r="AA789" i="93"/>
  <c r="II789" i="93"/>
  <c r="CV789" i="93"/>
  <c r="CM789" i="93"/>
  <c r="CC789" i="93"/>
  <c r="BS789" i="93"/>
  <c r="BK789" i="93"/>
  <c r="BA789" i="93"/>
  <c r="AQ789" i="93"/>
  <c r="AG789" i="93"/>
  <c r="Y789" i="93"/>
  <c r="CR789" i="93"/>
  <c r="BX789" i="93"/>
  <c r="BE789" i="93"/>
  <c r="AM789" i="93"/>
  <c r="ID789" i="93"/>
  <c r="CS789" i="93"/>
  <c r="CA789" i="93"/>
  <c r="BH789" i="93"/>
  <c r="AO789" i="93"/>
  <c r="IE789" i="93"/>
  <c r="DC789" i="93"/>
  <c r="BQ789" i="93"/>
  <c r="AF789" i="93"/>
  <c r="IL789" i="93"/>
  <c r="CG789" i="93"/>
  <c r="AV789" i="93"/>
  <c r="DA789" i="93"/>
  <c r="BP789" i="93"/>
  <c r="AB789" i="93"/>
  <c r="IJ793" i="93"/>
  <c r="CZ793" i="93"/>
  <c r="CT793" i="93"/>
  <c r="CO793" i="93"/>
  <c r="CJ793" i="93"/>
  <c r="CD793" i="93"/>
  <c r="BY793" i="93"/>
  <c r="BT793" i="93"/>
  <c r="BN793" i="93"/>
  <c r="BI793" i="93"/>
  <c r="BD793" i="93"/>
  <c r="AX793" i="93"/>
  <c r="AS793" i="93"/>
  <c r="AN793" i="93"/>
  <c r="AH793" i="93"/>
  <c r="AD793" i="93"/>
  <c r="Z793" i="93"/>
  <c r="IH793" i="93"/>
  <c r="CX793" i="93"/>
  <c r="CS793" i="93"/>
  <c r="CN793" i="93"/>
  <c r="CH793" i="93"/>
  <c r="CC793" i="93"/>
  <c r="BX793" i="93"/>
  <c r="BR793" i="93"/>
  <c r="BM793" i="93"/>
  <c r="BH793" i="93"/>
  <c r="BB793" i="93"/>
  <c r="AW793" i="93"/>
  <c r="AR793" i="93"/>
  <c r="AL793" i="93"/>
  <c r="AG793" i="93"/>
  <c r="AC793" i="93"/>
  <c r="Y793" i="93"/>
  <c r="CV793" i="93"/>
  <c r="CK793" i="93"/>
  <c r="BZ793" i="93"/>
  <c r="BP793" i="93"/>
  <c r="BE793" i="93"/>
  <c r="AT793" i="93"/>
  <c r="AJ793" i="93"/>
  <c r="AA793" i="93"/>
  <c r="ID793" i="93"/>
  <c r="DB793" i="93"/>
  <c r="CP793" i="93"/>
  <c r="CB793" i="93"/>
  <c r="BL793" i="93"/>
  <c r="AZ793" i="93"/>
  <c r="AK793" i="93"/>
  <c r="X793" i="93"/>
  <c r="IL793" i="93"/>
  <c r="DA793" i="93"/>
  <c r="CG793" i="93"/>
  <c r="BQ793" i="93"/>
  <c r="AV793" i="93"/>
  <c r="AE793" i="93"/>
  <c r="IG793" i="93"/>
  <c r="CW793" i="93"/>
  <c r="CF793" i="93"/>
  <c r="BJ793" i="93"/>
  <c r="AP793" i="93"/>
  <c r="AB793" i="93"/>
  <c r="BU793" i="93"/>
  <c r="AF793" i="93"/>
  <c r="BV793" i="93"/>
  <c r="AO793" i="93"/>
  <c r="BA793" i="93"/>
  <c r="CR793" i="93"/>
  <c r="W793" i="93"/>
  <c r="BF793" i="93"/>
  <c r="IL797" i="93"/>
  <c r="BL797" i="93"/>
  <c r="DC797" i="93"/>
  <c r="AV797" i="93"/>
  <c r="BX797" i="93"/>
  <c r="AK797" i="93"/>
  <c r="CM797" i="93"/>
  <c r="AB797" i="93"/>
  <c r="CL801" i="93"/>
  <c r="BJ801" i="93"/>
  <c r="AL801" i="93"/>
  <c r="IW769" i="93"/>
  <c r="IT781" i="93"/>
  <c r="DT785" i="93"/>
  <c r="EL789" i="93"/>
  <c r="AY775" i="93"/>
  <c r="EA775" i="93"/>
  <c r="FU775" i="93"/>
  <c r="HA775" i="93"/>
  <c r="IM775" i="93"/>
  <c r="BX779" i="93"/>
  <c r="ES779" i="93"/>
  <c r="GB779" i="93"/>
  <c r="HH779" i="93"/>
  <c r="JI779" i="93"/>
  <c r="AS781" i="93"/>
  <c r="CJ781" i="93"/>
  <c r="EH781" i="93"/>
  <c r="IY781" i="93"/>
  <c r="ED783" i="93"/>
  <c r="HP783" i="93"/>
  <c r="AN785" i="93"/>
  <c r="ET787" i="93"/>
  <c r="CK789" i="93"/>
  <c r="DK791" i="93"/>
  <c r="CL793" i="93"/>
  <c r="JG795" i="93"/>
  <c r="DY769" i="93"/>
  <c r="EG769" i="93"/>
  <c r="EO769" i="93"/>
  <c r="IS769" i="93"/>
  <c r="JA769" i="93"/>
  <c r="DJ773" i="93"/>
  <c r="DR773" i="93"/>
  <c r="DZ773" i="93"/>
  <c r="EH773" i="93"/>
  <c r="EP773" i="93"/>
  <c r="IQ773" i="93"/>
  <c r="IY773" i="93"/>
  <c r="DK777" i="93"/>
  <c r="DU777" i="93"/>
  <c r="EF777" i="93"/>
  <c r="EQ777" i="93"/>
  <c r="IW777" i="93"/>
  <c r="DK781" i="93"/>
  <c r="DZ781" i="93"/>
  <c r="EM781" i="93"/>
  <c r="IZ781" i="93"/>
  <c r="DE769" i="93"/>
  <c r="DM769" i="93"/>
  <c r="DU769" i="93"/>
  <c r="EC769" i="93"/>
  <c r="EK769" i="93"/>
  <c r="ES769" i="93"/>
  <c r="IO769" i="93"/>
  <c r="DF773" i="93"/>
  <c r="DN773" i="93"/>
  <c r="DV773" i="93"/>
  <c r="ED773" i="93"/>
  <c r="EL773" i="93"/>
  <c r="ET773" i="93"/>
  <c r="IU773" i="93"/>
  <c r="DF777" i="93"/>
  <c r="DP777" i="93"/>
  <c r="EA777" i="93"/>
  <c r="EK777" i="93"/>
  <c r="EV777" i="93"/>
  <c r="IR777" i="93"/>
  <c r="DD781" i="93"/>
  <c r="DR781" i="93"/>
  <c r="EF781" i="93"/>
  <c r="EU781" i="93"/>
  <c r="JE769" i="93"/>
  <c r="IY769" i="93"/>
  <c r="IU769" i="93"/>
  <c r="IQ769" i="93"/>
  <c r="EU769" i="93"/>
  <c r="EQ769" i="93"/>
  <c r="EM769" i="93"/>
  <c r="EI769" i="93"/>
  <c r="EE769" i="93"/>
  <c r="EA769" i="93"/>
  <c r="DW769" i="93"/>
  <c r="DS769" i="93"/>
  <c r="DO769" i="93"/>
  <c r="DK769" i="93"/>
  <c r="DG769" i="93"/>
  <c r="JI769" i="93"/>
  <c r="IZ769" i="93"/>
  <c r="IV769" i="93"/>
  <c r="IR769" i="93"/>
  <c r="IN769" i="93"/>
  <c r="EV769" i="93"/>
  <c r="ER769" i="93"/>
  <c r="EN769" i="93"/>
  <c r="EJ769" i="93"/>
  <c r="EF769" i="93"/>
  <c r="EB769" i="93"/>
  <c r="DX769" i="93"/>
  <c r="DT769" i="93"/>
  <c r="DP769" i="93"/>
  <c r="DL769" i="93"/>
  <c r="DH769" i="93"/>
  <c r="DD769" i="93"/>
  <c r="JJ773" i="93"/>
  <c r="IZ773" i="93"/>
  <c r="IV773" i="93"/>
  <c r="IR773" i="93"/>
  <c r="IN773" i="93"/>
  <c r="EV773" i="93"/>
  <c r="ER773" i="93"/>
  <c r="EN773" i="93"/>
  <c r="EJ773" i="93"/>
  <c r="EF773" i="93"/>
  <c r="EB773" i="93"/>
  <c r="DX773" i="93"/>
  <c r="DT773" i="93"/>
  <c r="DP773" i="93"/>
  <c r="DL773" i="93"/>
  <c r="DH773" i="93"/>
  <c r="DD773" i="93"/>
  <c r="JA773" i="93"/>
  <c r="IW773" i="93"/>
  <c r="IS773" i="93"/>
  <c r="IO773" i="93"/>
  <c r="ES773" i="93"/>
  <c r="EO773" i="93"/>
  <c r="EK773" i="93"/>
  <c r="EG773" i="93"/>
  <c r="EC773" i="93"/>
  <c r="DY773" i="93"/>
  <c r="DU773" i="93"/>
  <c r="DQ773" i="93"/>
  <c r="DM773" i="93"/>
  <c r="DI773" i="93"/>
  <c r="DE773" i="93"/>
  <c r="IZ777" i="93"/>
  <c r="IU777" i="93"/>
  <c r="IO777" i="93"/>
  <c r="ER777" i="93"/>
  <c r="EM777" i="93"/>
  <c r="EG777" i="93"/>
  <c r="EB777" i="93"/>
  <c r="DW777" i="93"/>
  <c r="DQ777" i="93"/>
  <c r="DL777" i="93"/>
  <c r="DG777" i="93"/>
  <c r="JA777" i="93"/>
  <c r="IV777" i="93"/>
  <c r="IQ777" i="93"/>
  <c r="ES777" i="93"/>
  <c r="EN777" i="93"/>
  <c r="EI777" i="93"/>
  <c r="EC777" i="93"/>
  <c r="DX777" i="93"/>
  <c r="DS777" i="93"/>
  <c r="DM777" i="93"/>
  <c r="DH777" i="93"/>
  <c r="DD777" i="93"/>
  <c r="JB781" i="93"/>
  <c r="IV781" i="93"/>
  <c r="IQ781" i="93"/>
  <c r="ET781" i="93"/>
  <c r="EN781" i="93"/>
  <c r="EI781" i="93"/>
  <c r="ED781" i="93"/>
  <c r="DX781" i="93"/>
  <c r="DS781" i="93"/>
  <c r="DN781" i="93"/>
  <c r="DH781" i="93"/>
  <c r="JC781" i="93"/>
  <c r="IU781" i="93"/>
  <c r="IN781" i="93"/>
  <c r="EQ781" i="93"/>
  <c r="EJ781" i="93"/>
  <c r="EB781" i="93"/>
  <c r="DV781" i="93"/>
  <c r="DO781" i="93"/>
  <c r="DG781" i="93"/>
  <c r="JG781" i="93"/>
  <c r="IX781" i="93"/>
  <c r="IP781" i="93"/>
  <c r="ER781" i="93"/>
  <c r="EL781" i="93"/>
  <c r="EE781" i="93"/>
  <c r="DW781" i="93"/>
  <c r="DP781" i="93"/>
  <c r="DJ781" i="93"/>
  <c r="JH785" i="93"/>
  <c r="IV785" i="93"/>
  <c r="IN785" i="93"/>
  <c r="EV785" i="93"/>
  <c r="EN785" i="93"/>
  <c r="EF785" i="93"/>
  <c r="DX785" i="93"/>
  <c r="DP785" i="93"/>
  <c r="DH785" i="93"/>
  <c r="JL785" i="93"/>
  <c r="IS785" i="93"/>
  <c r="ES785" i="93"/>
  <c r="EJ785" i="93"/>
  <c r="IR785" i="93"/>
  <c r="EG785" i="93"/>
  <c r="DU785" i="93"/>
  <c r="DL785" i="93"/>
  <c r="IW785" i="93"/>
  <c r="ER785" i="93"/>
  <c r="EB785" i="93"/>
  <c r="DM785" i="93"/>
  <c r="IO785" i="93"/>
  <c r="EO785" i="93"/>
  <c r="DY785" i="93"/>
  <c r="DI785" i="93"/>
  <c r="EK785" i="93"/>
  <c r="DE785" i="93"/>
  <c r="IZ785" i="93"/>
  <c r="DQ785" i="93"/>
  <c r="IY789" i="93"/>
  <c r="IQ789" i="93"/>
  <c r="EP789" i="93"/>
  <c r="EH789" i="93"/>
  <c r="DZ789" i="93"/>
  <c r="DR789" i="93"/>
  <c r="DJ789" i="93"/>
  <c r="IX789" i="93"/>
  <c r="EM789" i="93"/>
  <c r="ED789" i="93"/>
  <c r="DS789" i="93"/>
  <c r="DG789" i="93"/>
  <c r="JD789" i="93"/>
  <c r="IP789" i="93"/>
  <c r="EU789" i="93"/>
  <c r="EI789" i="93"/>
  <c r="DV789" i="93"/>
  <c r="DF789" i="93"/>
  <c r="JB789" i="93"/>
  <c r="EE789" i="93"/>
  <c r="DN789" i="93"/>
  <c r="IU789" i="93"/>
  <c r="ET789" i="93"/>
  <c r="EA789" i="93"/>
  <c r="DK789" i="93"/>
  <c r="IT789" i="93"/>
  <c r="DO789" i="93"/>
  <c r="DW789" i="93"/>
  <c r="IW793" i="93"/>
  <c r="EL793" i="93"/>
  <c r="EB793" i="93"/>
  <c r="DQ793" i="93"/>
  <c r="DF793" i="93"/>
  <c r="IR793" i="93"/>
  <c r="EV793" i="93"/>
  <c r="EK793" i="93"/>
  <c r="DZ793" i="93"/>
  <c r="DP793" i="93"/>
  <c r="DE793" i="93"/>
  <c r="IN793" i="93"/>
  <c r="EF793" i="93"/>
  <c r="DJ793" i="93"/>
  <c r="JB793" i="93"/>
  <c r="EG793" i="93"/>
  <c r="EP793" i="93"/>
  <c r="DV793" i="93"/>
  <c r="IX793" i="93"/>
  <c r="DL793" i="93"/>
  <c r="DU793" i="93"/>
  <c r="EE797" i="93"/>
  <c r="DJ769" i="93"/>
  <c r="DR769" i="93"/>
  <c r="DZ769" i="93"/>
  <c r="EH769" i="93"/>
  <c r="EP769" i="93"/>
  <c r="IT769" i="93"/>
  <c r="JB769" i="93"/>
  <c r="DK773" i="93"/>
  <c r="DS773" i="93"/>
  <c r="EA773" i="93"/>
  <c r="EI773" i="93"/>
  <c r="EQ773" i="93"/>
  <c r="IT773" i="93"/>
  <c r="JB773" i="93"/>
  <c r="DE777" i="93"/>
  <c r="DO777" i="93"/>
  <c r="DY777" i="93"/>
  <c r="EJ777" i="93"/>
  <c r="EU777" i="93"/>
  <c r="IN777" i="93"/>
  <c r="IY777" i="93"/>
  <c r="DL781" i="93"/>
  <c r="EA781" i="93"/>
  <c r="EP781" i="93"/>
  <c r="IR781" i="93"/>
  <c r="EC785" i="93"/>
  <c r="JA785" i="93"/>
  <c r="ER793" i="93"/>
  <c r="JQ796" i="93"/>
  <c r="JM796" i="93"/>
  <c r="JH796" i="93"/>
  <c r="IU796" i="93"/>
  <c r="HZ796" i="93"/>
  <c r="HV796" i="93"/>
  <c r="HR796" i="93"/>
  <c r="HN796" i="93"/>
  <c r="HJ796" i="93"/>
  <c r="HF796" i="93"/>
  <c r="HB796" i="93"/>
  <c r="GX796" i="93"/>
  <c r="GT796" i="93"/>
  <c r="GP796" i="93"/>
  <c r="GL796" i="93"/>
  <c r="GH796" i="93"/>
  <c r="GD796" i="93"/>
  <c r="FZ796" i="93"/>
  <c r="FV796" i="93"/>
  <c r="FR796" i="93"/>
  <c r="JP796" i="93"/>
  <c r="JL796" i="93"/>
  <c r="JF796" i="93"/>
  <c r="IC796" i="93"/>
  <c r="HY796" i="93"/>
  <c r="HU796" i="93"/>
  <c r="HQ796" i="93"/>
  <c r="HM796" i="93"/>
  <c r="HI796" i="93"/>
  <c r="HE796" i="93"/>
  <c r="HA796" i="93"/>
  <c r="GW796" i="93"/>
  <c r="GS796" i="93"/>
  <c r="GO796" i="93"/>
  <c r="GK796" i="93"/>
  <c r="GG796" i="93"/>
  <c r="GC796" i="93"/>
  <c r="FY796" i="93"/>
  <c r="FU796" i="93"/>
  <c r="FQ796" i="93"/>
  <c r="FM796" i="93"/>
  <c r="JQ800" i="93"/>
  <c r="JK800" i="93"/>
  <c r="J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CZ800" i="93"/>
  <c r="CT800" i="93"/>
  <c r="AM800" i="93"/>
  <c r="JO800" i="93"/>
  <c r="JJ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Y800" i="93"/>
  <c r="BX800" i="93"/>
  <c r="JJ804" i="93"/>
  <c r="IB804" i="93"/>
  <c r="HT804" i="93"/>
  <c r="HL804" i="93"/>
  <c r="HD804" i="93"/>
  <c r="GV804" i="93"/>
  <c r="GN804" i="93"/>
  <c r="GF804" i="93"/>
  <c r="FX804" i="93"/>
  <c r="FP804" i="93"/>
  <c r="FH804" i="93"/>
  <c r="EZ804" i="93"/>
  <c r="DA804" i="93"/>
  <c r="CU804" i="93"/>
  <c r="BV804" i="93"/>
  <c r="JQ804" i="93"/>
  <c r="JF804" i="93"/>
  <c r="HY804" i="93"/>
  <c r="HQ804" i="93"/>
  <c r="HI804" i="93"/>
  <c r="HA804" i="93"/>
  <c r="GS804" i="93"/>
  <c r="GK804" i="93"/>
  <c r="GC804" i="93"/>
  <c r="FU804" i="93"/>
  <c r="FM804" i="93"/>
  <c r="FE804" i="93"/>
  <c r="EW804" i="93"/>
  <c r="CZ804" i="93"/>
  <c r="CT804" i="93"/>
  <c r="C970" i="93"/>
  <c r="C971" i="93"/>
  <c r="AV796" i="93"/>
  <c r="BY796" i="93"/>
  <c r="CY796" i="93"/>
  <c r="EU796" i="93"/>
  <c r="EZ796" i="93"/>
  <c r="FD796" i="93"/>
  <c r="FH796" i="93"/>
  <c r="FL796" i="93"/>
  <c r="FS796" i="93"/>
  <c r="GA796" i="93"/>
  <c r="GI796" i="93"/>
  <c r="GQ796" i="93"/>
  <c r="GY796" i="93"/>
  <c r="HG796" i="93"/>
  <c r="HO796" i="93"/>
  <c r="HW796" i="93"/>
  <c r="JD796" i="93"/>
  <c r="JN796" i="93"/>
  <c r="CV800" i="93"/>
  <c r="EY800" i="93"/>
  <c r="FG800" i="93"/>
  <c r="FO800" i="93"/>
  <c r="FW800" i="93"/>
  <c r="GE800" i="93"/>
  <c r="GM800" i="93"/>
  <c r="GU800" i="93"/>
  <c r="HC800" i="93"/>
  <c r="HK800" i="93"/>
  <c r="HS800" i="93"/>
  <c r="IA800" i="93"/>
  <c r="JN800" i="93"/>
  <c r="BW804" i="93"/>
  <c r="DC804" i="93"/>
  <c r="FI804" i="93"/>
  <c r="FY804" i="93"/>
  <c r="GO804" i="93"/>
  <c r="HE804" i="93"/>
  <c r="HU804" i="93"/>
  <c r="JM804" i="93"/>
  <c r="O885" i="93"/>
  <c r="K885" i="93"/>
  <c r="I916" i="93"/>
  <c r="A1097" i="93"/>
  <c r="H1097" i="93" s="1"/>
  <c r="N1477" i="93"/>
  <c r="BT804" i="93"/>
  <c r="IE800" i="93"/>
  <c r="EF802" i="93"/>
  <c r="JI804" i="93"/>
  <c r="H889" i="93"/>
  <c r="L889" i="93"/>
  <c r="P889" i="93"/>
  <c r="N894" i="93"/>
  <c r="H903" i="93"/>
  <c r="L903" i="93"/>
  <c r="P903" i="93"/>
  <c r="J903" i="93"/>
  <c r="H907" i="93"/>
  <c r="L907" i="93"/>
  <c r="P907" i="93"/>
  <c r="J907" i="93"/>
  <c r="N907" i="93"/>
  <c r="JO795" i="93"/>
  <c r="JI795" i="93"/>
  <c r="JA795" i="93"/>
  <c r="IM795" i="93"/>
  <c r="HZ795" i="93"/>
  <c r="HJ795" i="93"/>
  <c r="JK795" i="93"/>
  <c r="JF795" i="93"/>
  <c r="IK795" i="93"/>
  <c r="HR795" i="93"/>
  <c r="HA795" i="93"/>
  <c r="GK795" i="93"/>
  <c r="FU795" i="93"/>
  <c r="FE795" i="93"/>
  <c r="EX795" i="93"/>
  <c r="EN795" i="93"/>
  <c r="DY795" i="93"/>
  <c r="DK795" i="93"/>
  <c r="DB795" i="93"/>
  <c r="CW795" i="93"/>
  <c r="JJ795" i="93"/>
  <c r="IZ795" i="93"/>
  <c r="HQ795" i="93"/>
  <c r="GT795" i="93"/>
  <c r="GD795" i="93"/>
  <c r="FN795" i="93"/>
  <c r="FA795" i="93"/>
  <c r="EW795" i="93"/>
  <c r="EK795" i="93"/>
  <c r="DX795" i="93"/>
  <c r="DI795" i="93"/>
  <c r="DA795" i="93"/>
  <c r="CV795" i="93"/>
  <c r="CI795" i="93"/>
  <c r="BX795" i="93"/>
  <c r="BS795" i="93"/>
  <c r="AQ795" i="93"/>
  <c r="AB795" i="93"/>
  <c r="JK799" i="93"/>
  <c r="IY799" i="93"/>
  <c r="HQ799" i="93"/>
  <c r="HA799" i="93"/>
  <c r="GK799" i="93"/>
  <c r="FU799" i="93"/>
  <c r="FE799" i="93"/>
  <c r="EY799" i="93"/>
  <c r="EQ799" i="93"/>
  <c r="DW799" i="93"/>
  <c r="DF799" i="93"/>
  <c r="CZ799" i="93"/>
  <c r="CR799" i="93"/>
  <c r="BY799" i="93"/>
  <c r="BU799" i="93"/>
  <c r="AJ799" i="93"/>
  <c r="JL799" i="93"/>
  <c r="IX799" i="93"/>
  <c r="HY799" i="93"/>
  <c r="HF799" i="93"/>
  <c r="GH799" i="93"/>
  <c r="FM799" i="93"/>
  <c r="EZ799" i="93"/>
  <c r="EI799" i="93"/>
  <c r="DN799" i="93"/>
  <c r="DA799" i="93"/>
  <c r="CP799" i="93"/>
  <c r="BW799" i="93"/>
  <c r="AZ799" i="93"/>
  <c r="JJ799" i="93"/>
  <c r="IQ799" i="93"/>
  <c r="HV799" i="93"/>
  <c r="GX799" i="93"/>
  <c r="GC799" i="93"/>
  <c r="FJ799" i="93"/>
  <c r="EX799" i="93"/>
  <c r="EH799" i="93"/>
  <c r="DG799" i="93"/>
  <c r="CY799" i="93"/>
  <c r="CI799" i="93"/>
  <c r="BV799" i="93"/>
  <c r="AI799" i="93"/>
  <c r="JI799" i="93"/>
  <c r="IN799" i="93"/>
  <c r="HN799" i="93"/>
  <c r="GS799" i="93"/>
  <c r="FZ799" i="93"/>
  <c r="FB799" i="93"/>
  <c r="EW799" i="93"/>
  <c r="EA799" i="93"/>
  <c r="DC799" i="93"/>
  <c r="CW799" i="93"/>
  <c r="CE799" i="93"/>
  <c r="BT799" i="93"/>
  <c r="AA799" i="93"/>
  <c r="JL803" i="93"/>
  <c r="JH803" i="93"/>
  <c r="IS803" i="93"/>
  <c r="HW803" i="93"/>
  <c r="HG803" i="93"/>
  <c r="GQ803" i="93"/>
  <c r="GA803" i="93"/>
  <c r="FK803" i="93"/>
  <c r="EZ803" i="93"/>
  <c r="ER803" i="93"/>
  <c r="DT803" i="93"/>
  <c r="DC803" i="93"/>
  <c r="CY803" i="93"/>
  <c r="CS803" i="93"/>
  <c r="BY803" i="93"/>
  <c r="BU803" i="93"/>
  <c r="AC803" i="93"/>
  <c r="JP803" i="93"/>
  <c r="JE803" i="93"/>
  <c r="HH803" i="93"/>
  <c r="GJ803" i="93"/>
  <c r="FS803" i="93"/>
  <c r="FA803" i="93"/>
  <c r="EO803" i="93"/>
  <c r="DE803" i="93"/>
  <c r="CZ803" i="93"/>
  <c r="CR803" i="93"/>
  <c r="BW803" i="93"/>
  <c r="AH803" i="93"/>
  <c r="JK803" i="93"/>
  <c r="JD803" i="93"/>
  <c r="HX803" i="93"/>
  <c r="GZ803" i="93"/>
  <c r="GI803" i="93"/>
  <c r="FL803" i="93"/>
  <c r="EY803" i="93"/>
  <c r="EF803" i="93"/>
  <c r="DD803" i="93"/>
  <c r="CX803" i="93"/>
  <c r="CH803" i="93"/>
  <c r="BV803" i="93"/>
  <c r="JJ803" i="93"/>
  <c r="IV803" i="93"/>
  <c r="HP803" i="93"/>
  <c r="GY803" i="93"/>
  <c r="GB803" i="93"/>
  <c r="FD803" i="93"/>
  <c r="EX803" i="93"/>
  <c r="ED803" i="93"/>
  <c r="DB803" i="93"/>
  <c r="CW803" i="93"/>
  <c r="CD803" i="93"/>
  <c r="BE803" i="93"/>
  <c r="CU775" i="93"/>
  <c r="CU779" i="93"/>
  <c r="CW783" i="93"/>
  <c r="CV787" i="93"/>
  <c r="CX791" i="93"/>
  <c r="CX795" i="93"/>
  <c r="CX799" i="93"/>
  <c r="CU803" i="93"/>
  <c r="IK793" i="93"/>
  <c r="IF793" i="93"/>
  <c r="IH797" i="93"/>
  <c r="CX797" i="93"/>
  <c r="CI797" i="93"/>
  <c r="BW797" i="93"/>
  <c r="BG797" i="93"/>
  <c r="AS797" i="93"/>
  <c r="AJ797" i="93"/>
  <c r="X797" i="93"/>
  <c r="IF797" i="93"/>
  <c r="CT797" i="93"/>
  <c r="CH797" i="93"/>
  <c r="BR797" i="93"/>
  <c r="BC797" i="93"/>
  <c r="AR797" i="93"/>
  <c r="AF797" i="93"/>
  <c r="CR797" i="93"/>
  <c r="CB797" i="93"/>
  <c r="BN797" i="93"/>
  <c r="BB797" i="93"/>
  <c r="AN797" i="93"/>
  <c r="AC797" i="93"/>
  <c r="CD801" i="93"/>
  <c r="BF801" i="93"/>
  <c r="Z801" i="93"/>
  <c r="CY801" i="93"/>
  <c r="CA801" i="93"/>
  <c r="AU801" i="93"/>
  <c r="JC793" i="93"/>
  <c r="IS793" i="93"/>
  <c r="JH797" i="93"/>
  <c r="DX797" i="93"/>
  <c r="IX797" i="93"/>
  <c r="ET797" i="93"/>
  <c r="DN797" i="93"/>
  <c r="IV797" i="93"/>
  <c r="EI797" i="93"/>
  <c r="DJ797" i="93"/>
  <c r="DX801" i="93"/>
  <c r="JL801" i="93"/>
  <c r="J912" i="93"/>
  <c r="BD795" i="93"/>
  <c r="CK795" i="93"/>
  <c r="DS795" i="93"/>
  <c r="EU795" i="93"/>
  <c r="IE795" i="93"/>
  <c r="CV799" i="93"/>
  <c r="FA799" i="93"/>
  <c r="ID799" i="93"/>
  <c r="DA803" i="93"/>
  <c r="FT803" i="93"/>
  <c r="JI803" i="93"/>
  <c r="CQ795" i="93"/>
  <c r="EE795" i="93"/>
  <c r="IR795" i="93"/>
  <c r="X799" i="93"/>
  <c r="DB799" i="93"/>
  <c r="FR799" i="93"/>
  <c r="JH799" i="93"/>
  <c r="BD803" i="93"/>
  <c r="DP803" i="93"/>
  <c r="GR803" i="93"/>
  <c r="JQ803" i="93"/>
  <c r="AM801" i="93"/>
  <c r="BR801" i="93"/>
  <c r="CX801" i="93"/>
  <c r="EZ801" i="93"/>
  <c r="FY801" i="93"/>
  <c r="HA801"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HP801" i="93"/>
  <c r="GU801" i="93"/>
  <c r="GE801" i="93"/>
  <c r="FK801" i="93"/>
  <c r="EC801" i="93"/>
  <c r="CP801" i="93"/>
  <c r="BS801" i="93"/>
  <c r="AX801" i="93"/>
  <c r="AD801" i="93"/>
  <c r="HL801" i="93"/>
  <c r="O839" i="93"/>
  <c r="O838" i="93"/>
  <c r="G889" i="93"/>
  <c r="K889" i="93"/>
  <c r="O889" i="93"/>
  <c r="I894" i="93"/>
  <c r="M894" i="93"/>
  <c r="K898" i="93"/>
  <c r="I898" i="93"/>
  <c r="M898" i="93"/>
  <c r="G903" i="93"/>
  <c r="K903" i="93"/>
  <c r="O903" i="93"/>
  <c r="G907" i="93"/>
  <c r="H912" i="93"/>
  <c r="JI774" i="93"/>
  <c r="CZ796" i="93"/>
  <c r="CV796" i="93"/>
  <c r="BW796" i="93"/>
  <c r="DB800" i="93"/>
  <c r="CX800" i="93"/>
  <c r="BY800" i="93"/>
  <c r="BU800" i="93"/>
  <c r="DB804" i="93"/>
  <c r="CX804" i="93"/>
  <c r="BY804" i="93"/>
  <c r="BU804" i="93"/>
  <c r="JK796" i="93"/>
  <c r="JG796" i="93"/>
  <c r="JC796" i="93"/>
  <c r="DS796" i="93"/>
  <c r="JI800" i="93"/>
  <c r="JC800" i="93"/>
  <c r="HW774" i="93"/>
  <c r="HP778" i="93"/>
  <c r="GU782" i="93"/>
  <c r="FP802" i="93"/>
  <c r="G885" i="93"/>
  <c r="G916" i="93"/>
  <c r="K916" i="93"/>
  <c r="JP768" i="93"/>
  <c r="CV788" i="93"/>
  <c r="CU792" i="93"/>
  <c r="CU796" i="93"/>
  <c r="CW800" i="93"/>
  <c r="CW804" i="93"/>
  <c r="CY774" i="93"/>
  <c r="DR778" i="93"/>
  <c r="ER782" i="93"/>
  <c r="IM786" i="93"/>
  <c r="EH790" i="93"/>
  <c r="AB794" i="93"/>
  <c r="JP800" i="93"/>
  <c r="JP804" i="93"/>
  <c r="ES774" i="93"/>
  <c r="DL782" i="93"/>
  <c r="IP790" i="93"/>
  <c r="J889" i="93"/>
  <c r="N889" i="93"/>
  <c r="H894" i="93"/>
  <c r="L894" i="93"/>
  <c r="P894" i="93"/>
  <c r="J898" i="93"/>
  <c r="N898" i="93"/>
  <c r="H898" i="93"/>
  <c r="L898" i="93"/>
  <c r="P898" i="93"/>
  <c r="I912" i="93"/>
  <c r="P924" i="93"/>
  <c r="K942" i="93"/>
  <c r="K932" i="93"/>
  <c r="F934" i="93"/>
  <c r="F925" i="93"/>
  <c r="JN768" i="93"/>
  <c r="JO768" i="93"/>
  <c r="CX771" i="93"/>
  <c r="DB770" i="93"/>
  <c r="HV770" i="93"/>
  <c r="JH770" i="93"/>
  <c r="CU767" i="93"/>
  <c r="DQ770" i="93"/>
  <c r="W768" i="93"/>
  <c r="AA768" i="93"/>
  <c r="AE768" i="93"/>
  <c r="AI768" i="93"/>
  <c r="AM768" i="93"/>
  <c r="AU768" i="93"/>
  <c r="AY768" i="93"/>
  <c r="X768" i="93"/>
  <c r="AB768" i="93"/>
  <c r="AF768" i="93"/>
  <c r="AJ768" i="93"/>
  <c r="AN768" i="93"/>
  <c r="AR768" i="93"/>
  <c r="AV768" i="93"/>
  <c r="AZ768" i="93"/>
  <c r="Y768" i="93"/>
  <c r="AC768" i="93"/>
  <c r="AG768" i="93"/>
  <c r="AK768" i="93"/>
  <c r="AO768" i="93"/>
  <c r="AS768" i="93"/>
  <c r="AW768" i="93"/>
  <c r="BA768" i="93"/>
  <c r="Z768" i="93"/>
  <c r="AD768" i="93"/>
  <c r="AH768" i="93"/>
  <c r="AL768" i="93"/>
  <c r="AP768" i="93"/>
  <c r="AT768" i="93"/>
  <c r="AX768" i="93"/>
  <c r="BB768" i="93"/>
  <c r="AQ768" i="93"/>
  <c r="W767" i="93"/>
  <c r="X767" i="93"/>
  <c r="Y767" i="93"/>
  <c r="AC767" i="93"/>
  <c r="AG767" i="93"/>
  <c r="AO767" i="93"/>
  <c r="AS767" i="93"/>
  <c r="BA767" i="93"/>
  <c r="Z767" i="93"/>
  <c r="AD767" i="93"/>
  <c r="AH767" i="93"/>
  <c r="AL767" i="93"/>
  <c r="AP767" i="93"/>
  <c r="AT767" i="93"/>
  <c r="AX767" i="93"/>
  <c r="BB767" i="93"/>
  <c r="AA767" i="93"/>
  <c r="AE767" i="93"/>
  <c r="AI767" i="93"/>
  <c r="AM767" i="93"/>
  <c r="AQ767" i="93"/>
  <c r="AU767" i="93"/>
  <c r="AY767" i="93"/>
  <c r="AB767" i="93"/>
  <c r="AF767" i="93"/>
  <c r="AJ767" i="93"/>
  <c r="AN767" i="93"/>
  <c r="AR767" i="93"/>
  <c r="AV767" i="93"/>
  <c r="AZ767" i="93"/>
  <c r="AK767" i="93"/>
  <c r="AW76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C976" i="93"/>
  <c r="C992"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J815"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M86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U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500" i="93" s="1"/>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S459" i="93" s="1"/>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2" i="93"/>
  <c r="W597" i="93"/>
  <c r="W584" i="93"/>
  <c r="V582" i="93"/>
  <c r="W574" i="93"/>
  <c r="W573" i="93"/>
  <c r="V566" i="93"/>
  <c r="A565"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M463" i="93"/>
  <c r="F461"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G453" i="93" l="1"/>
  <c r="P554" i="93"/>
  <c r="U526" i="93"/>
  <c r="A546" i="93"/>
  <c r="P519" i="93"/>
  <c r="M459" i="93"/>
  <c r="P453" i="93"/>
  <c r="P568" i="93" s="1"/>
  <c r="P585" i="93" s="1"/>
  <c r="P587" i="93" s="1"/>
  <c r="P589" i="93" s="1"/>
  <c r="D474" i="93"/>
  <c r="S453" i="93"/>
  <c r="S513" i="93"/>
  <c r="J872" i="93"/>
  <c r="M500" i="93"/>
  <c r="S500" i="93"/>
  <c r="M566" i="93"/>
  <c r="A512" i="93"/>
  <c r="P474" i="93"/>
  <c r="U565" i="93"/>
  <c r="S562" i="93"/>
  <c r="J566" i="93"/>
  <c r="P566" i="93"/>
  <c r="P582" i="93"/>
  <c r="P586" i="93" s="1"/>
  <c r="A452" i="93"/>
  <c r="S474" i="93"/>
  <c r="M519" i="93"/>
  <c r="M562" i="93"/>
  <c r="G566" i="93"/>
  <c r="S566" i="93"/>
  <c r="U561" i="93"/>
  <c r="M513" i="93"/>
  <c r="U540" i="93"/>
  <c r="I730" i="93"/>
  <c r="M730" i="93"/>
  <c r="L746" i="93"/>
  <c r="K823" i="93"/>
  <c r="K863" i="93"/>
  <c r="G474" i="93"/>
  <c r="M453" i="93"/>
  <c r="M469" i="93"/>
  <c r="P469" i="93"/>
  <c r="S469" i="93"/>
  <c r="V568" i="93"/>
  <c r="U452" i="93"/>
  <c r="A450" i="93"/>
  <c r="P500" i="93"/>
  <c r="S527" i="93"/>
  <c r="J582" i="93"/>
  <c r="J586" i="93" s="1"/>
  <c r="J730" i="93"/>
  <c r="I746" i="93"/>
  <c r="M746" i="93"/>
  <c r="K746" i="93"/>
  <c r="J463" i="93"/>
  <c r="S463" i="93"/>
  <c r="M474" i="93"/>
  <c r="U512" i="93"/>
  <c r="P513" i="93"/>
  <c r="S519" i="93"/>
  <c r="P562" i="93"/>
  <c r="K730" i="93"/>
  <c r="U451" i="93"/>
  <c r="L730" i="93"/>
  <c r="C978" i="93"/>
  <c r="L393" i="93"/>
  <c r="G554" i="93"/>
  <c r="S547" i="93"/>
  <c r="S541" i="93"/>
  <c r="G547" i="93"/>
  <c r="G541" i="93"/>
  <c r="J519" i="93"/>
  <c r="J513" i="93"/>
  <c r="G513" i="93"/>
  <c r="G500" i="93"/>
  <c r="J474" i="93"/>
  <c r="J469" i="93"/>
  <c r="G463" i="93"/>
  <c r="J453" i="93"/>
  <c r="J861" i="93"/>
  <c r="O943" i="93"/>
  <c r="M868" i="93"/>
  <c r="J868" i="93"/>
  <c r="J867" i="93"/>
  <c r="L864" i="93"/>
  <c r="O846" i="93"/>
  <c r="N864" i="93"/>
  <c r="K862" i="93"/>
  <c r="N863" i="93"/>
  <c r="M864" i="93"/>
  <c r="O847" i="93"/>
  <c r="N861" i="93"/>
  <c r="M843" i="93"/>
  <c r="M867" i="93"/>
  <c r="M815" i="93"/>
  <c r="K861" i="93"/>
  <c r="J862" i="93"/>
  <c r="L867" i="93"/>
  <c r="O844" i="93"/>
  <c r="O858" i="93"/>
  <c r="O941" i="93"/>
  <c r="O850" i="93"/>
  <c r="L868" i="93"/>
  <c r="N862" i="93"/>
  <c r="N867" i="93"/>
  <c r="O855" i="93"/>
  <c r="O942" i="93"/>
  <c r="O816" i="93"/>
  <c r="M872" i="93"/>
  <c r="M874" i="93" s="1"/>
  <c r="M876" i="93" s="1"/>
  <c r="J827" i="93"/>
  <c r="O833" i="93"/>
  <c r="N815" i="93"/>
  <c r="N817" i="93" s="1"/>
  <c r="N819" i="93" s="1"/>
  <c r="J834" i="93"/>
  <c r="O813" i="93"/>
  <c r="N827" i="93"/>
  <c r="O814"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M568" i="93"/>
  <c r="M585" i="93" s="1"/>
  <c r="M587" i="93" s="1"/>
  <c r="M589" i="93" s="1"/>
  <c r="D992" i="93"/>
  <c r="D978" i="93"/>
  <c r="S568" i="93"/>
  <c r="J568" i="93"/>
  <c r="J585" i="93" s="1"/>
  <c r="J587" i="93" s="1"/>
  <c r="J589" i="93" s="1"/>
  <c r="E472" i="93"/>
  <c r="E471" i="93"/>
  <c r="O868" i="93"/>
  <c r="O864" i="93"/>
  <c r="O867" i="93"/>
  <c r="O862" i="93"/>
  <c r="O863" i="93"/>
  <c r="O841" i="93"/>
  <c r="P944" i="93" s="1"/>
  <c r="P945" i="93" s="1"/>
  <c r="O843" i="93"/>
  <c r="O823" i="93"/>
  <c r="E972" i="93"/>
  <c r="F971" i="93"/>
  <c r="G969" i="93"/>
  <c r="F977" i="93"/>
  <c r="F975" i="93"/>
  <c r="F970" i="93"/>
  <c r="O861" i="93"/>
  <c r="O837" i="93"/>
  <c r="O831" i="93"/>
  <c r="O815" i="93"/>
  <c r="O834" i="93"/>
  <c r="O819" i="93"/>
  <c r="J939"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F472" i="93"/>
  <c r="F473" i="93"/>
  <c r="F471" i="93"/>
  <c r="F470" i="93" s="1"/>
  <c r="F552" i="93"/>
  <c r="F551" i="93"/>
  <c r="F549" i="93"/>
  <c r="F553" i="93"/>
  <c r="E474" i="93"/>
  <c r="G470" i="93" s="1"/>
  <c r="O944" i="93"/>
  <c r="O945" i="93"/>
  <c r="J938" i="93"/>
  <c r="J937" i="93"/>
  <c r="G970" i="93"/>
  <c r="H969" i="93"/>
  <c r="G971" i="93"/>
  <c r="G977" i="93"/>
  <c r="G975" i="93"/>
  <c r="F972" i="93"/>
  <c r="F976" i="93" s="1"/>
  <c r="F992" i="93" s="1"/>
  <c r="P182" i="93"/>
  <c r="L49" i="93"/>
  <c r="A206" i="85"/>
  <c r="A10" i="83"/>
  <c r="I9" i="92"/>
  <c r="G11" i="91"/>
  <c r="F978" i="93" l="1"/>
  <c r="E978" i="93"/>
  <c r="H977" i="93"/>
  <c r="H975" i="93"/>
  <c r="H971" i="93"/>
  <c r="I969" i="93"/>
  <c r="H970" i="93"/>
  <c r="G972" i="93"/>
  <c r="G976" i="93" s="1"/>
  <c r="G992" i="93" s="1"/>
  <c r="F197" i="90"/>
  <c r="D101" i="90"/>
  <c r="E163" i="90"/>
  <c r="C16" i="90"/>
  <c r="A206" i="90"/>
  <c r="A200" i="90"/>
  <c r="C5" i="90"/>
  <c r="C8" i="84"/>
  <c r="E8" i="84"/>
  <c r="H2" i="91" s="1"/>
  <c r="G978" i="93" l="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8" i="93"/>
  <c r="I972" i="93"/>
  <c r="I976" i="93" s="1"/>
  <c r="I992" i="93" s="1"/>
  <c r="J977" i="93"/>
  <c r="J975" i="93"/>
  <c r="J970" i="93"/>
  <c r="J971" i="93"/>
  <c r="K969" i="93"/>
  <c r="K7" i="88"/>
  <c r="I978" i="93" l="1"/>
  <c r="B999" i="93"/>
  <c r="K970" i="93"/>
  <c r="K977" i="93"/>
  <c r="K975" i="93"/>
  <c r="K971" i="93"/>
  <c r="J972" i="93"/>
  <c r="A2" i="88"/>
  <c r="J976" i="93" l="1"/>
  <c r="J992" i="93" s="1"/>
  <c r="K972" i="93"/>
  <c r="B1007" i="93"/>
  <c r="B1005" i="93"/>
  <c r="B1001" i="93"/>
  <c r="C999" i="93"/>
  <c r="B1000" i="93"/>
  <c r="B1" i="87"/>
  <c r="D54" i="86"/>
  <c r="E54" i="86"/>
  <c r="F54" i="86"/>
  <c r="G54" i="86"/>
  <c r="H54" i="86"/>
  <c r="F34" i="86"/>
  <c r="D34" i="86"/>
  <c r="E34" i="86"/>
  <c r="C34" i="86"/>
  <c r="D14" i="86"/>
  <c r="E14" i="86"/>
  <c r="F14" i="86"/>
  <c r="G14" i="86"/>
  <c r="H14" i="86"/>
  <c r="I14" i="86"/>
  <c r="C14" i="86"/>
  <c r="J978" i="93" l="1"/>
  <c r="K976" i="93"/>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1" i="90"/>
  <c r="E170" i="90"/>
  <c r="E999" i="93"/>
  <c r="D1000" i="93"/>
  <c r="D1007" i="93"/>
  <c r="D1005" i="93"/>
  <c r="D1001" i="93"/>
  <c r="C1002" i="93"/>
  <c r="C1006" i="93" s="1"/>
  <c r="C1022" i="93" s="1"/>
  <c r="C1008" i="93" l="1"/>
  <c r="D1002" i="93"/>
  <c r="D1006" i="93" s="1"/>
  <c r="D1022" i="93" s="1"/>
  <c r="E1007" i="93"/>
  <c r="E1005" i="93"/>
  <c r="E1001" i="93"/>
  <c r="F999" i="93"/>
  <c r="E1000" i="93"/>
  <c r="H1" i="91"/>
  <c r="C28" i="90"/>
  <c r="G5" i="92" s="1"/>
  <c r="E28" i="89"/>
  <c r="E15" i="89"/>
  <c r="A1" i="89"/>
  <c r="O6" i="86"/>
  <c r="F13" i="85"/>
  <c r="F12" i="85"/>
  <c r="A2" i="83"/>
  <c r="P1840" i="93"/>
  <c r="O1840" i="93"/>
  <c r="D1008" i="93" l="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D15" i="83"/>
  <c r="F15" i="85"/>
  <c r="G1000" i="93"/>
  <c r="G1001" i="93"/>
  <c r="G1007" i="93"/>
  <c r="H999" i="93"/>
  <c r="G1005" i="93"/>
  <c r="F1002" i="93"/>
  <c r="F1006" i="93" s="1"/>
  <c r="F1022" i="93" s="1"/>
  <c r="C8" i="90"/>
  <c r="B5" i="92" s="1"/>
  <c r="E65" i="89"/>
  <c r="E5" i="89"/>
  <c r="F102" i="78"/>
  <c r="F101" i="78"/>
  <c r="G6" i="74"/>
  <c r="F1008" i="93" l="1"/>
  <c r="I999" i="93"/>
  <c r="H1000" i="93"/>
  <c r="H1001" i="93"/>
  <c r="H1005" i="93"/>
  <c r="H1007" i="93"/>
  <c r="G1002" i="93"/>
  <c r="O12" i="86"/>
  <c r="K5" i="86"/>
  <c r="F56" i="86"/>
  <c r="G1006" i="93" l="1"/>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G1008" i="93"/>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J1006" i="93" l="1"/>
  <c r="J1022" i="93" s="1"/>
  <c r="I1008" i="93"/>
  <c r="K35" i="84"/>
  <c r="K37" i="84"/>
  <c r="K1002" i="93"/>
  <c r="K1006" i="93" s="1"/>
  <c r="K1022" i="93" s="1"/>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C1036" i="93" l="1"/>
  <c r="C1051" i="93" s="1"/>
  <c r="D1036" i="93"/>
  <c r="D1051" i="93" s="1"/>
  <c r="B1038" i="93"/>
  <c r="D1032" i="93"/>
  <c r="E1030" i="93"/>
  <c r="E1037" i="93"/>
  <c r="E1035" i="93"/>
  <c r="E1031" i="93"/>
  <c r="F1029" i="93"/>
  <c r="E48" i="82"/>
  <c r="F48" i="82" s="1"/>
  <c r="D1038" i="93" l="1"/>
  <c r="C1038" i="93"/>
  <c r="G1029" i="93"/>
  <c r="F1030" i="93"/>
  <c r="F1031" i="93"/>
  <c r="F1037" i="93"/>
  <c r="F1035" i="93"/>
  <c r="E1032" i="93"/>
  <c r="E1036" i="93" s="1"/>
  <c r="E1051" i="93" s="1"/>
  <c r="G48" i="82"/>
  <c r="E1038" i="93" l="1"/>
  <c r="F1032" i="93"/>
  <c r="G1037" i="93"/>
  <c r="G1035" i="93"/>
  <c r="G1031" i="93"/>
  <c r="H1029" i="93"/>
  <c r="G1030" i="93"/>
  <c r="H48" i="82"/>
  <c r="F1036" i="93" l="1"/>
  <c r="F1051" i="93" s="1"/>
  <c r="G1032" i="93"/>
  <c r="G1036" i="93" s="1"/>
  <c r="H1037" i="93"/>
  <c r="H1035" i="93"/>
  <c r="H1031" i="93"/>
  <c r="H1030" i="93"/>
  <c r="I1029" i="93"/>
  <c r="I48" i="82"/>
  <c r="G1051" i="93" l="1"/>
  <c r="G1038" i="93"/>
  <c r="F1038" i="93"/>
  <c r="I1030" i="93"/>
  <c r="J1029" i="93"/>
  <c r="I1031" i="93"/>
  <c r="I1037" i="93"/>
  <c r="I1035" i="93"/>
  <c r="H1032" i="93"/>
  <c r="J48" i="82"/>
  <c r="H1036" i="93" l="1"/>
  <c r="H1051" i="93" s="1"/>
  <c r="K1029" i="93"/>
  <c r="J1030" i="93"/>
  <c r="J1035" i="93"/>
  <c r="J1031" i="93"/>
  <c r="J1037" i="93"/>
  <c r="I1032" i="93"/>
  <c r="I1036" i="93" s="1"/>
  <c r="I1051" i="93" s="1"/>
  <c r="K48" i="82"/>
  <c r="I1038" i="93" l="1"/>
  <c r="H1038" i="93"/>
  <c r="J1032" i="93"/>
  <c r="J1036" i="93" s="1"/>
  <c r="J1051" i="93" s="1"/>
  <c r="K1037" i="93"/>
  <c r="K1035" i="93"/>
  <c r="K1031" i="93"/>
  <c r="B1057" i="93"/>
  <c r="K1030" i="93"/>
  <c r="B68" i="82"/>
  <c r="J1038" i="93" l="1"/>
  <c r="K1036" i="93"/>
  <c r="K1051" i="93" s="1"/>
  <c r="K1032" i="93"/>
  <c r="B1058" i="93"/>
  <c r="C1057" i="93"/>
  <c r="B1063" i="93"/>
  <c r="B1059" i="93"/>
  <c r="B1065" i="93"/>
  <c r="C68" i="82"/>
  <c r="K1038" i="93" l="1"/>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F68" i="82"/>
  <c r="D1079" i="93" l="1"/>
  <c r="D1066" i="93"/>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D106"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E994" i="93" l="1"/>
  <c r="G11" i="86"/>
  <c r="I994" i="93"/>
  <c r="D31" i="86"/>
  <c r="C995" i="93"/>
  <c r="E12" i="86"/>
  <c r="G995" i="93"/>
  <c r="I12" i="86"/>
  <c r="K995" i="93"/>
  <c r="F32" i="86"/>
  <c r="C1024" i="93"/>
  <c r="H31" i="86"/>
  <c r="G1024" i="93"/>
  <c r="E51" i="86"/>
  <c r="E1025" i="93"/>
  <c r="C52" i="86"/>
  <c r="I1025" i="93"/>
  <c r="G52" i="86"/>
  <c r="D114" i="74"/>
  <c r="D1070" i="93" s="1"/>
  <c r="D1077" i="93" s="1"/>
  <c r="N403" i="93"/>
  <c r="I55" i="84"/>
  <c r="G55" i="84"/>
  <c r="E55" i="84"/>
  <c r="K55" i="84"/>
  <c r="I26" i="74"/>
  <c r="I982" i="93" s="1"/>
  <c r="I990" i="93" s="1"/>
  <c r="B994" i="93"/>
  <c r="C11" i="86"/>
  <c r="D11" i="86"/>
  <c r="F994" i="93"/>
  <c r="H11" i="86"/>
  <c r="J994" i="93"/>
  <c r="E31" i="86"/>
  <c r="D995" i="93"/>
  <c r="F12" i="86"/>
  <c r="H995" i="93"/>
  <c r="C32" i="86"/>
  <c r="D1024" i="93"/>
  <c r="I31" i="86"/>
  <c r="H1024" i="93"/>
  <c r="F51" i="86"/>
  <c r="B1025" i="93"/>
  <c r="G32" i="86"/>
  <c r="F1025" i="93"/>
  <c r="D52" i="86"/>
  <c r="J1025" i="93"/>
  <c r="H52" i="86"/>
  <c r="N84" i="66"/>
  <c r="O1974" i="93"/>
  <c r="P66" i="93"/>
  <c r="C994" i="93"/>
  <c r="E11" i="86"/>
  <c r="G994" i="93"/>
  <c r="I11" i="86"/>
  <c r="K994" i="93"/>
  <c r="F31" i="86"/>
  <c r="E995" i="93"/>
  <c r="G12" i="86"/>
  <c r="I995" i="93"/>
  <c r="D32" i="86"/>
  <c r="J56" i="74"/>
  <c r="J1012" i="93" s="1"/>
  <c r="J1020" i="93" s="1"/>
  <c r="E1024" i="93"/>
  <c r="C51" i="86"/>
  <c r="I1024" i="93"/>
  <c r="G51" i="86"/>
  <c r="C1025" i="93"/>
  <c r="H32" i="86"/>
  <c r="G1025" i="93"/>
  <c r="E52" i="86"/>
  <c r="K25" i="74"/>
  <c r="K981" i="93" s="1"/>
  <c r="K989" i="93" s="1"/>
  <c r="N402" i="93"/>
  <c r="F112" i="74"/>
  <c r="F1068" i="93" s="1"/>
  <c r="F1075" i="93" s="1"/>
  <c r="N401" i="93"/>
  <c r="D994" i="93"/>
  <c r="F11" i="86"/>
  <c r="H994" i="93"/>
  <c r="C31" i="86"/>
  <c r="B995" i="93"/>
  <c r="D12" i="86"/>
  <c r="C12" i="86"/>
  <c r="F995" i="93"/>
  <c r="H12" i="86"/>
  <c r="J995" i="93"/>
  <c r="E32" i="86"/>
  <c r="B1024" i="93"/>
  <c r="G31" i="86"/>
  <c r="F1024" i="93"/>
  <c r="D51" i="86"/>
  <c r="J1024" i="93"/>
  <c r="H51" i="86"/>
  <c r="D1025" i="93"/>
  <c r="I32" i="86"/>
  <c r="H1025" i="93"/>
  <c r="F52" i="86"/>
  <c r="B53" i="82"/>
  <c r="B984" i="93"/>
  <c r="E61" i="84"/>
  <c r="K61" i="84"/>
  <c r="G61" i="84"/>
  <c r="I61" i="84"/>
  <c r="E60" i="84"/>
  <c r="I60" i="84"/>
  <c r="K60" i="84"/>
  <c r="G60" i="84"/>
  <c r="G59" i="84"/>
  <c r="I59" i="84"/>
  <c r="E59" i="84"/>
  <c r="K59" i="84"/>
  <c r="C58" i="84"/>
  <c r="I58" i="84" s="1"/>
  <c r="I10" i="75"/>
  <c r="I12" i="75"/>
  <c r="I11" i="75"/>
  <c r="I15" i="75"/>
  <c r="I14" i="75"/>
  <c r="I13" i="75"/>
  <c r="C111" i="74"/>
  <c r="N400" i="93"/>
  <c r="I83" i="74"/>
  <c r="F115" i="78"/>
  <c r="C133" i="90"/>
  <c r="L59" i="85" s="1"/>
  <c r="L31" i="68"/>
  <c r="L394" i="93" s="1"/>
  <c r="L395" i="93" s="1"/>
  <c r="Q769" i="93"/>
  <c r="Q770" i="93"/>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D59" i="74"/>
  <c r="C59" i="74"/>
  <c r="F59" i="74"/>
  <c r="N55" i="66"/>
  <c r="C28" i="74"/>
  <c r="F116" i="78"/>
  <c r="F113" i="78"/>
  <c r="F117" i="78"/>
  <c r="D28" i="74"/>
  <c r="O272" i="72"/>
  <c r="O1826" i="93" s="1"/>
  <c r="Q55" i="73"/>
  <c r="P42" i="73"/>
  <c r="P1136" i="93" s="1"/>
  <c r="O40" i="66"/>
  <c r="D121" i="74"/>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J64" i="74" l="1"/>
  <c r="F1015" i="93"/>
  <c r="C54" i="86"/>
  <c r="F91" i="74"/>
  <c r="F1040" i="93"/>
  <c r="F1047" i="93" s="1"/>
  <c r="B62" i="74"/>
  <c r="B1010" i="93"/>
  <c r="B1018" i="93" s="1"/>
  <c r="B64" i="74"/>
  <c r="B1012" i="93"/>
  <c r="B1020" i="93" s="1"/>
  <c r="D119" i="74"/>
  <c r="D1068" i="93"/>
  <c r="D1075" i="93" s="1"/>
  <c r="G33" i="74"/>
  <c r="G981" i="93"/>
  <c r="G989" i="93" s="1"/>
  <c r="C62" i="74"/>
  <c r="C1010" i="93"/>
  <c r="C1018" i="93" s="1"/>
  <c r="C1015" i="93"/>
  <c r="G34" i="86"/>
  <c r="K91" i="74"/>
  <c r="K1040" i="93"/>
  <c r="K1047" i="93" s="1"/>
  <c r="C119" i="74"/>
  <c r="C1068" i="93"/>
  <c r="C1075" i="93" s="1"/>
  <c r="J93" i="74"/>
  <c r="J1042" i="93"/>
  <c r="J1049" i="93" s="1"/>
  <c r="D63" i="74"/>
  <c r="D1011" i="93"/>
  <c r="D1019" i="93" s="1"/>
  <c r="E32" i="74"/>
  <c r="E980" i="93"/>
  <c r="E988" i="93" s="1"/>
  <c r="D1015" i="93"/>
  <c r="H34" i="86"/>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E1015" i="93"/>
  <c r="I34" i="86"/>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C62" i="84"/>
  <c r="G58" i="84"/>
  <c r="G62" i="84" s="1"/>
  <c r="E58" i="84"/>
  <c r="E62" i="84" s="1"/>
  <c r="D53" i="82"/>
  <c r="D984" i="93"/>
  <c r="C53" i="82"/>
  <c r="C984" i="93"/>
  <c r="I62" i="84"/>
  <c r="K58" i="84"/>
  <c r="K62" i="84" s="1"/>
  <c r="I772" i="93"/>
  <c r="K772" i="93" s="1"/>
  <c r="L772" i="93" s="1"/>
  <c r="K15" i="75"/>
  <c r="L15" i="75" s="1"/>
  <c r="I768" i="93"/>
  <c r="K768" i="93" s="1"/>
  <c r="L768" i="93" s="1"/>
  <c r="K11" i="75"/>
  <c r="L11" i="75" s="1"/>
  <c r="I770" i="93"/>
  <c r="K770" i="93" s="1"/>
  <c r="L770" i="93" s="1"/>
  <c r="K13" i="75"/>
  <c r="L13" i="75" s="1"/>
  <c r="I769" i="93"/>
  <c r="K769" i="93" s="1"/>
  <c r="L769" i="93" s="1"/>
  <c r="K12" i="75"/>
  <c r="L12" i="75" s="1"/>
  <c r="I771" i="93"/>
  <c r="K771" i="93" s="1"/>
  <c r="L771" i="93" s="1"/>
  <c r="K14" i="75"/>
  <c r="L14" i="75" s="1"/>
  <c r="I767" i="93"/>
  <c r="K767" i="93" s="1"/>
  <c r="L767" i="93" s="1"/>
  <c r="K10" i="75"/>
  <c r="L10" i="75" s="1"/>
  <c r="K1039" i="93"/>
  <c r="K1046" i="93" s="1"/>
  <c r="J1039" i="93"/>
  <c r="J1046" i="93" s="1"/>
  <c r="C10" i="86"/>
  <c r="C1067" i="93"/>
  <c r="G1039" i="93"/>
  <c r="G1050" i="93" s="1"/>
  <c r="I1039" i="93"/>
  <c r="I1046" i="93" s="1"/>
  <c r="F1067" i="93"/>
  <c r="F1078" i="93" s="1"/>
  <c r="C37" i="74"/>
  <c r="D37" i="74" s="1"/>
  <c r="K1050" i="93"/>
  <c r="G1009" i="93"/>
  <c r="E23" i="87"/>
  <c r="B979" i="93"/>
  <c r="E8" i="87"/>
  <c r="C75" i="84"/>
  <c r="F1009" i="93"/>
  <c r="E22" i="87"/>
  <c r="I979" i="93"/>
  <c r="E15" i="87"/>
  <c r="E1067" i="93"/>
  <c r="I1009" i="93"/>
  <c r="E25" i="87"/>
  <c r="G979" i="93"/>
  <c r="E13" i="87"/>
  <c r="D979" i="93"/>
  <c r="E10" i="87"/>
  <c r="C1074" i="93"/>
  <c r="C1009" i="93"/>
  <c r="E19" i="87"/>
  <c r="F1039" i="93"/>
  <c r="E32" i="87"/>
  <c r="B1009" i="93"/>
  <c r="E18" i="87"/>
  <c r="E979" i="93"/>
  <c r="E11" i="87"/>
  <c r="E1039" i="93"/>
  <c r="E31" i="87"/>
  <c r="H1009" i="93"/>
  <c r="E24" i="87"/>
  <c r="I1050" i="93"/>
  <c r="C1039" i="93"/>
  <c r="E29" i="87"/>
  <c r="J979" i="93"/>
  <c r="E16" i="87"/>
  <c r="F1074" i="93"/>
  <c r="B1039" i="93"/>
  <c r="E28" i="87"/>
  <c r="K979" i="93"/>
  <c r="E17" i="87"/>
  <c r="D1067" i="93"/>
  <c r="H979" i="93"/>
  <c r="E14" i="87"/>
  <c r="D1039" i="93"/>
  <c r="E30" i="87"/>
  <c r="K1009" i="93"/>
  <c r="E27" i="87"/>
  <c r="F979" i="93"/>
  <c r="E12" i="87"/>
  <c r="B1067" i="93"/>
  <c r="J1009" i="93"/>
  <c r="E26" i="87"/>
  <c r="H1039" i="93"/>
  <c r="D1009" i="93"/>
  <c r="E20" i="87"/>
  <c r="C979" i="93"/>
  <c r="E9" i="87"/>
  <c r="E1009" i="93"/>
  <c r="E21" i="87"/>
  <c r="F47" i="78"/>
  <c r="H18" i="84"/>
  <c r="J151" i="78"/>
  <c r="J153" i="78" s="1"/>
  <c r="E3" i="86"/>
  <c r="B4" i="82"/>
  <c r="J1937" i="93"/>
  <c r="G1776" i="93"/>
  <c r="I422" i="93"/>
  <c r="K9" i="88"/>
  <c r="K23" i="88" s="1"/>
  <c r="K28" i="88" s="1"/>
  <c r="F39" i="88" s="1"/>
  <c r="C18" i="84"/>
  <c r="O67" i="72"/>
  <c r="G1151" i="93" s="1"/>
  <c r="O51" i="93"/>
  <c r="T1728" i="93"/>
  <c r="O763" i="93"/>
  <c r="M763"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G1135" i="93"/>
  <c r="C1078" i="93"/>
  <c r="J1050" i="93"/>
  <c r="G1145" i="93"/>
  <c r="I1145" i="93" s="1"/>
  <c r="G1046" i="93"/>
  <c r="R15" i="75"/>
  <c r="R772" i="93" s="1"/>
  <c r="R13" i="75"/>
  <c r="R770" i="93" s="1"/>
  <c r="R12" i="75"/>
  <c r="R769" i="93" s="1"/>
  <c r="R11" i="75"/>
  <c r="R768" i="93" s="1"/>
  <c r="R14" i="75"/>
  <c r="R771" i="93" s="1"/>
  <c r="R10" i="75"/>
  <c r="R767" i="93" s="1"/>
  <c r="G1160" i="93"/>
  <c r="G1152" i="93"/>
  <c r="G1142" i="93"/>
  <c r="G1138" i="93"/>
  <c r="I1138" i="93" s="1"/>
  <c r="G1153" i="93"/>
  <c r="I1153" i="93" s="1"/>
  <c r="L805" i="93"/>
  <c r="L806" i="93" s="1"/>
  <c r="I44" i="68"/>
  <c r="C41" i="74"/>
  <c r="B997" i="93"/>
  <c r="E53" i="82"/>
  <c r="E984" i="93"/>
  <c r="L48" i="75"/>
  <c r="L49" i="75" s="1"/>
  <c r="D993" i="93"/>
  <c r="E37" i="74"/>
  <c r="C993" i="93"/>
  <c r="E10" i="86"/>
  <c r="D10" i="86"/>
  <c r="H1050" i="93"/>
  <c r="H1046" i="93"/>
  <c r="B1074" i="93"/>
  <c r="B1078" i="93"/>
  <c r="B1046" i="93"/>
  <c r="B1050" i="93"/>
  <c r="H1017" i="93"/>
  <c r="H1021" i="93"/>
  <c r="F1017" i="93"/>
  <c r="F1021" i="93"/>
  <c r="C77" i="84"/>
  <c r="G75" i="84"/>
  <c r="G77" i="84" s="1"/>
  <c r="E75" i="84"/>
  <c r="E77" i="84" s="1"/>
  <c r="K75" i="84"/>
  <c r="K77" i="84" s="1"/>
  <c r="I75" i="84"/>
  <c r="I77" i="84" s="1"/>
  <c r="G1017" i="93"/>
  <c r="G1021" i="93"/>
  <c r="C991" i="93"/>
  <c r="C987" i="93"/>
  <c r="C986" i="93"/>
  <c r="K1021" i="93"/>
  <c r="K1017" i="93"/>
  <c r="H987" i="93"/>
  <c r="H991" i="93"/>
  <c r="K991" i="93"/>
  <c r="K987" i="93"/>
  <c r="J987" i="93"/>
  <c r="J991" i="93"/>
  <c r="E987" i="93"/>
  <c r="E991" i="93"/>
  <c r="E986" i="93"/>
  <c r="F1050" i="93"/>
  <c r="F1046" i="93"/>
  <c r="I1017" i="93"/>
  <c r="I1021" i="93"/>
  <c r="D1074" i="93"/>
  <c r="D1078" i="93"/>
  <c r="G991" i="93"/>
  <c r="G987" i="93"/>
  <c r="I987" i="93"/>
  <c r="I991" i="93"/>
  <c r="E1021" i="93"/>
  <c r="E1017" i="93"/>
  <c r="D1017" i="93"/>
  <c r="D1021" i="93"/>
  <c r="J1017" i="93"/>
  <c r="J1021" i="93"/>
  <c r="F987" i="93"/>
  <c r="F991" i="93"/>
  <c r="D1046" i="93"/>
  <c r="D1050" i="93"/>
  <c r="C1050" i="93"/>
  <c r="C1046" i="93"/>
  <c r="E1050" i="93"/>
  <c r="E1046" i="93"/>
  <c r="B1017" i="93"/>
  <c r="B1021" i="93"/>
  <c r="C1017" i="93"/>
  <c r="C1021" i="93"/>
  <c r="D987" i="93"/>
  <c r="D991" i="93"/>
  <c r="D986" i="93"/>
  <c r="E1074" i="93"/>
  <c r="E1078" i="93"/>
  <c r="J18" i="84"/>
  <c r="C40" i="84"/>
  <c r="G35" i="86"/>
  <c r="E15" i="86"/>
  <c r="H55" i="86"/>
  <c r="H15" i="86"/>
  <c r="O16" i="86"/>
  <c r="D35" i="86"/>
  <c r="I15" i="86"/>
  <c r="F55" i="86"/>
  <c r="H35" i="86"/>
  <c r="C35" i="86"/>
  <c r="D55" i="86"/>
  <c r="D15" i="86"/>
  <c r="C15" i="86"/>
  <c r="G55" i="86"/>
  <c r="I35" i="86"/>
  <c r="G15" i="86"/>
  <c r="E55" i="86"/>
  <c r="F35" i="86"/>
  <c r="C55" i="86"/>
  <c r="F15" i="86"/>
  <c r="O17" i="86"/>
  <c r="E35" i="86"/>
  <c r="P414" i="93"/>
  <c r="P413" i="93"/>
  <c r="I423" i="93"/>
  <c r="K40" i="84"/>
  <c r="D18" i="84"/>
  <c r="C38" i="84"/>
  <c r="M1938" i="93"/>
  <c r="M1939" i="93" s="1"/>
  <c r="J1938" i="93"/>
  <c r="J1939" i="93" s="1"/>
  <c r="G1136" i="93"/>
  <c r="G1156" i="93"/>
  <c r="I1156" i="93" s="1"/>
  <c r="I1161" i="93" s="1"/>
  <c r="G1137" i="93"/>
  <c r="I1137" i="93" s="1"/>
  <c r="G1144" i="93"/>
  <c r="G1157" i="93"/>
  <c r="G1158" i="93"/>
  <c r="G1149" i="93"/>
  <c r="I1149" i="93" s="1"/>
  <c r="I1154" i="93" s="1"/>
  <c r="G1146" i="93"/>
  <c r="O1621" i="93"/>
  <c r="G1139" i="93"/>
  <c r="I1139" i="93" s="1"/>
  <c r="G1143" i="93"/>
  <c r="I1143" i="93" s="1"/>
  <c r="G1159" i="93"/>
  <c r="G1150" i="93"/>
  <c r="I1150" i="93" s="1"/>
  <c r="M1136" i="93"/>
  <c r="N1136" i="93"/>
  <c r="M1135" i="93"/>
  <c r="N1135" i="93"/>
  <c r="N1140" i="93" s="1"/>
  <c r="K1140" i="93"/>
  <c r="M1145" i="93"/>
  <c r="N1145" i="93"/>
  <c r="M1144" i="93"/>
  <c r="N1144" i="93"/>
  <c r="H1156" i="93"/>
  <c r="F1161" i="93"/>
  <c r="N1137" i="93"/>
  <c r="M1137" i="93"/>
  <c r="N1157" i="93"/>
  <c r="M1157" i="93"/>
  <c r="M1146" i="93"/>
  <c r="N1146" i="93"/>
  <c r="N1153" i="93"/>
  <c r="M1153" i="93"/>
  <c r="I1159" i="93"/>
  <c r="I1151" i="93"/>
  <c r="F1140" i="93"/>
  <c r="H1135" i="93"/>
  <c r="F1147" i="93"/>
  <c r="H1142" i="93"/>
  <c r="N1139" i="93"/>
  <c r="M1139" i="93"/>
  <c r="M1149" i="93"/>
  <c r="K1154" i="93"/>
  <c r="N1149" i="93"/>
  <c r="N1154" i="93" s="1"/>
  <c r="I1152" i="93"/>
  <c r="I1160" i="93"/>
  <c r="I1142" i="93"/>
  <c r="I1147" i="93" s="1"/>
  <c r="N1160" i="93"/>
  <c r="M1160" i="93"/>
  <c r="N1138" i="93"/>
  <c r="M1138" i="93"/>
  <c r="H78" i="93"/>
  <c r="F56" i="89"/>
  <c r="D37" i="90" s="1"/>
  <c r="F1154" i="93"/>
  <c r="H1149" i="93"/>
  <c r="M1143" i="93"/>
  <c r="N1143" i="93"/>
  <c r="M1150" i="93"/>
  <c r="N1150" i="93"/>
  <c r="N1159" i="93"/>
  <c r="M1159" i="93"/>
  <c r="I1136" i="93"/>
  <c r="I1144" i="93"/>
  <c r="I1157" i="93"/>
  <c r="K1161" i="93"/>
  <c r="M1156" i="93"/>
  <c r="N1156" i="93"/>
  <c r="N1161" i="93" s="1"/>
  <c r="N1158" i="93"/>
  <c r="M1158" i="93"/>
  <c r="K1147" i="93"/>
  <c r="M1142" i="93"/>
  <c r="N1142" i="93"/>
  <c r="N1147" i="93" s="1"/>
  <c r="M1152" i="93"/>
  <c r="N1152" i="93"/>
  <c r="M1151" i="93"/>
  <c r="N1151" i="93"/>
  <c r="I1135" i="93"/>
  <c r="I1140" i="93" s="1"/>
  <c r="I1158" i="93"/>
  <c r="I1146" i="93"/>
  <c r="L1954" i="93"/>
  <c r="D8" i="88"/>
  <c r="E8" i="88" s="1"/>
  <c r="H1836" i="93"/>
  <c r="H76" i="93"/>
  <c r="E7" i="88"/>
  <c r="H73" i="93"/>
  <c r="T1731" i="93"/>
  <c r="P934"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D41" i="74" l="1"/>
  <c r="C997" i="93"/>
  <c r="F53" i="82"/>
  <c r="F984" i="93"/>
  <c r="F986" i="93" s="1"/>
  <c r="B970" i="93"/>
  <c r="H122" i="75"/>
  <c r="B14" i="74"/>
  <c r="E993" i="93"/>
  <c r="F37" i="74"/>
  <c r="F10" i="86"/>
  <c r="C81" i="84"/>
  <c r="C80" i="84"/>
  <c r="O19" i="86"/>
  <c r="O23" i="86" s="1"/>
  <c r="O25" i="86" s="1"/>
  <c r="O31" i="86" s="1"/>
  <c r="P415" i="93"/>
  <c r="L1968" i="93"/>
  <c r="P67" i="93"/>
  <c r="F1163" i="93"/>
  <c r="K1163" i="93"/>
  <c r="H77" i="93"/>
  <c r="H79" i="93" s="1"/>
  <c r="E13" i="88"/>
  <c r="D12" i="88"/>
  <c r="L1952" i="93"/>
  <c r="L1953" i="93" s="1"/>
  <c r="M1952" i="93" s="1"/>
  <c r="E13"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E41" i="74" l="1"/>
  <c r="D997" i="93"/>
  <c r="G53" i="82"/>
  <c r="G984" i="93"/>
  <c r="G986" i="93" s="1"/>
  <c r="B971" i="93"/>
  <c r="B972" i="93" s="1"/>
  <c r="C14" i="74"/>
  <c r="B15" i="74"/>
  <c r="B16" i="74" s="1"/>
  <c r="E14" i="74"/>
  <c r="D14" i="74"/>
  <c r="F14" i="74"/>
  <c r="C52" i="84"/>
  <c r="H879" i="93"/>
  <c r="O879" i="93" s="1"/>
  <c r="O122" i="75"/>
  <c r="F993" i="93"/>
  <c r="G37" i="74"/>
  <c r="G10" i="86"/>
  <c r="P936" i="93"/>
  <c r="B977" i="93"/>
  <c r="J1599" i="93"/>
  <c r="P167" i="93"/>
  <c r="F479" i="93"/>
  <c r="O168" i="93"/>
  <c r="P168" i="93"/>
  <c r="J590" i="93"/>
  <c r="J591" i="93" s="1"/>
  <c r="J593" i="93" s="1"/>
  <c r="M590" i="93"/>
  <c r="M591" i="93" s="1"/>
  <c r="M593" i="93" s="1"/>
  <c r="G570" i="93"/>
  <c r="P479" i="93"/>
  <c r="P590" i="93"/>
  <c r="P591" i="93" s="1"/>
  <c r="P593" i="93" s="1"/>
  <c r="I7" i="88"/>
  <c r="I13" i="88" s="1"/>
  <c r="H12" i="88"/>
  <c r="D34" i="90" s="1"/>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B20" i="74" l="1"/>
  <c r="B976" i="93"/>
  <c r="F41" i="74"/>
  <c r="E997" i="93"/>
  <c r="H53" i="82"/>
  <c r="H984" i="93"/>
  <c r="H986" i="93" s="1"/>
  <c r="K5" i="74"/>
  <c r="J4" i="91"/>
  <c r="K7" i="74"/>
  <c r="C54" i="84"/>
  <c r="E52" i="84"/>
  <c r="I52" i="84"/>
  <c r="K52" i="84"/>
  <c r="G52" i="84"/>
  <c r="F15" i="74"/>
  <c r="F16" i="74" s="1"/>
  <c r="E15" i="74"/>
  <c r="E16" i="74" s="1"/>
  <c r="C53" i="84"/>
  <c r="C15" i="74"/>
  <c r="C16" i="74" s="1"/>
  <c r="G15" i="74"/>
  <c r="D15" i="74"/>
  <c r="D16" i="74" s="1"/>
  <c r="G993" i="93"/>
  <c r="H37" i="74"/>
  <c r="H10" i="86"/>
  <c r="M937" i="93"/>
  <c r="P937" i="93"/>
  <c r="J157" i="78"/>
  <c r="J158" i="78" s="1"/>
  <c r="G15" i="82"/>
  <c r="G19" i="82" s="1"/>
  <c r="E47" i="78"/>
  <c r="N94" i="93"/>
  <c r="J1836" i="93"/>
  <c r="L1836" i="93" s="1"/>
  <c r="O1975" i="93"/>
  <c r="O1976" i="93" s="1"/>
  <c r="M1962" i="93"/>
  <c r="L1951" i="93"/>
  <c r="O1980" i="93"/>
  <c r="O1981" i="93" s="1"/>
  <c r="D570" i="93"/>
  <c r="F560" i="93"/>
  <c r="E483" i="93"/>
  <c r="J479" i="93"/>
  <c r="E514" i="93"/>
  <c r="N97" i="93"/>
  <c r="C13" i="84"/>
  <c r="J594" i="93"/>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P927" i="93" l="1"/>
  <c r="P170" i="75"/>
  <c r="C20" i="74"/>
  <c r="E20" i="74"/>
  <c r="G16" i="74"/>
  <c r="G20" i="74"/>
  <c r="F20" i="74"/>
  <c r="D20" i="74"/>
  <c r="G41" i="74"/>
  <c r="F997" i="93"/>
  <c r="I53" i="82"/>
  <c r="I984" i="93"/>
  <c r="I986" i="93" s="1"/>
  <c r="K53" i="84"/>
  <c r="E53" i="84"/>
  <c r="I53" i="84"/>
  <c r="G53" i="84"/>
  <c r="G54" i="84" s="1"/>
  <c r="G56" i="84" s="1"/>
  <c r="G64" i="84" s="1"/>
  <c r="C56" i="84"/>
  <c r="C64" i="84" s="1"/>
  <c r="H993" i="93"/>
  <c r="I37" i="74"/>
  <c r="I10" i="86"/>
  <c r="L305" i="73"/>
  <c r="M1399" i="93"/>
  <c r="L1399" i="93" s="1"/>
  <c r="K19" i="88"/>
  <c r="F52" i="89"/>
  <c r="D16" i="83"/>
  <c r="F16" i="85"/>
  <c r="H19" i="84"/>
  <c r="C19" i="84"/>
  <c r="L301" i="73"/>
  <c r="M1395" i="93"/>
  <c r="L1395" i="93" s="1"/>
  <c r="D35" i="90"/>
  <c r="I64" i="92"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C68" i="84" l="1"/>
  <c r="P175" i="75"/>
  <c r="N171" i="75"/>
  <c r="N172" i="75"/>
  <c r="N928" i="93"/>
  <c r="P932" i="93"/>
  <c r="N929" i="93"/>
  <c r="H41" i="74"/>
  <c r="G997" i="93"/>
  <c r="J53" i="82"/>
  <c r="J984" i="93"/>
  <c r="J986" i="93" s="1"/>
  <c r="I54" i="84"/>
  <c r="I56" i="84" s="1"/>
  <c r="I64" i="84" s="1"/>
  <c r="E54" i="84"/>
  <c r="E56" i="84" s="1"/>
  <c r="E64" i="84" s="1"/>
  <c r="K54" i="84"/>
  <c r="K56" i="84" s="1"/>
  <c r="K64" i="84" s="1"/>
  <c r="I993" i="93"/>
  <c r="J37" i="74"/>
  <c r="C30" i="86"/>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I68" i="84" l="1"/>
  <c r="G68" i="84"/>
  <c r="G70" i="84" s="1"/>
  <c r="K68" i="84"/>
  <c r="K70" i="84" s="1"/>
  <c r="E68" i="84"/>
  <c r="E70" i="84" s="1"/>
  <c r="I70" i="84"/>
  <c r="I72" i="84" s="1"/>
  <c r="O933" i="93"/>
  <c r="M932" i="93"/>
  <c r="P947" i="93"/>
  <c r="F121" i="78"/>
  <c r="B975" i="93"/>
  <c r="F557" i="93"/>
  <c r="F122" i="78"/>
  <c r="F558" i="93"/>
  <c r="B19" i="74"/>
  <c r="P190" i="75"/>
  <c r="O176" i="75"/>
  <c r="M175" i="75"/>
  <c r="C70" i="84"/>
  <c r="I41" i="74"/>
  <c r="H997" i="93"/>
  <c r="I76" i="84"/>
  <c r="I73" i="84" s="1"/>
  <c r="J993" i="93"/>
  <c r="K37" i="74"/>
  <c r="D30" i="86"/>
  <c r="E40" i="72"/>
  <c r="E1594" i="93" s="1"/>
  <c r="O1950" i="93"/>
  <c r="G598" i="93"/>
  <c r="J601" i="93"/>
  <c r="J603" i="93" s="1"/>
  <c r="J605" i="93" s="1"/>
  <c r="J607" i="93" s="1"/>
  <c r="K53" i="82"/>
  <c r="G162" i="78"/>
  <c r="J165" i="78"/>
  <c r="J167" i="78" s="1"/>
  <c r="B58" i="74"/>
  <c r="K16" i="74"/>
  <c r="C43" i="74"/>
  <c r="B49" i="74"/>
  <c r="B51" i="74"/>
  <c r="F33" i="86" s="1"/>
  <c r="B45" i="74"/>
  <c r="B44" i="74"/>
  <c r="E72" i="84" l="1"/>
  <c r="E76" i="84"/>
  <c r="E73" i="84" s="1"/>
  <c r="K72" i="84"/>
  <c r="K76" i="84"/>
  <c r="K73" i="84" s="1"/>
  <c r="G72" i="84"/>
  <c r="G76" i="84"/>
  <c r="G73" i="84" s="1"/>
  <c r="C72" i="84"/>
  <c r="C76" i="84"/>
  <c r="C73" i="84" s="1"/>
  <c r="F19" i="74"/>
  <c r="D19" i="74"/>
  <c r="G19" i="74"/>
  <c r="C19" i="74"/>
  <c r="E19" i="74"/>
  <c r="H19" i="74"/>
  <c r="I19" i="74"/>
  <c r="B22" i="74"/>
  <c r="J19" i="74"/>
  <c r="B36" i="74"/>
  <c r="K19" i="74"/>
  <c r="B992" i="93"/>
  <c r="B978" i="93"/>
  <c r="K20" i="74"/>
  <c r="J41" i="74"/>
  <c r="I997" i="93"/>
  <c r="B73" i="82"/>
  <c r="B1014" i="93"/>
  <c r="B1016" i="93" s="1"/>
  <c r="B15" i="82"/>
  <c r="J169" i="78"/>
  <c r="J171" i="78" s="1"/>
  <c r="M609" i="93"/>
  <c r="J611" i="93"/>
  <c r="E535" i="93" s="1"/>
  <c r="J535" i="93" s="1"/>
  <c r="K993" i="93"/>
  <c r="B67" i="74"/>
  <c r="E30" i="86"/>
  <c r="C58" i="74"/>
  <c r="O43" i="72"/>
  <c r="O1597" i="93" s="1"/>
  <c r="R1597" i="93" s="1"/>
  <c r="D43" i="74"/>
  <c r="C44" i="74"/>
  <c r="C49" i="74"/>
  <c r="C45" i="74"/>
  <c r="C51" i="74"/>
  <c r="G33" i="86" s="1"/>
  <c r="B46" i="74"/>
  <c r="B31" i="74" l="1"/>
  <c r="B35" i="74"/>
  <c r="B30" i="74"/>
  <c r="B44" i="82"/>
  <c r="C36" i="74"/>
  <c r="C22" i="74"/>
  <c r="B50" i="74"/>
  <c r="B66" i="74" s="1"/>
  <c r="K36" i="74"/>
  <c r="I36" i="74"/>
  <c r="I22" i="74"/>
  <c r="G36" i="74"/>
  <c r="G22" i="74"/>
  <c r="K22" i="74"/>
  <c r="H36" i="74"/>
  <c r="H22" i="74"/>
  <c r="D36" i="74"/>
  <c r="D22" i="74"/>
  <c r="B991" i="93"/>
  <c r="B986" i="93"/>
  <c r="B987" i="93"/>
  <c r="J36" i="74"/>
  <c r="J22" i="74"/>
  <c r="E36" i="74"/>
  <c r="E22" i="74"/>
  <c r="F36" i="74"/>
  <c r="F22" i="74"/>
  <c r="K41" i="74"/>
  <c r="J997" i="93"/>
  <c r="M173" i="78"/>
  <c r="J175" i="78"/>
  <c r="C73" i="82"/>
  <c r="C1014" i="93"/>
  <c r="C1016" i="93" s="1"/>
  <c r="B1023" i="93"/>
  <c r="C67" i="74"/>
  <c r="F30" i="86"/>
  <c r="D58" i="74"/>
  <c r="P43" i="72"/>
  <c r="R43" i="72"/>
  <c r="C46" i="74"/>
  <c r="C50" i="74" s="1"/>
  <c r="C66" i="74" s="1"/>
  <c r="D44" i="74"/>
  <c r="E43" i="74"/>
  <c r="D51" i="74"/>
  <c r="H33" i="86" s="1"/>
  <c r="D49" i="74"/>
  <c r="D45" i="74"/>
  <c r="I31" i="74" l="1"/>
  <c r="I44" i="82"/>
  <c r="I35" i="74"/>
  <c r="I30" i="74"/>
  <c r="C29" i="86" s="1"/>
  <c r="C37" i="86" s="1"/>
  <c r="C38" i="86" s="1"/>
  <c r="C40" i="86" s="1"/>
  <c r="C44" i="86" s="1"/>
  <c r="K13" i="86" s="1"/>
  <c r="C30" i="74"/>
  <c r="C31" i="74"/>
  <c r="C35" i="74"/>
  <c r="C44" i="82"/>
  <c r="E44" i="82"/>
  <c r="E30" i="74"/>
  <c r="F9" i="86" s="1"/>
  <c r="F17" i="86" s="1"/>
  <c r="F18" i="86" s="1"/>
  <c r="F20" i="86" s="1"/>
  <c r="F24" i="86" s="1"/>
  <c r="K9" i="86" s="1"/>
  <c r="E35" i="74"/>
  <c r="E31" i="74"/>
  <c r="D35" i="74"/>
  <c r="D44" i="82"/>
  <c r="D30" i="74"/>
  <c r="E9" i="86" s="1"/>
  <c r="E17" i="86" s="1"/>
  <c r="E18" i="86" s="1"/>
  <c r="E20" i="86" s="1"/>
  <c r="E24" i="86" s="1"/>
  <c r="K8" i="86" s="1"/>
  <c r="D31" i="74"/>
  <c r="K44" i="82"/>
  <c r="K31" i="74"/>
  <c r="K35" i="74"/>
  <c r="K30" i="74"/>
  <c r="E29" i="86" s="1"/>
  <c r="E37" i="86" s="1"/>
  <c r="E38" i="86" s="1"/>
  <c r="E40" i="86" s="1"/>
  <c r="E44" i="86" s="1"/>
  <c r="K15" i="86" s="1"/>
  <c r="G31" i="74"/>
  <c r="G30" i="74"/>
  <c r="H9" i="86" s="1"/>
  <c r="H17" i="86" s="1"/>
  <c r="H18" i="86" s="1"/>
  <c r="H20" i="86" s="1"/>
  <c r="H24" i="86" s="1"/>
  <c r="K11" i="86" s="1"/>
  <c r="G35" i="74"/>
  <c r="G44" i="82"/>
  <c r="B51" i="82"/>
  <c r="B46" i="82"/>
  <c r="C52" i="74"/>
  <c r="C65" i="74" s="1"/>
  <c r="F44" i="82"/>
  <c r="F31" i="74"/>
  <c r="F35" i="74"/>
  <c r="F30" i="74"/>
  <c r="G9" i="86" s="1"/>
  <c r="G17" i="86" s="1"/>
  <c r="G18" i="86" s="1"/>
  <c r="G20" i="86" s="1"/>
  <c r="G24" i="86" s="1"/>
  <c r="K10" i="86" s="1"/>
  <c r="J44" i="82"/>
  <c r="J35" i="74"/>
  <c r="J31" i="74"/>
  <c r="J30" i="74"/>
  <c r="D29" i="86" s="1"/>
  <c r="D37" i="86" s="1"/>
  <c r="D38" i="86" s="1"/>
  <c r="D40" i="86" s="1"/>
  <c r="D44" i="86" s="1"/>
  <c r="K14" i="86" s="1"/>
  <c r="H44" i="82"/>
  <c r="H31" i="74"/>
  <c r="H35" i="74"/>
  <c r="H30" i="74"/>
  <c r="I9" i="86" s="1"/>
  <c r="I17" i="86" s="1"/>
  <c r="I18" i="86" s="1"/>
  <c r="I20" i="86" s="1"/>
  <c r="I24" i="86" s="1"/>
  <c r="K12" i="86" s="1"/>
  <c r="C9" i="86"/>
  <c r="C17" i="86" s="1"/>
  <c r="C18" i="86" s="1"/>
  <c r="C20" i="86" s="1"/>
  <c r="C24" i="86" s="1"/>
  <c r="K6" i="86" s="1"/>
  <c r="G66" i="86" s="1"/>
  <c r="N85" i="85" s="1"/>
  <c r="S19" i="74"/>
  <c r="B52" i="74"/>
  <c r="B71" i="74"/>
  <c r="K997" i="93"/>
  <c r="C21" i="86"/>
  <c r="I20" i="93"/>
  <c r="M61" i="85"/>
  <c r="P61" i="85" s="1"/>
  <c r="E99" i="78"/>
  <c r="J99" i="78" s="1"/>
  <c r="L412" i="93"/>
  <c r="N412" i="93" s="1"/>
  <c r="L49" i="68"/>
  <c r="I9" i="66"/>
  <c r="L413" i="93"/>
  <c r="N413" i="93" s="1"/>
  <c r="L50" i="68"/>
  <c r="N50" i="68" s="1"/>
  <c r="D73" i="82"/>
  <c r="D1014" i="93"/>
  <c r="D1016" i="93" s="1"/>
  <c r="C64" i="82"/>
  <c r="C71" i="82" s="1"/>
  <c r="C1023" i="93"/>
  <c r="D67" i="74"/>
  <c r="G30" i="86"/>
  <c r="P441" i="72"/>
  <c r="P444" i="72" s="1"/>
  <c r="P1597" i="93"/>
  <c r="P1995" i="93" s="1"/>
  <c r="E58" i="74"/>
  <c r="D46" i="74"/>
  <c r="E44" i="74"/>
  <c r="F43" i="74"/>
  <c r="E49" i="74"/>
  <c r="E45" i="74"/>
  <c r="E51" i="74"/>
  <c r="I33" i="86" s="1"/>
  <c r="C60" i="74" l="1"/>
  <c r="G29" i="86" s="1"/>
  <c r="G37" i="86" s="1"/>
  <c r="G38" i="86" s="1"/>
  <c r="G40" i="86" s="1"/>
  <c r="G44" i="86" s="1"/>
  <c r="K17" i="86" s="1"/>
  <c r="C61" i="74"/>
  <c r="S23" i="74"/>
  <c r="S25" i="74"/>
  <c r="S20" i="74"/>
  <c r="S21" i="74"/>
  <c r="S22" i="74"/>
  <c r="S26" i="74"/>
  <c r="S27" i="74"/>
  <c r="S24" i="74"/>
  <c r="B61" i="74"/>
  <c r="B65" i="74"/>
  <c r="B60" i="74"/>
  <c r="S30" i="74" s="1"/>
  <c r="B64" i="82"/>
  <c r="C46" i="82"/>
  <c r="C51" i="82"/>
  <c r="H51" i="82"/>
  <c r="H46" i="82"/>
  <c r="J46" i="82"/>
  <c r="J51" i="82"/>
  <c r="F51" i="82"/>
  <c r="F46" i="82"/>
  <c r="D51" i="82"/>
  <c r="D46" i="82"/>
  <c r="I51" i="82"/>
  <c r="I46" i="82"/>
  <c r="G51" i="82"/>
  <c r="G46" i="82"/>
  <c r="D50" i="74"/>
  <c r="D66" i="74" s="1"/>
  <c r="K51" i="82"/>
  <c r="K46" i="82"/>
  <c r="E46" i="82"/>
  <c r="E51" i="82"/>
  <c r="D9" i="86"/>
  <c r="D17" i="86" s="1"/>
  <c r="D18" i="86" s="1"/>
  <c r="D20" i="86" s="1"/>
  <c r="D24" i="86" s="1"/>
  <c r="K7" i="86" s="1"/>
  <c r="S28" i="74"/>
  <c r="C71" i="74"/>
  <c r="B1027" i="93"/>
  <c r="N49" i="68"/>
  <c r="B14" i="82"/>
  <c r="C41" i="86"/>
  <c r="D41" i="86" s="1"/>
  <c r="E41" i="86" s="1"/>
  <c r="C22" i="86"/>
  <c r="C42" i="86" s="1"/>
  <c r="D42" i="86" s="1"/>
  <c r="E42" i="86" s="1"/>
  <c r="D21" i="86"/>
  <c r="C66" i="82"/>
  <c r="E73" i="82"/>
  <c r="E1014" i="93"/>
  <c r="E1016" i="93" s="1"/>
  <c r="D1023" i="93"/>
  <c r="E67" i="74"/>
  <c r="H30" i="86"/>
  <c r="P1998" i="93"/>
  <c r="P1560" i="93"/>
  <c r="F58" i="74"/>
  <c r="P6" i="72"/>
  <c r="E46" i="74"/>
  <c r="G43" i="74"/>
  <c r="F45" i="74"/>
  <c r="F51" i="74"/>
  <c r="C53" i="86" s="1"/>
  <c r="F49" i="74"/>
  <c r="F44" i="74"/>
  <c r="F29" i="86" l="1"/>
  <c r="F37" i="86" s="1"/>
  <c r="F38" i="86" s="1"/>
  <c r="F40" i="86" s="1"/>
  <c r="F44" i="86" s="1"/>
  <c r="K16" i="86" s="1"/>
  <c r="S29" i="74"/>
  <c r="D52" i="74"/>
  <c r="B71" i="82"/>
  <c r="B66" i="82"/>
  <c r="E50" i="74"/>
  <c r="E66" i="74" s="1"/>
  <c r="D71" i="74"/>
  <c r="C1027" i="93"/>
  <c r="B20" i="82"/>
  <c r="B21" i="82" s="1"/>
  <c r="G20" i="82"/>
  <c r="E21" i="86"/>
  <c r="D22" i="86"/>
  <c r="F73" i="82"/>
  <c r="F1014" i="93"/>
  <c r="F1016" i="93" s="1"/>
  <c r="E1023" i="93"/>
  <c r="F67" i="74"/>
  <c r="I30" i="86"/>
  <c r="G58" i="74"/>
  <c r="F46" i="74"/>
  <c r="H43" i="74"/>
  <c r="G44" i="74"/>
  <c r="G45" i="74"/>
  <c r="G51" i="74"/>
  <c r="D53" i="86" s="1"/>
  <c r="G49" i="74"/>
  <c r="D65" i="74" l="1"/>
  <c r="D60" i="74"/>
  <c r="D64" i="82"/>
  <c r="D61" i="74"/>
  <c r="E52" i="74"/>
  <c r="F50" i="74"/>
  <c r="F66" i="74" s="1"/>
  <c r="E71" i="74"/>
  <c r="D1027" i="93"/>
  <c r="E22" i="86"/>
  <c r="F21" i="86"/>
  <c r="G73" i="82"/>
  <c r="G1014" i="93"/>
  <c r="G1016" i="93" s="1"/>
  <c r="F1023" i="93"/>
  <c r="G67" i="74"/>
  <c r="C50" i="86"/>
  <c r="H58" i="74"/>
  <c r="I43" i="74"/>
  <c r="H44" i="74"/>
  <c r="H45" i="74"/>
  <c r="H51" i="74"/>
  <c r="E53" i="86" s="1"/>
  <c r="H49" i="74"/>
  <c r="G46" i="74"/>
  <c r="E64" i="82" l="1"/>
  <c r="E60" i="74"/>
  <c r="E61" i="74"/>
  <c r="E65" i="74"/>
  <c r="D66" i="82"/>
  <c r="D71" i="82"/>
  <c r="G50" i="74"/>
  <c r="G66" i="74" s="1"/>
  <c r="H29" i="86"/>
  <c r="H37" i="86" s="1"/>
  <c r="H38" i="86" s="1"/>
  <c r="H40" i="86" s="1"/>
  <c r="H44" i="86" s="1"/>
  <c r="K18" i="86" s="1"/>
  <c r="S31" i="74"/>
  <c r="F52" i="74"/>
  <c r="F71" i="74"/>
  <c r="E1027" i="93"/>
  <c r="F22" i="86"/>
  <c r="G21" i="86"/>
  <c r="H73" i="82"/>
  <c r="H1014" i="93"/>
  <c r="H1016" i="93" s="1"/>
  <c r="G1023" i="93"/>
  <c r="H67" i="74"/>
  <c r="D50" i="86"/>
  <c r="D57" i="86" s="1"/>
  <c r="D58" i="86" s="1"/>
  <c r="D60" i="86" s="1"/>
  <c r="D64" i="86" s="1"/>
  <c r="K21" i="86" s="1"/>
  <c r="I58" i="74"/>
  <c r="H46" i="74"/>
  <c r="I44" i="74"/>
  <c r="I49" i="74"/>
  <c r="J43" i="74"/>
  <c r="I51" i="74"/>
  <c r="F53" i="86" s="1"/>
  <c r="I45" i="74"/>
  <c r="G52" i="74" l="1"/>
  <c r="I29" i="86"/>
  <c r="I37" i="86" s="1"/>
  <c r="I38" i="86" s="1"/>
  <c r="I40" i="86" s="1"/>
  <c r="I44" i="86" s="1"/>
  <c r="K19" i="86" s="1"/>
  <c r="S32" i="74"/>
  <c r="F61" i="74"/>
  <c r="F60" i="74"/>
  <c r="F64" i="82"/>
  <c r="F65" i="74"/>
  <c r="H50" i="74"/>
  <c r="H66" i="74" s="1"/>
  <c r="E66" i="82"/>
  <c r="E71" i="82"/>
  <c r="G71" i="74"/>
  <c r="G1027" i="93" s="1"/>
  <c r="F1027" i="93"/>
  <c r="G22" i="86"/>
  <c r="H21" i="86"/>
  <c r="I73" i="82"/>
  <c r="I1014" i="93"/>
  <c r="I1016" i="93" s="1"/>
  <c r="H1023" i="93"/>
  <c r="I67" i="74"/>
  <c r="E50" i="86"/>
  <c r="E57" i="86" s="1"/>
  <c r="E58" i="86" s="1"/>
  <c r="E60" i="86" s="1"/>
  <c r="E64" i="86" s="1"/>
  <c r="K22" i="86" s="1"/>
  <c r="J58" i="74"/>
  <c r="I46" i="74"/>
  <c r="I50" i="74" s="1"/>
  <c r="I66" i="74" s="1"/>
  <c r="K43" i="74"/>
  <c r="J49" i="74"/>
  <c r="J44" i="74"/>
  <c r="J51" i="74"/>
  <c r="G53" i="86" s="1"/>
  <c r="J45" i="74"/>
  <c r="S33" i="74" l="1"/>
  <c r="C49" i="86"/>
  <c r="C57" i="86" s="1"/>
  <c r="C58" i="86" s="1"/>
  <c r="C60" i="86" s="1"/>
  <c r="C64" i="86" s="1"/>
  <c r="K20" i="86" s="1"/>
  <c r="G61" i="74"/>
  <c r="G60" i="74"/>
  <c r="S34" i="74" s="1"/>
  <c r="G64" i="82"/>
  <c r="G65" i="74"/>
  <c r="I52" i="74"/>
  <c r="I64" i="82" s="1"/>
  <c r="F71" i="82"/>
  <c r="F66" i="82"/>
  <c r="B25" i="82" s="1"/>
  <c r="H52" i="74"/>
  <c r="H22" i="86"/>
  <c r="I21" i="86"/>
  <c r="I22" i="86" s="1"/>
  <c r="J73" i="82"/>
  <c r="J1014" i="93"/>
  <c r="J1016" i="93" s="1"/>
  <c r="I61" i="74"/>
  <c r="I65" i="74"/>
  <c r="I1023" i="93"/>
  <c r="J67" i="74"/>
  <c r="F50" i="86"/>
  <c r="F57" i="86" s="1"/>
  <c r="F58" i="86" s="1"/>
  <c r="F60" i="86" s="1"/>
  <c r="F64" i="86" s="1"/>
  <c r="K23" i="86" s="1"/>
  <c r="K58" i="74"/>
  <c r="K1014" i="93" s="1"/>
  <c r="K1016" i="93" s="1"/>
  <c r="B73" i="74"/>
  <c r="K44" i="74"/>
  <c r="K45" i="74"/>
  <c r="K51" i="74"/>
  <c r="H53" i="86" s="1"/>
  <c r="K49" i="74"/>
  <c r="J46" i="74"/>
  <c r="I60" i="74" l="1"/>
  <c r="H61" i="74"/>
  <c r="H60" i="74"/>
  <c r="S35" i="74" s="1"/>
  <c r="H65" i="74"/>
  <c r="H64" i="82"/>
  <c r="J72" i="82"/>
  <c r="D72" i="82"/>
  <c r="D74" i="82" s="1"/>
  <c r="D75" i="82" s="1"/>
  <c r="D76" i="82" s="1"/>
  <c r="C72" i="82"/>
  <c r="C74" i="82" s="1"/>
  <c r="C75" i="82" s="1"/>
  <c r="C76" i="82" s="1"/>
  <c r="F72" i="82"/>
  <c r="F74" i="82" s="1"/>
  <c r="F75" i="82" s="1"/>
  <c r="F76" i="82" s="1"/>
  <c r="K52" i="82"/>
  <c r="K54" i="82" s="1"/>
  <c r="K55" i="82" s="1"/>
  <c r="K56" i="82" s="1"/>
  <c r="D52" i="82"/>
  <c r="D54" i="82" s="1"/>
  <c r="D55" i="82" s="1"/>
  <c r="D56" i="82" s="1"/>
  <c r="E52" i="82"/>
  <c r="E54" i="82" s="1"/>
  <c r="E55" i="82" s="1"/>
  <c r="E56" i="82" s="1"/>
  <c r="I72" i="82"/>
  <c r="B26" i="82"/>
  <c r="I52" i="82"/>
  <c r="I54" i="82" s="1"/>
  <c r="I55" i="82" s="1"/>
  <c r="I56" i="82" s="1"/>
  <c r="B52" i="82"/>
  <c r="B54" i="82" s="1"/>
  <c r="B55" i="82" s="1"/>
  <c r="B59" i="82" s="1"/>
  <c r="H52" i="82"/>
  <c r="H54" i="82" s="1"/>
  <c r="H55" i="82" s="1"/>
  <c r="H56" i="82" s="1"/>
  <c r="B72" i="82"/>
  <c r="B74" i="82" s="1"/>
  <c r="B75" i="82" s="1"/>
  <c r="B76" i="82" s="1"/>
  <c r="G52" i="82"/>
  <c r="G54" i="82" s="1"/>
  <c r="G55" i="82" s="1"/>
  <c r="G56" i="82" s="1"/>
  <c r="E72" i="82"/>
  <c r="E74" i="82" s="1"/>
  <c r="E75" i="82" s="1"/>
  <c r="E76" i="82" s="1"/>
  <c r="H72" i="82"/>
  <c r="C52" i="82"/>
  <c r="C54" i="82" s="1"/>
  <c r="C55" i="82" s="1"/>
  <c r="C56" i="82" s="1"/>
  <c r="G72" i="82"/>
  <c r="J52" i="82"/>
  <c r="J54" i="82" s="1"/>
  <c r="J55" i="82" s="1"/>
  <c r="J56" i="82" s="1"/>
  <c r="F52" i="82"/>
  <c r="F54" i="82" s="1"/>
  <c r="F55" i="82" s="1"/>
  <c r="F56" i="82" s="1"/>
  <c r="K72" i="82"/>
  <c r="J50" i="74"/>
  <c r="J66" i="74" s="1"/>
  <c r="S36" i="74"/>
  <c r="G71" i="82"/>
  <c r="G66" i="82"/>
  <c r="F44" i="68"/>
  <c r="F407" i="93" s="1"/>
  <c r="J1023" i="93"/>
  <c r="K67" i="74"/>
  <c r="G50" i="86"/>
  <c r="G57" i="86" s="1"/>
  <c r="G58" i="86" s="1"/>
  <c r="G60" i="86" s="1"/>
  <c r="G64" i="86" s="1"/>
  <c r="K24" i="86" s="1"/>
  <c r="B56" i="82"/>
  <c r="I71" i="82"/>
  <c r="I74" i="82" s="1"/>
  <c r="I75" i="82" s="1"/>
  <c r="I76" i="82" s="1"/>
  <c r="I66" i="82"/>
  <c r="K73" i="82"/>
  <c r="B88" i="74"/>
  <c r="B1044" i="93" s="1"/>
  <c r="B1045" i="93" s="1"/>
  <c r="K46" i="74"/>
  <c r="K50" i="74" s="1"/>
  <c r="K66" i="74" s="1"/>
  <c r="C73" i="74"/>
  <c r="B81" i="74"/>
  <c r="B74" i="74"/>
  <c r="B79" i="74"/>
  <c r="B75" i="74"/>
  <c r="G74" i="82" l="1"/>
  <c r="G75" i="82" s="1"/>
  <c r="G76" i="82" s="1"/>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H71" i="82"/>
  <c r="H74" i="82" s="1"/>
  <c r="H75" i="82" s="1"/>
  <c r="H76" i="82" s="1"/>
  <c r="H66" i="82"/>
  <c r="J52" i="74"/>
  <c r="K52" i="74"/>
  <c r="K65" i="74" s="1"/>
  <c r="O8" i="86"/>
  <c r="O14" i="86" s="1"/>
  <c r="O33" i="86" s="1"/>
  <c r="H63" i="86" s="1"/>
  <c r="L93" i="85"/>
  <c r="K1023" i="93"/>
  <c r="L63" i="85"/>
  <c r="C85" i="90"/>
  <c r="B96" i="74"/>
  <c r="H50" i="86"/>
  <c r="H57" i="86" s="1"/>
  <c r="H58" i="86" s="1"/>
  <c r="H60" i="86" s="1"/>
  <c r="H64" i="86" s="1"/>
  <c r="K25" i="86" s="1"/>
  <c r="K60" i="74"/>
  <c r="I45" i="68"/>
  <c r="I408" i="93" s="1"/>
  <c r="C88" i="74"/>
  <c r="C1044" i="93" s="1"/>
  <c r="C1045" i="93" s="1"/>
  <c r="D73" i="74"/>
  <c r="C79" i="74"/>
  <c r="C81" i="74"/>
  <c r="C75" i="74"/>
  <c r="C74" i="74"/>
  <c r="B76" i="74"/>
  <c r="K64" i="82" l="1"/>
  <c r="K71" i="82" s="1"/>
  <c r="K74" i="82" s="1"/>
  <c r="K75" i="82" s="1"/>
  <c r="K76" i="82" s="1"/>
  <c r="K61" i="74"/>
  <c r="J65" i="74"/>
  <c r="J60" i="74"/>
  <c r="S37" i="74" s="1"/>
  <c r="J61" i="74"/>
  <c r="J64" i="82"/>
  <c r="G21" i="82"/>
  <c r="B29" i="82"/>
  <c r="B80" i="74"/>
  <c r="B95" i="74" s="1"/>
  <c r="B1052" i="93"/>
  <c r="C96" i="74"/>
  <c r="F45" i="68"/>
  <c r="F408" i="93" s="1"/>
  <c r="F85" i="92"/>
  <c r="F89" i="92" s="1"/>
  <c r="F105" i="92" s="1"/>
  <c r="D88" i="74"/>
  <c r="D1044" i="93" s="1"/>
  <c r="D1045" i="93" s="1"/>
  <c r="C76" i="74"/>
  <c r="E73" i="74"/>
  <c r="D81" i="74"/>
  <c r="D75" i="74"/>
  <c r="D79" i="74"/>
  <c r="D74" i="74"/>
  <c r="K66" i="82" l="1"/>
  <c r="J66" i="82"/>
  <c r="J71" i="82"/>
  <c r="J74" i="82" s="1"/>
  <c r="J75" i="82" s="1"/>
  <c r="J76" i="82" s="1"/>
  <c r="C80" i="74"/>
  <c r="C95" i="74" s="1"/>
  <c r="B82" i="74"/>
  <c r="S38" i="74"/>
  <c r="C1052" i="93"/>
  <c r="D96" i="74"/>
  <c r="E88" i="74"/>
  <c r="E1044" i="93" s="1"/>
  <c r="E1045" i="93" s="1"/>
  <c r="D76" i="74"/>
  <c r="D80" i="74" s="1"/>
  <c r="D95" i="74" s="1"/>
  <c r="F73" i="74"/>
  <c r="E74" i="74"/>
  <c r="E79" i="74"/>
  <c r="E75" i="74"/>
  <c r="E81" i="74"/>
  <c r="D82" i="74" l="1"/>
  <c r="D89" i="74" s="1"/>
  <c r="B90" i="74"/>
  <c r="B94" i="74"/>
  <c r="B89" i="74"/>
  <c r="C82" i="74"/>
  <c r="D1052" i="93"/>
  <c r="E96" i="74"/>
  <c r="F88" i="74"/>
  <c r="F1044" i="93" s="1"/>
  <c r="F1045" i="93" s="1"/>
  <c r="E76" i="74"/>
  <c r="E80" i="74" s="1"/>
  <c r="E95" i="74" s="1"/>
  <c r="G73" i="74"/>
  <c r="F75" i="74"/>
  <c r="F74" i="74"/>
  <c r="F81" i="74"/>
  <c r="F79" i="74"/>
  <c r="D94" i="74" l="1"/>
  <c r="D90" i="74"/>
  <c r="C89" i="74"/>
  <c r="C94" i="74"/>
  <c r="C90" i="74"/>
  <c r="E82" i="74"/>
  <c r="E94" i="74" s="1"/>
  <c r="E1052" i="93"/>
  <c r="F96" i="74"/>
  <c r="G88" i="74"/>
  <c r="G1044" i="93" s="1"/>
  <c r="G1045" i="93" s="1"/>
  <c r="H73" i="74"/>
  <c r="G74" i="74"/>
  <c r="G79" i="74"/>
  <c r="G75" i="74"/>
  <c r="G81" i="74"/>
  <c r="F76" i="74"/>
  <c r="E90" i="74" l="1"/>
  <c r="E89" i="74"/>
  <c r="F80" i="74"/>
  <c r="F95" i="74" s="1"/>
  <c r="F1052" i="93"/>
  <c r="G96" i="74"/>
  <c r="H88" i="74"/>
  <c r="H1044" i="93" s="1"/>
  <c r="H1045" i="93" s="1"/>
  <c r="G76" i="74"/>
  <c r="I73" i="74"/>
  <c r="H81" i="74"/>
  <c r="H75" i="74"/>
  <c r="H74" i="74"/>
  <c r="H79" i="74"/>
  <c r="F82" i="74" l="1"/>
  <c r="G80" i="74"/>
  <c r="G95" i="74" s="1"/>
  <c r="G1052" i="93"/>
  <c r="H96" i="74"/>
  <c r="I88" i="74"/>
  <c r="I1044" i="93" s="1"/>
  <c r="I1045" i="93" s="1"/>
  <c r="J73" i="74"/>
  <c r="I79" i="74"/>
  <c r="I74" i="74"/>
  <c r="I81" i="74"/>
  <c r="I75" i="74"/>
  <c r="H76" i="74"/>
  <c r="H80" i="74" l="1"/>
  <c r="H95" i="74" s="1"/>
  <c r="F94" i="74"/>
  <c r="F89" i="74"/>
  <c r="F90" i="74"/>
  <c r="G82" i="74"/>
  <c r="H1052" i="93"/>
  <c r="I96" i="74"/>
  <c r="J88" i="74"/>
  <c r="J1044" i="93" s="1"/>
  <c r="J1045" i="93" s="1"/>
  <c r="I76" i="74"/>
  <c r="K73" i="74"/>
  <c r="J79" i="74"/>
  <c r="J81" i="74"/>
  <c r="J75" i="74"/>
  <c r="J74" i="74"/>
  <c r="G89" i="74" l="1"/>
  <c r="G94" i="74"/>
  <c r="G90" i="74"/>
  <c r="I80" i="74"/>
  <c r="I95" i="74" s="1"/>
  <c r="H82" i="74"/>
  <c r="I1052" i="93"/>
  <c r="J96" i="74"/>
  <c r="K88" i="74"/>
  <c r="K1044" i="93" s="1"/>
  <c r="K1045" i="93" s="1"/>
  <c r="J76" i="74"/>
  <c r="B101" i="74"/>
  <c r="K74" i="74"/>
  <c r="K75" i="74"/>
  <c r="K81" i="74"/>
  <c r="K79" i="74"/>
  <c r="H89" i="74" l="1"/>
  <c r="H90" i="74"/>
  <c r="H94" i="74"/>
  <c r="I82" i="74"/>
  <c r="J80" i="74"/>
  <c r="J95" i="74" s="1"/>
  <c r="J1052" i="93"/>
  <c r="K96" i="74"/>
  <c r="B116" i="74"/>
  <c r="B1072" i="93" s="1"/>
  <c r="B1073" i="93" s="1"/>
  <c r="K76" i="74"/>
  <c r="C101" i="74"/>
  <c r="B109" i="74"/>
  <c r="B107" i="74"/>
  <c r="B102" i="74"/>
  <c r="B103" i="74"/>
  <c r="I89" i="74" l="1"/>
  <c r="I90" i="74"/>
  <c r="I94" i="74"/>
  <c r="K80" i="74"/>
  <c r="K95" i="74" s="1"/>
  <c r="J82" i="74"/>
  <c r="K1052" i="93"/>
  <c r="B124" i="74"/>
  <c r="C116" i="74"/>
  <c r="C1072" i="93" s="1"/>
  <c r="C1073" i="93" s="1"/>
  <c r="D101" i="74"/>
  <c r="C109" i="74"/>
  <c r="C107" i="74"/>
  <c r="C103" i="74"/>
  <c r="C102" i="74"/>
  <c r="B104" i="74"/>
  <c r="J89" i="74" l="1"/>
  <c r="J94" i="74"/>
  <c r="J90" i="74"/>
  <c r="K82" i="74"/>
  <c r="B108" i="74"/>
  <c r="B123" i="74" s="1"/>
  <c r="B1080" i="93"/>
  <c r="C124" i="74"/>
  <c r="D116" i="74"/>
  <c r="D1072" i="93" s="1"/>
  <c r="D1073" i="93" s="1"/>
  <c r="C104" i="74"/>
  <c r="D107" i="74"/>
  <c r="D102" i="74"/>
  <c r="E101" i="74"/>
  <c r="D103" i="74"/>
  <c r="D109" i="74"/>
  <c r="K89" i="74" l="1"/>
  <c r="K94" i="74"/>
  <c r="K90" i="74"/>
  <c r="C108" i="74"/>
  <c r="C123" i="74" s="1"/>
  <c r="B110" i="74"/>
  <c r="C1080" i="93"/>
  <c r="D124" i="74"/>
  <c r="E116" i="74"/>
  <c r="E1072" i="93" s="1"/>
  <c r="E1073" i="93" s="1"/>
  <c r="D104" i="74"/>
  <c r="D108" i="74" s="1"/>
  <c r="D123" i="74" s="1"/>
  <c r="F101" i="74"/>
  <c r="E102" i="74"/>
  <c r="E109" i="74"/>
  <c r="E103" i="74"/>
  <c r="E107" i="74"/>
  <c r="B117" i="74" l="1"/>
  <c r="B118" i="74"/>
  <c r="B122" i="74"/>
  <c r="C110" i="74"/>
  <c r="D110" i="74"/>
  <c r="D118" i="74" s="1"/>
  <c r="D1080" i="93"/>
  <c r="E124" i="74"/>
  <c r="F116" i="74"/>
  <c r="F1072" i="93" s="1"/>
  <c r="F1073" i="93" s="1"/>
  <c r="E104" i="74"/>
  <c r="E108" i="74" s="1"/>
  <c r="E123" i="74" s="1"/>
  <c r="F109" i="74"/>
  <c r="F103" i="74"/>
  <c r="F102" i="74"/>
  <c r="F107" i="74"/>
  <c r="D122" i="74" l="1"/>
  <c r="D117" i="74"/>
  <c r="E110" i="74"/>
  <c r="E118" i="74" s="1"/>
  <c r="C117" i="74"/>
  <c r="C118" i="74"/>
  <c r="C122" i="74"/>
  <c r="E122" i="74"/>
  <c r="E1080" i="93"/>
  <c r="F124" i="74"/>
  <c r="F1080" i="93" s="1"/>
  <c r="F104" i="74"/>
  <c r="F108" i="74" s="1"/>
  <c r="F123" i="74" s="1"/>
  <c r="E117" i="74" l="1"/>
  <c r="F110" i="74"/>
  <c r="F117" i="7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F122" i="74"/>
  <c r="A58" i="26"/>
  <c r="G58" i="26"/>
  <c r="A1" i="25"/>
  <c r="A50" i="25"/>
  <c r="A1" i="26"/>
  <c r="O294" i="72" l="1"/>
  <c r="Q295" i="72"/>
  <c r="E37" i="72" l="1"/>
  <c r="E1591" i="93" s="1"/>
  <c r="O1848" i="93"/>
  <c r="O1995" i="93" s="1"/>
  <c r="O1560" i="93" s="1"/>
  <c r="O441" i="72"/>
  <c r="O6" i="72" l="1"/>
  <c r="R1995" i="93"/>
  <c r="I40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<sst xmlns="http://schemas.openxmlformats.org/spreadsheetml/2006/main" count="13249" uniqueCount="4842">
  <si>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</si>
  <si>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</si>
  <si>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</si>
  <si>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</si>
  <si>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</si>
  <si>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</si>
  <si>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</si>
  <si>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</si>
  <si>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</si>
  <si>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</si>
  <si>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</si>
  <si>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</si>
  <si>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</si>
  <si>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</si>
  <si>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</si>
  <si>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</si>
  <si>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</si>
  <si>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</si>
  <si>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</si>
  <si>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</si>
  <si>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</si>
  <si>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</si>
  <si>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</si>
  <si>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</si>
  <si>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</si>
  <si>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</si>
  <si>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</si>
  <si>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</si>
  <si>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</si>
  <si>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</si>
  <si>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</si>
  <si>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</si>
  <si>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</si>
  <si>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</si>
  <si>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</si>
  <si>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</si>
  <si>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</si>
  <si>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</si>
  <si>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</si>
  <si>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</si>
  <si>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</si>
  <si>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</si>
  <si>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</si>
  <si>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</si>
  <si>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</si>
  <si>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</si>
  <si>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</si>
  <si>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</si>
  <si>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</si>
  <si>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</si>
  <si>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</si>
  <si>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</si>
  <si>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</si>
  <si>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</si>
  <si>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</si>
  <si>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</si>
  <si>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</si>
  <si>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</si>
  <si>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</si>
  <si>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</si>
  <si>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</si>
  <si>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</si>
  <si>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</si>
  <si>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</si>
  <si>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</si>
  <si>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</si>
  <si>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</si>
  <si>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</si>
  <si>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</si>
  <si>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</si>
  <si>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</si>
  <si>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</si>
  <si>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</si>
  <si>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</si>
  <si>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</si>
  <si>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</si>
  <si>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</si>
  <si>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</si>
  <si>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</si>
  <si>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</si>
  <si>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</si>
  <si>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</si>
  <si>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</si>
  <si>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</si>
  <si>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</si>
  <si>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</si>
  <si>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</si>
  <si>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</si>
  <si>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</si>
  <si>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</si>
  <si>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</si>
  <si>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</si>
  <si>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</si>
  <si>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</si>
  <si>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</si>
  <si>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</si>
  <si>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</si>
  <si>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</si>
  <si>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</si>
  <si>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</si>
  <si>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</si>
  <si>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</si>
  <si>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</si>
  <si>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</si>
  <si>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</si>
  <si>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</si>
  <si>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</si>
  <si>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</si>
  <si>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</si>
  <si>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</si>
  <si>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</si>
  <si>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</si>
  <si>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</si>
  <si>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</si>
  <si>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</si>
  <si>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</si>
  <si>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</si>
  <si>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</si>
  <si>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</si>
  <si>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</si>
  <si>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</si>
  <si>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</si>
  <si>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</si>
  <si>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</si>
  <si>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</si>
  <si>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</si>
  <si>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</si>
  <si>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</si>
  <si>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</si>
  <si>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</si>
  <si>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</si>
  <si>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</si>
  <si>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</si>
  <si>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</si>
  <si>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</si>
  <si>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</si>
  <si>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</si>
  <si>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</si>
  <si>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</si>
  <si>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</si>
  <si>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</si>
  <si>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</si>
  <si>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</si>
  <si>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</si>
  <si>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</si>
  <si>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</si>
  <si>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</si>
  <si>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</si>
  <si>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</si>
  <si>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</si>
  <si>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</si>
  <si>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</si>
  <si>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</si>
  <si>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</si>
  <si>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</si>
  <si>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</si>
  <si>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</si>
  <si>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</si>
  <si>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</si>
  <si>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</si>
  <si>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</si>
  <si>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</si>
  <si>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</si>
  <si>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</si>
  <si>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</si>
  <si>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</si>
  <si>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</si>
  <si>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</si>
  <si>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</si>
  <si>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</si>
  <si>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</si>
  <si>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</si>
  <si>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</si>
  <si>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</si>
  <si>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</si>
  <si>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</si>
  <si>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</si>
  <si>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</si>
  <si>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</si>
  <si>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</si>
  <si>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</si>
  <si>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</si>
  <si>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</si>
  <si>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</si>
  <si>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</si>
  <si>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</si>
  <si>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</si>
  <si>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</si>
  <si>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</si>
  <si>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</si>
  <si>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</si>
  <si>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</si>
  <si>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</si>
  <si>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</si>
  <si>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</si>
  <si>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</si>
  <si>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</si>
  <si>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</si>
  <si>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</si>
  <si>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</si>
  <si>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</si>
  <si>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</si>
  <si>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</si>
  <si>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</si>
  <si>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</si>
  <si>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</si>
  <si>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</si>
  <si>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</si>
  <si>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</si>
  <si>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</si>
  <si>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</si>
  <si>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</si>
  <si>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</si>
  <si>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</si>
  <si>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</si>
  <si>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</si>
  <si>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</si>
  <si>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</si>
  <si>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</si>
  <si>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</si>
  <si>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</si>
  <si>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</si>
  <si>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</si>
  <si>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</si>
  <si>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</si>
  <si>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</si>
  <si>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</si>
  <si>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</si>
  <si>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</si>
  <si>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</si>
  <si>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</si>
  <si>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</si>
  <si>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</si>
  <si>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</si>
  <si>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</si>
  <si>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</si>
  <si>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</si>
  <si>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</si>
  <si>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</si>
  <si>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</si>
  <si>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</si>
  <si>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</si>
  <si>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</si>
  <si>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</si>
  <si>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</si>
  <si>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</si>
  <si>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</si>
  <si>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</si>
  <si>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</si>
  <si>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</si>
  <si>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</si>
  <si>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</si>
  <si>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</si>
  <si>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</si>
  <si>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</si>
  <si>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</si>
  <si>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</si>
  <si>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</si>
  <si>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</si>
  <si>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</si>
  <si>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</si>
  <si>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</si>
  <si>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</si>
  <si>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</si>
  <si>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</si>
  <si>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</si>
  <si>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</si>
  <si>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</si>
  <si>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</si>
  <si>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</si>
  <si>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</si>
  <si>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</si>
  <si>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</si>
  <si>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</si>
  <si>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</si>
  <si>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</si>
  <si>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</si>
  <si>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</si>
  <si>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</si>
  <si>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</si>
  <si>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</si>
  <si>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</si>
  <si>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</si>
  <si>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</si>
  <si>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</si>
  <si>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</si>
  <si>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</si>
  <si>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</si>
  <si>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</si>
  <si>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</si>
  <si>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</si>
  <si>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</si>
  <si>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</si>
  <si>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</si>
  <si>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</si>
  <si>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</si>
  <si>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</si>
  <si>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</si>
  <si>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</si>
  <si>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</si>
  <si>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</si>
  <si>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</si>
  <si>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</si>
  <si>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</si>
  <si>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</si>
  <si>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</si>
  <si>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</si>
  <si>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</si>
  <si>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</si>
  <si>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</si>
  <si>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</si>
  <si>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</si>
  <si>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</si>
  <si>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</si>
  <si>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</si>
  <si>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</si>
  <si>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</si>
  <si>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</si>
  <si>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</si>
  <si>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</si>
  <si>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</si>
  <si>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</si>
  <si>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</si>
  <si>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</si>
  <si>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</si>
  <si>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</si>
  <si>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</si>
  <si>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</si>
  <si>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</si>
  <si>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</si>
  <si>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</si>
  <si>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</si>
  <si>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</si>
  <si>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</si>
  <si>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</si>
  <si>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</si>
  <si>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</si>
  <si>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</si>
  <si>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</si>
  <si>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</si>
  <si>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</si>
  <si>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</si>
  <si>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</si>
  <si>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</si>
  <si>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</si>
  <si>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</si>
  <si>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</si>
  <si>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</si>
  <si>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</si>
  <si>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</si>
  <si>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</si>
  <si>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</si>
  <si>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</si>
  <si>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</si>
  <si>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</si>
  <si>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</si>
  <si>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</si>
  <si>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</si>
  <si>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</si>
  <si>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</si>
  <si>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</si>
  <si>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</si>
  <si>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</si>
  <si>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</si>
  <si>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</si>
  <si>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</si>
  <si>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</si>
  <si>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</si>
  <si>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</si>
  <si>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</si>
  <si>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</si>
  <si>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</si>
  <si>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</si>
  <si>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</si>
  <si>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</si>
  <si>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</si>
  <si>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</si>
  <si>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</si>
  <si>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</si>
  <si>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</si>
  <si>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</si>
  <si>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</si>
  <si>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</si>
  <si>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</si>
  <si>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</si>
  <si>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</si>
  <si>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</si>
  <si>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</si>
  <si>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</si>
  <si>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</si>
  <si>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</si>
  <si>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</si>
  <si>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</si>
  <si>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</si>
  <si>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</si>
  <si>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</si>
  <si>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</si>
  <si>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</si>
  <si>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</si>
  <si>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</si>
  <si>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</si>
  <si>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</si>
  <si>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</si>
  <si>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</si>
  <si>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</si>
  <si>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</si>
  <si>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</si>
  <si>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</si>
  <si>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</si>
  <si>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</si>
  <si>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</si>
  <si>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</si>
  <si>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</si>
  <si>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</si>
  <si>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</si>
  <si>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</si>
  <si>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</si>
  <si>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</si>
  <si>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</si>
  <si>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</si>
  <si>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</si>
  <si>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</si>
  <si>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</si>
  <si>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</si>
  <si>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</si>
  <si>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</si>
  <si>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</si>
  <si>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</si>
  <si>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</si>
  <si>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</si>
  <si>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</si>
  <si>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</si>
  <si>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</si>
  <si>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</si>
  <si>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</si>
  <si>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</si>
  <si>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</si>
  <si>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</si>
  <si>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</si>
  <si>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</si>
  <si>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</si>
  <si>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</si>
  <si>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</si>
  <si>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</si>
  <si>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</si>
  <si>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</si>
  <si>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</si>
  <si>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</si>
  <si>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</si>
  <si>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</si>
  <si>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</si>
  <si>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</si>
  <si>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</si>
  <si>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</si>
  <si>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</si>
  <si>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</si>
  <si>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</si>
  <si>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</si>
  <si>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</si>
  <si>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</si>
  <si>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</si>
  <si>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</si>
  <si>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</si>
  <si>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</si>
  <si>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</si>
  <si>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</si>
  <si>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</si>
  <si>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</si>
  <si>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</si>
  <si>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</si>
  <si>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</si>
  <si>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</si>
  <si>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</si>
  <si>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</si>
  <si>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</si>
  <si>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</si>
  <si>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</si>
  <si>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</si>
  <si>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</si>
  <si>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</si>
  <si>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</si>
  <si>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</si>
  <si>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</si>
  <si>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</si>
  <si>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</si>
  <si>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</si>
  <si>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</si>
  <si>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</si>
  <si>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</si>
  <si>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</si>
  <si>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</si>
  <si>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</si>
  <si>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</si>
  <si>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</si>
  <si>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</si>
  <si>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</si>
  <si>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</si>
  <si>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</si>
  <si>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</si>
  <si>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</si>
  <si>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</si>
  <si>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</si>
  <si>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</si>
  <si>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</si>
  <si>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</si>
  <si>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</si>
  <si>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</si>
  <si>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</si>
  <si>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</si>
  <si>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</si>
  <si>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</si>
  <si>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</si>
  <si>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</si>
  <si>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</si>
  <si>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</si>
  <si>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</si>
  <si>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</si>
  <si>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</si>
  <si>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</si>
  <si>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</si>
  <si>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</si>
  <si>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</si>
  <si>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</si>
  <si>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</si>
  <si>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</si>
  <si>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</si>
  <si>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</si>
  <si>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</si>
  <si>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</si>
  <si>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</si>
  <si>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</si>
  <si>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</si>
  <si>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</si>
  <si>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</si>
  <si>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</si>
  <si>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</si>
  <si>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</si>
  <si>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</si>
  <si>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</si>
  <si>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</si>
  <si>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</si>
  <si>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</si>
  <si>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</si>
  <si>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</si>
  <si>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</si>
  <si>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</si>
  <si>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</si>
  <si>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</si>
  <si>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</si>
  <si>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</si>
  <si>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</si>
  <si>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</si>
  <si>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</si>
  <si>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</si>
  <si>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</si>
  <si>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</si>
  <si>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</si>
  <si>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</si>
  <si>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</si>
  <si>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</si>
  <si>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</si>
  <si>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</si>
  <si>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</si>
  <si>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</si>
  <si>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</si>
  <si>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</si>
  <si>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</si>
  <si>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</si>
  <si>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</si>
  <si>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</si>
  <si>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</si>
  <si>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</si>
  <si>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</si>
  <si>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</si>
  <si>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</si>
  <si>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</si>
  <si>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</si>
  <si>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</si>
  <si>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</si>
  <si>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</si>
  <si>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</si>
  <si>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</si>
  <si>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</si>
  <si>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</si>
  <si>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</si>
  <si>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</si>
  <si>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</si>
  <si>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</si>
  <si>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</si>
  <si>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</si>
  <si>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</si>
  <si>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</si>
  <si>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</si>
  <si>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</si>
  <si>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</si>
  <si>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</si>
  <si>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</si>
  <si>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</si>
  <si>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</si>
  <si>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</si>
  <si>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</si>
  <si>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</si>
  <si>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</si>
  <si>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</si>
  <si>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</si>
  <si>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</si>
  <si>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</si>
  <si>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</si>
  <si>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</si>
  <si>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</si>
  <si>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</si>
  <si>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</si>
  <si>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</si>
  <si>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</si>
  <si>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</si>
  <si>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</si>
  <si>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</si>
  <si>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</si>
  <si>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</si>
  <si>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</si>
  <si>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</si>
  <si>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</si>
  <si>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</si>
  <si>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</si>
  <si>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</si>
  <si>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</si>
  <si>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</si>
  <si>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</si>
  <si>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</si>
  <si>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</si>
  <si>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</si>
  <si>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</si>
  <si>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</si>
  <si>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</si>
  <si>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</si>
  <si>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</si>
  <si>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</si>
  <si>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</si>
  <si>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</si>
  <si>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</si>
  <si>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</si>
  <si>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</si>
  <si>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</si>
  <si>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</si>
  <si>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</si>
  <si>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</si>
  <si>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</si>
  <si>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</si>
  <si>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</si>
  <si>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</si>
  <si>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</si>
  <si>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</si>
  <si>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</si>
  <si>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</si>
  <si>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</si>
  <si>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</si>
  <si>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</si>
  <si>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</si>
  <si>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</si>
  <si>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</si>
  <si>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</si>
  <si>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</si>
  <si>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</si>
  <si>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</si>
  <si>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</si>
  <si>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</si>
  <si>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</si>
  <si>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</si>
  <si>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</si>
  <si>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</si>
  <si>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</si>
  <si>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</si>
  <si>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</si>
  <si>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</si>
  <si>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</si>
  <si>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</si>
  <si>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</si>
  <si>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</si>
  <si>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</si>
  <si>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</si>
  <si>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</si>
  <si>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</si>
  <si>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</si>
  <si>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</si>
  <si>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</si>
  <si>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</si>
  <si>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</si>
  <si>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</si>
  <si>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</si>
  <si>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</si>
  <si>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</si>
  <si>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</si>
  <si>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</si>
  <si>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</si>
  <si>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</si>
  <si>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</si>
  <si>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</si>
  <si>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</si>
  <si>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</si>
  <si>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</si>
  <si>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</si>
  <si>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</si>
  <si>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</si>
  <si>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</si>
  <si>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</si>
  <si>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</si>
  <si>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</si>
  <si>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</si>
  <si>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</si>
  <si>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</si>
  <si>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</si>
  <si>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</si>
  <si>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</si>
  <si>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</si>
  <si>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</si>
  <si>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</si>
  <si>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</si>
  <si>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</si>
  <si>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</si>
  <si>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</si>
  <si>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</si>
  <si>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</si>
  <si>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</si>
  <si>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</si>
  <si>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</si>
  <si>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</si>
  <si>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</si>
  <si>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</si>
  <si>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</si>
  <si>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</si>
  <si>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</si>
  <si>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</si>
  <si>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</si>
  <si>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</si>
  <si>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</si>
  <si>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</si>
  <si>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</si>
  <si>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</si>
  <si>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</si>
  <si>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</si>
  <si>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</si>
  <si>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</si>
  <si>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</si>
  <si>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</si>
  <si>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</si>
  <si>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</si>
  <si>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</si>
  <si>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</si>
  <si>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</si>
  <si>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</si>
  <si>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</si>
  <si>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</si>
  <si>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</si>
  <si>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</si>
  <si>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</si>
  <si>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</si>
  <si>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</si>
  <si>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</si>
  <si>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</si>
  <si>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</si>
  <si>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</si>
  <si>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</si>
  <si>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</si>
  <si>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</si>
  <si>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</si>
  <si>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</si>
  <si>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</si>
  <si>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</si>
  <si>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</si>
  <si>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</si>
  <si>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</si>
  <si>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</si>
  <si>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</si>
  <si>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</si>
  <si>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</si>
  <si>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</si>
  <si>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</si>
  <si>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</si>
  <si>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</si>
  <si>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</si>
  <si>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</si>
  <si>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</si>
  <si>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</si>
  <si>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</si>
  <si>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</si>
  <si>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</si>
  <si>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</si>
  <si>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</si>
  <si>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</si>
  <si>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</si>
  <si>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</si>
  <si>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</si>
  <si>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</si>
  <si>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</si>
  <si>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</si>
  <si>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</si>
  <si>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</si>
  <si>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</si>
  <si>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</si>
  <si>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</si>
  <si>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</si>
  <si>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</si>
  <si>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</si>
  <si>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</si>
  <si>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</si>
  <si>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</si>
  <si>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</si>
  <si>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</si>
  <si>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</si>
  <si>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</si>
  <si>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</si>
  <si>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</si>
  <si>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</si>
  <si>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</si>
  <si>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</si>
  <si>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</si>
  <si>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</si>
  <si>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</si>
  <si>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</si>
  <si>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</si>
  <si>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</si>
  <si>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</si>
  <si>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</si>
  <si>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</si>
  <si>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</si>
  <si>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</si>
  <si>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</si>
  <si>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</si>
  <si>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</si>
  <si>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</si>
  <si>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</si>
  <si>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</si>
  <si>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</si>
  <si>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</si>
  <si>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</si>
  <si>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</si>
  <si>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</si>
  <si>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</si>
  <si>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</si>
  <si>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</si>
  <si>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</si>
  <si>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</si>
  <si>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</si>
  <si>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</si>
  <si>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</si>
  <si>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</si>
  <si>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</si>
  <si>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</si>
  <si>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</si>
  <si>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</si>
  <si>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</si>
  <si>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</si>
  <si>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</si>
  <si>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</si>
  <si>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</si>
  <si>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</si>
  <si>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</si>
  <si>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</si>
  <si>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</si>
  <si>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</si>
  <si>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</si>
  <si>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</si>
  <si>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</si>
  <si>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</si>
  <si>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</si>
  <si>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</si>
  <si>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</si>
  <si>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</si>
  <si>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</si>
  <si>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</si>
  <si>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</si>
  <si>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</si>
  <si>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</si>
  <si>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</si>
  <si>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</si>
  <si>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</si>
  <si>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</si>
  <si>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</si>
  <si>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</si>
  <si>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</si>
  <si>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</si>
  <si>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</si>
  <si>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</si>
  <si>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</si>
  <si>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</si>
  <si>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</si>
  <si>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</si>
  <si>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</si>
  <si>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</si>
  <si>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</si>
  <si>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</si>
  <si>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</si>
  <si>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</si>
  <si>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</si>
  <si>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</si>
  <si>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</si>
  <si>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</si>
  <si>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</si>
  <si>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</si>
  <si>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</si>
  <si>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</si>
  <si>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</si>
  <si>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</si>
  <si>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</si>
  <si>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</si>
  <si>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</si>
  <si>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</si>
  <si>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</si>
  <si>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</si>
  <si>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</si>
  <si>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</si>
  <si>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</si>
  <si>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</si>
  <si>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</si>
  <si>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</si>
  <si>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</si>
  <si>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</si>
  <si>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</si>
  <si>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</si>
  <si>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</si>
  <si>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</si>
  <si>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</si>
  <si>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</si>
  <si>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</si>
  <si>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</si>
  <si>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</si>
  <si>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</si>
  <si>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</si>
  <si>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</si>
  <si>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</si>
  <si>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</si>
  <si>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</si>
  <si>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</si>
  <si>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</si>
  <si>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</si>
  <si>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</si>
  <si>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</si>
  <si>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</si>
  <si>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</si>
  <si>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</si>
  <si>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</si>
  <si>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</si>
  <si>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</si>
  <si>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</si>
  <si>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</si>
  <si>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</si>
  <si>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</si>
  <si>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</si>
  <si>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</si>
  <si>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</si>
  <si>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</si>
  <si>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</si>
  <si>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</si>
  <si>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</si>
  <si>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</si>
  <si>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</si>
  <si>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</si>
  <si>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</si>
  <si>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</si>
  <si>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</si>
  <si>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</si>
  <si>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</si>
  <si>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</si>
  <si>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</si>
  <si>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</si>
  <si>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</si>
  <si>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</si>
  <si>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</si>
  <si>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</si>
  <si>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</si>
  <si>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</si>
  <si>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</si>
  <si>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</si>
  <si>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</si>
  <si>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</si>
  <si>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</si>
  <si>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</si>
  <si>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</si>
  <si>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</si>
  <si>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</si>
  <si>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</si>
  <si>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</si>
  <si>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</si>
  <si>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</si>
  <si>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</si>
  <si>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</si>
  <si>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</si>
  <si>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</si>
  <si>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</si>
  <si>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</si>
  <si>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</si>
  <si>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</si>
  <si>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</si>
  <si>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</si>
  <si>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</si>
  <si>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</si>
  <si>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</si>
  <si>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</si>
  <si>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</si>
  <si>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</si>
  <si>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</si>
  <si>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</si>
  <si>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</si>
  <si>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</si>
  <si>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</si>
  <si>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</si>
  <si>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</si>
  <si>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</si>
  <si>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</si>
  <si>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</si>
  <si>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</si>
  <si>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</si>
  <si>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</si>
  <si>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</si>
  <si>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</si>
  <si>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</si>
  <si>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</si>
  <si>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</si>
  <si>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</si>
  <si>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</si>
  <si>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</si>
  <si>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</si>
  <si>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</si>
  <si>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</si>
  <si>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</si>
  <si>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</si>
  <si>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</si>
  <si>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</si>
  <si>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</si>
  <si>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</si>
  <si>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</si>
  <si>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</si>
  <si>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</si>
  <si>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</si>
  <si>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</si>
  <si>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</si>
  <si>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</si>
  <si>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</si>
  <si>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</si>
  <si>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</si>
  <si>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</si>
  <si>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</si>
  <si>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</si>
  <si>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</si>
  <si>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</si>
  <si>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</si>
  <si>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</si>
  <si>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</si>
  <si>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</si>
  <si>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</si>
  <si>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</si>
  <si>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</si>
  <si>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</si>
  <si>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</si>
  <si>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</si>
  <si>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</si>
  <si>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</si>
  <si>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</si>
  <si>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</si>
  <si>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</si>
  <si>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</si>
  <si>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</si>
  <si>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</si>
  <si>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</si>
  <si>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</si>
  <si>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</si>
  <si>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</si>
  <si>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</si>
  <si>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</si>
  <si>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</si>
  <si>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</si>
  <si>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</si>
  <si>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</si>
  <si>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</si>
  <si>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</si>
  <si>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</si>
  <si>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</si>
  <si>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</si>
  <si>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</si>
  <si>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</si>
  <si>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</si>
  <si>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</si>
  <si>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</si>
  <si>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</si>
  <si>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</si>
  <si>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</si>
  <si>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</si>
  <si>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</si>
  <si>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</si>
  <si>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</si>
  <si>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</si>
  <si>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</si>
  <si>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</si>
  <si>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</si>
  <si>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</si>
  <si>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</si>
  <si>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</si>
  <si>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</si>
  <si>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</si>
  <si>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</si>
  <si>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</si>
  <si>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</si>
  <si>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</si>
  <si>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</si>
  <si>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</si>
  <si>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</si>
  <si>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</si>
  <si>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</si>
  <si>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</si>
  <si>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</si>
  <si>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</si>
  <si>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</si>
  <si>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</si>
  <si>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</si>
  <si>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</si>
  <si>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</si>
  <si>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</si>
  <si>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</si>
  <si>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</si>
  <si>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</si>
  <si>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</si>
  <si>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</si>
  <si>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</si>
  <si>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</si>
  <si>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</si>
  <si>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</si>
  <si>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</si>
  <si>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</si>
  <si>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</si>
  <si>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</si>
  <si>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</si>
  <si>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</si>
  <si>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</si>
  <si>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</si>
  <si>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</si>
  <si>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</si>
  <si>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</si>
  <si>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</si>
  <si>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</si>
  <si>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</si>
  <si>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</si>
  <si>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</si>
  <si>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</si>
  <si>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</si>
  <si>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</si>
  <si>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</si>
  <si>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</si>
  <si>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</si>
  <si>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</si>
  <si>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</si>
  <si>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</si>
  <si>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</si>
  <si>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</si>
  <si>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</si>
  <si>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</si>
  <si>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</si>
  <si>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</si>
  <si>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</si>
  <si>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</si>
  <si>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</si>
  <si>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</si>
  <si>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</si>
  <si>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</si>
  <si>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</si>
  <si>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</si>
  <si>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</si>
  <si>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</si>
  <si>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</si>
  <si>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</si>
  <si>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</si>
  <si>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</si>
  <si>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</si>
  <si>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</si>
  <si>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</si>
  <si>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</si>
  <si>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</si>
  <si>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</si>
  <si>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</si>
  <si>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</si>
  <si>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</si>
  <si>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</si>
  <si>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</si>
  <si>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</si>
  <si>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</si>
  <si>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</si>
  <si>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</si>
  <si>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</si>
  <si>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</si>
  <si>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</si>
  <si>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</si>
  <si>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</si>
  <si>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</si>
  <si>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</si>
  <si>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</si>
  <si>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</si>
  <si>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</si>
  <si>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</si>
  <si>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</si>
  <si>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</si>
  <si>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</si>
  <si>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</si>
  <si>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</si>
  <si>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</si>
  <si>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</si>
  <si>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</si>
  <si>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</si>
  <si>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</si>
  <si>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</si>
  <si>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</si>
  <si>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</si>
  <si>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</si>
  <si>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</si>
  <si>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</si>
  <si>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</si>
  <si>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</si>
  <si>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</si>
  <si>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</si>
  <si>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</si>
  <si>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</si>
  <si>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</si>
  <si>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</si>
  <si>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</si>
  <si>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</si>
  <si>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</si>
  <si>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</si>
  <si>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</si>
  <si>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</si>
  <si>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</si>
  <si>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</si>
  <si>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</si>
  <si>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</si>
  <si>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</si>
  <si>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</si>
  <si>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</si>
  <si>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</si>
  <si>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</si>
  <si>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</si>
  <si>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</si>
  <si>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</si>
  <si>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</si>
  <si>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</si>
  <si>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</si>
  <si>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</si>
  <si>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</si>
  <si>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</si>
  <si>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</si>
  <si>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</si>
  <si>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</si>
  <si>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</si>
  <si>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</si>
  <si>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</si>
  <si>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</si>
  <si>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</si>
  <si>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</si>
  <si>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</si>
  <si>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</si>
  <si>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</si>
  <si>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</si>
  <si>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</si>
  <si>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</si>
  <si>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</si>
  <si>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</si>
  <si>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</si>
  <si>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</si>
  <si>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</si>
  <si>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</si>
  <si>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</si>
  <si>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</si>
  <si>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</si>
  <si>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</si>
  <si>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</si>
  <si>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</si>
  <si>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</si>
  <si>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</si>
  <si>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</si>
  <si>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</si>
  <si>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</si>
  <si>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</si>
  <si>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</si>
  <si>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</si>
  <si>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</si>
  <si>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</si>
  <si>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</si>
  <si>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</si>
  <si>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</si>
  <si>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</si>
  <si>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</si>
  <si>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</si>
  <si>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</si>
  <si>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</si>
  <si>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</si>
  <si>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</si>
  <si>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</si>
  <si>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</si>
  <si>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</si>
  <si>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</si>
  <si>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</si>
  <si>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</si>
  <si>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</si>
  <si>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</si>
  <si>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</si>
  <si>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</si>
  <si>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</si>
  <si>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</si>
  <si>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</si>
  <si>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</si>
  <si>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</si>
  <si>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</si>
  <si>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</si>
  <si>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</si>
  <si>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</si>
  <si>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</si>
  <si>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</si>
  <si>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</si>
  <si>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</si>
  <si>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</si>
  <si>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</si>
  <si>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</si>
  <si>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</si>
  <si>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</si>
  <si>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</si>
  <si>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</si>
  <si>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</si>
  <si>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</si>
  <si>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</si>
  <si>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</si>
  <si>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</si>
  <si>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</si>
  <si>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</si>
  <si>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</si>
  <si>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</si>
  <si>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</si>
  <si>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</si>
  <si>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</si>
  <si>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</si>
  <si>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</si>
  <si>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</si>
  <si>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</si>
  <si>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</si>
  <si>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</si>
  <si>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</si>
  <si>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</si>
  <si>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</si>
  <si>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</si>
  <si>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</si>
  <si>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</si>
  <si>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</si>
  <si>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</si>
  <si>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</si>
  <si>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</si>
  <si>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</si>
  <si>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</si>
  <si>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</si>
  <si>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</si>
  <si>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</si>
  <si>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</si>
  <si>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</si>
  <si>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</si>
  <si>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</si>
  <si>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</si>
  <si>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</si>
  <si>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</si>
  <si>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</si>
  <si>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</si>
  <si>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</si>
  <si>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</si>
  <si>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</si>
  <si>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</si>
  <si>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</si>
  <si>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</si>
  <si>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</si>
  <si>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</si>
  <si>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</si>
  <si>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</si>
  <si>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</si>
  <si>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</si>
  <si>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</si>
  <si>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</si>
  <si>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</si>
  <si>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</si>
  <si>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</si>
  <si>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</si>
  <si>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</si>
  <si>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</si>
  <si>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</si>
  <si>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</si>
  <si>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</si>
  <si>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</si>
  <si>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</si>
  <si>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</si>
  <si>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</si>
  <si>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</si>
  <si>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</si>
  <si>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</si>
  <si>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</si>
  <si>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</si>
  <si>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</si>
  <si>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</si>
  <si>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</si>
  <si>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</si>
  <si>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</si>
  <si>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</si>
  <si>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</si>
  <si>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</si>
  <si>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</si>
  <si>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</si>
  <si>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</si>
  <si>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</si>
  <si>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</si>
  <si>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</si>
  <si>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</si>
  <si>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</si>
  <si>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</si>
  <si>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</si>
  <si>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</si>
  <si>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</si>
  <si>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</si>
  <si>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</si>
  <si>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</si>
  <si>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</si>
  <si>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</si>
  <si>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</si>
  <si>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</si>
  <si>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</si>
  <si>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</si>
  <si>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</si>
  <si>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</si>
  <si>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</si>
  <si>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</si>
  <si>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</si>
  <si>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</si>
  <si>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</si>
  <si>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</si>
  <si>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</si>
  <si>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</si>
  <si>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</si>
  <si>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</si>
  <si>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</si>
  <si>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</si>
  <si>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</si>
  <si>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</si>
  <si>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</si>
  <si>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</si>
  <si>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</si>
  <si>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</si>
  <si>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</si>
  <si>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</si>
  <si>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</si>
  <si>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</si>
  <si>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</si>
  <si>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</si>
  <si>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</si>
  <si>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</si>
  <si>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</si>
  <si>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</si>
  <si>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</si>
  <si>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</si>
  <si>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</si>
  <si>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</si>
  <si>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</si>
  <si>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</si>
  <si>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</si>
  <si>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</si>
  <si>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</si>
  <si>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</si>
  <si>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</si>
  <si>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</si>
  <si>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</si>
  <si>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</si>
  <si>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</si>
  <si>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</si>
  <si>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</si>
  <si>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</si>
  <si>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</si>
  <si>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</si>
  <si>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</si>
  <si>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</si>
  <si>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</si>
  <si>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</si>
  <si>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</si>
  <si>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</si>
  <si>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</si>
  <si>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</si>
  <si>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</si>
  <si>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</si>
  <si>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</si>
  <si>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</si>
  <si>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</si>
  <si>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</si>
  <si>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</si>
  <si>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</si>
  <si>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</si>
  <si>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</si>
  <si>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</si>
  <si>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</si>
  <si>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</si>
  <si>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</si>
  <si>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</si>
  <si>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</si>
  <si>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</si>
  <si>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</si>
  <si>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</si>
  <si>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</si>
  <si>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</si>
  <si>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</si>
  <si>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</si>
  <si>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</si>
  <si>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</si>
  <si>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</si>
  <si>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</si>
  <si>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</si>
  <si>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</si>
  <si>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</si>
  <si>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</si>
  <si>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</si>
  <si>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</si>
  <si>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</si>
  <si>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</si>
  <si>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</si>
  <si>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</si>
  <si>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</si>
  <si>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</si>
  <si>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</si>
  <si>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</si>
  <si>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</si>
  <si>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</si>
  <si>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</si>
  <si>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</si>
  <si>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</si>
  <si>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</si>
  <si>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</si>
  <si>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</si>
  <si>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</si>
  <si>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</si>
  <si>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</si>
  <si>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</si>
  <si>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</si>
  <si>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</si>
  <si>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</si>
  <si>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</si>
  <si>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</si>
  <si>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</si>
  <si>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</si>
  <si>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</si>
  <si>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</si>
  <si>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</si>
  <si>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</si>
  <si>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</si>
  <si>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</si>
  <si>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</si>
  <si>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</si>
  <si>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</si>
  <si>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</si>
  <si>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</si>
  <si>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</si>
  <si>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</si>
  <si>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</si>
  <si>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</si>
  <si>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</si>
  <si>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</si>
  <si>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</si>
  <si>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</si>
  <si>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</si>
  <si>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</si>
  <si>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</si>
  <si>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</si>
  <si>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</si>
  <si>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</si>
  <si>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</si>
  <si>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</si>
  <si>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</si>
  <si>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</si>
  <si>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</si>
  <si>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</si>
  <si>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</si>
  <si>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</si>
  <si>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</si>
  <si>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</si>
  <si>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</si>
  <si>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</si>
  <si>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</si>
  <si>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</si>
  <si>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</si>
  <si>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</si>
  <si>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</si>
  <si>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</si>
  <si>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</si>
  <si>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</si>
  <si>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</si>
  <si>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</si>
  <si>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</si>
  <si>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</si>
  <si>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</si>
  <si>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</si>
  <si>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</si>
  <si>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</si>
  <si>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</si>
  <si>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</si>
  <si>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</si>
  <si>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</si>
  <si>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</si>
  <si>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</si>
  <si>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</si>
  <si>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</si>
  <si>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</si>
  <si>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</si>
  <si>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</si>
  <si>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</si>
  <si>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</si>
  <si>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</si>
  <si>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</si>
  <si>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</si>
  <si>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</si>
  <si>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</si>
  <si>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</si>
  <si>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</si>
  <si>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</si>
  <si>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</si>
  <si>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</si>
  <si>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</si>
  <si>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</si>
  <si>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</si>
  <si>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</si>
  <si>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</si>
  <si>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</si>
  <si>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</si>
  <si>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</si>
  <si>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</si>
  <si>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</si>
  <si>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</si>
  <si>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</si>
  <si>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</si>
  <si>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</si>
  <si>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</si>
  <si>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</si>
  <si>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</si>
  <si>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</si>
  <si>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</si>
  <si>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</si>
  <si>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</si>
  <si>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</si>
  <si>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</si>
  <si>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</si>
  <si>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</si>
  <si>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</si>
  <si>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</si>
  <si>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</si>
  <si>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</si>
  <si>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</si>
  <si>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</si>
  <si>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</si>
  <si>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</si>
  <si>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</si>
  <si>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</si>
  <si>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</si>
  <si>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</si>
  <si>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</si>
  <si>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</si>
  <si>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</si>
  <si>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</si>
  <si>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</si>
  <si>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</si>
  <si>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</si>
  <si>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</si>
  <si>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</si>
  <si>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</si>
  <si>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</si>
  <si>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</si>
  <si>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</si>
  <si>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</si>
  <si>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</si>
  <si>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</si>
  <si>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</si>
  <si>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</si>
  <si>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</si>
  <si>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</si>
  <si>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</si>
  <si>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</si>
  <si>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</si>
  <si>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</si>
  <si>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</si>
  <si>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</si>
  <si>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</si>
  <si>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</si>
  <si>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</si>
  <si>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</si>
  <si>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</si>
  <si>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</si>
  <si>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</si>
  <si>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</si>
  <si>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</si>
  <si>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</si>
  <si>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</si>
  <si>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</si>
  <si>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</si>
  <si>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</si>
  <si>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</si>
  <si>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</si>
  <si>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</si>
  <si>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</si>
  <si>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</si>
  <si>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</si>
  <si>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</si>
  <si>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</si>
  <si>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</si>
  <si>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</si>
  <si>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</si>
  <si>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</si>
  <si>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</si>
  <si>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</si>
  <si>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</si>
  <si>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</si>
  <si>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</si>
  <si>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</si>
  <si>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</si>
  <si>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</si>
  <si>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</si>
  <si>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</si>
  <si>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</si>
  <si>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</si>
  <si>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</si>
  <si>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</si>
  <si>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</si>
  <si>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</si>
  <si>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</si>
  <si>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</si>
  <si>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</si>
  <si>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</si>
  <si>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</si>
  <si>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</si>
  <si>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</si>
  <si>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</si>
  <si>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</si>
  <si>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</si>
  <si>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</si>
  <si>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</si>
  <si>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</si>
  <si>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</si>
  <si>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</si>
  <si>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</si>
  <si>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</si>
  <si>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</si>
  <si>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</si>
  <si>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</si>
  <si>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</si>
  <si>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</si>
  <si>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</si>
  <si>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</si>
  <si>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</si>
  <si>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</si>
  <si>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</si>
  <si>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</si>
  <si>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</si>
  <si>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</si>
  <si>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</si>
  <si>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</si>
  <si>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</si>
  <si>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</si>
  <si>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</si>
  <si>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</si>
  <si>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</si>
  <si>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</si>
  <si>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</si>
  <si>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</si>
  <si>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</si>
  <si>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</si>
  <si>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</si>
  <si>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</si>
  <si>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</si>
  <si>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</si>
  <si>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</si>
  <si>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</si>
  <si>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</si>
  <si>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</si>
  <si>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</si>
  <si>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</si>
  <si>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</si>
  <si>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</si>
  <si>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</si>
  <si>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</si>
  <si>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</si>
  <si>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</si>
  <si>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</si>
  <si>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</si>
  <si>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</si>
  <si>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</si>
  <si>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</si>
  <si>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</si>
  <si>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</si>
  <si>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</si>
  <si>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</si>
  <si>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</si>
  <si>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</si>
  <si>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</si>
  <si>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</si>
  <si>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</si>
  <si>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</si>
  <si>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</si>
  <si>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</si>
  <si>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</si>
  <si>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</si>
  <si>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</si>
  <si>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</si>
  <si>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</si>
  <si>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</si>
  <si>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</si>
  <si>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</si>
  <si>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</si>
  <si>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</si>
  <si>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</si>
  <si>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</si>
  <si>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</si>
  <si>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</si>
  <si>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</si>
  <si>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</si>
  <si>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</si>
  <si>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</si>
  <si>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</si>
  <si>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</si>
  <si>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</si>
  <si>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</si>
  <si>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</si>
  <si>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</si>
  <si>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</si>
  <si>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</si>
  <si>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</si>
  <si>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</si>
  <si>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</si>
  <si>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</si>
  <si>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</si>
  <si>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</si>
  <si>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</si>
  <si>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</si>
  <si>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</si>
  <si>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</si>
  <si>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</si>
  <si>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</si>
  <si>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</si>
  <si>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</si>
  <si>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</si>
  <si>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</si>
  <si>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</si>
  <si>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</si>
  <si>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</si>
  <si>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</si>
  <si>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</si>
  <si>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</si>
  <si>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</si>
  <si>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</si>
  <si>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</si>
  <si>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</si>
  <si>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</si>
  <si>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</si>
  <si>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</si>
  <si>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</si>
  <si>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</si>
  <si>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</si>
  <si>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</si>
  <si>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</si>
  <si>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</si>
  <si>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</si>
  <si>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</si>
  <si>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</si>
  <si>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</si>
  <si>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</si>
  <si>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</si>
  <si>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</si>
  <si>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</si>
  <si>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</si>
  <si>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</si>
  <si>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</si>
  <si>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</si>
  <si>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</si>
  <si>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</si>
  <si>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</si>
  <si>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</si>
  <si>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</si>
  <si>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</si>
  <si>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</si>
  <si>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</si>
  <si>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</si>
  <si>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</si>
  <si>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</si>
  <si>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</si>
  <si>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</si>
  <si>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</si>
  <si>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</si>
  <si>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</si>
  <si>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</si>
  <si>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</si>
  <si>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</si>
  <si>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</si>
  <si>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</si>
  <si>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</si>
  <si>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</si>
  <si>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</si>
  <si>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</si>
  <si>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</si>
  <si>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</si>
  <si>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</si>
  <si>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</si>
  <si>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</si>
  <si>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</si>
  <si>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</si>
  <si>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</si>
  <si>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</si>
  <si>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</si>
  <si>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</si>
  <si>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</si>
  <si>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</si>
  <si>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</si>
  <si>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</si>
  <si>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</si>
  <si>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</si>
  <si>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</si>
  <si>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</si>
  <si>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</si>
  <si>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</si>
  <si>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</si>
  <si>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</si>
  <si>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</si>
  <si>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</si>
  <si>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</si>
  <si>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</si>
  <si>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</si>
  <si>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</si>
  <si>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</si>
  <si>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</si>
  <si>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</si>
  <si>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</si>
  <si>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</si>
  <si>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</si>
  <si>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</si>
  <si>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</si>
  <si>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</si>
  <si>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</si>
  <si>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</si>
  <si>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</si>
  <si>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</si>
  <si>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</si>
  <si>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</si>
  <si>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</si>
  <si>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</si>
  <si>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</si>
  <si>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</si>
  <si>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</si>
  <si>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</si>
  <si>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</si>
  <si>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</si>
  <si>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</si>
  <si>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</si>
  <si>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</si>
  <si>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</si>
  <si>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</si>
  <si>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</si>
  <si>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</si>
  <si>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</si>
  <si>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</si>
  <si>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</si>
  <si>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</si>
  <si>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</si>
  <si>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</si>
  <si>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</si>
  <si>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</si>
  <si>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</si>
  <si>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</si>
  <si>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</si>
  <si>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</si>
  <si>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</si>
  <si>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</si>
  <si>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</si>
  <si>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</si>
  <si>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</si>
  <si>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</si>
  <si>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</si>
  <si>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</si>
  <si>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</si>
  <si>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</si>
  <si>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</si>
  <si>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</si>
  <si>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</si>
  <si>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</si>
  <si>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</si>
  <si>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</si>
  <si>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</si>
  <si>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</si>
  <si>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</si>
  <si>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</si>
  <si>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</si>
  <si>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</si>
  <si>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</si>
  <si>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</si>
  <si>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</si>
  <si>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</si>
  <si>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</si>
  <si>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</si>
  <si>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</si>
  <si>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</si>
  <si>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</si>
  <si>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</si>
  <si>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</si>
  <si>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</si>
  <si>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</si>
  <si>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</si>
  <si>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</si>
  <si>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</si>
  <si>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</si>
  <si>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</si>
  <si>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</si>
  <si>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</si>
  <si>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</si>
  <si>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</si>
  <si>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</si>
  <si>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</si>
  <si>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</si>
  <si>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</si>
  <si>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</si>
  <si>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</si>
  <si>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</si>
  <si>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</si>
  <si>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</si>
  <si>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</si>
  <si>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</si>
  <si>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</si>
  <si>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</si>
  <si>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</si>
  <si>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</si>
  <si>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</si>
  <si>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</si>
  <si>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</si>
  <si>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</si>
  <si>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</si>
  <si>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</si>
  <si>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</si>
  <si>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</si>
  <si>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</si>
  <si>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</si>
  <si>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</si>
  <si>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</si>
  <si>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</si>
  <si>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</si>
  <si>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</si>
  <si>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</si>
  <si>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</si>
  <si>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</si>
  <si>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</si>
  <si>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</si>
  <si>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</si>
  <si>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</si>
  <si>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</si>
  <si>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</si>
  <si>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</si>
  <si>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</si>
  <si>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</si>
  <si>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</si>
  <si>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</si>
  <si>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</si>
  <si>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</si>
  <si>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</si>
  <si>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</si>
  <si>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</si>
  <si>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</si>
  <si>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</si>
  <si>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</si>
  <si>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</si>
  <si>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</si>
  <si>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</si>
  <si>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</si>
  <si>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</si>
  <si>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</si>
  <si>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</si>
  <si>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</si>
  <si>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</si>
  <si>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</si>
  <si>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</si>
  <si>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</si>
  <si>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</si>
  <si>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</si>
  <si>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</si>
  <si>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</si>
  <si>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</si>
  <si>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</si>
  <si>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</si>
  <si>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</si>
  <si>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</si>
  <si>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</si>
  <si>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</si>
  <si>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</si>
  <si>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</si>
  <si>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</si>
  <si>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</si>
  <si>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</si>
  <si>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</si>
  <si>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</si>
  <si>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</si>
  <si>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</si>
  <si>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</si>
  <si>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</si>
  <si>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</si>
  <si>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</si>
  <si>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</si>
  <si>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</si>
  <si>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</si>
  <si>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</si>
  <si>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</si>
  <si>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</si>
  <si>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</si>
  <si>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</si>
  <si>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</si>
  <si>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</si>
  <si>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</si>
  <si>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</si>
  <si>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</si>
  <si>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</si>
  <si>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</si>
  <si>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</si>
  <si>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</si>
  <si>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</si>
  <si>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</si>
  <si>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</si>
  <si>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</si>
  <si>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</si>
  <si>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</si>
  <si>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</si>
  <si>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</si>
  <si>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</si>
  <si>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</si>
  <si>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</si>
  <si>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</si>
  <si>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</si>
  <si>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</si>
  <si>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</si>
  <si>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</si>
  <si>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</si>
  <si>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</si>
  <si>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</si>
  <si>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</si>
  <si>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</si>
  <si>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</si>
  <si>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</si>
  <si>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</si>
  <si>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</si>
  <si>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</si>
  <si>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</si>
  <si>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</si>
  <si>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</si>
  <si>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</si>
  <si>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</si>
  <si>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</si>
  <si>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</si>
  <si>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</si>
  <si>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</si>
  <si>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</si>
  <si>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</si>
  <si>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</si>
  <si>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</si>
  <si>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</si>
  <si>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</si>
  <si>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</si>
  <si>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</si>
  <si>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</si>
  <si>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</si>
  <si>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</si>
  <si>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</si>
  <si>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</si>
  <si>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</si>
  <si>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</si>
  <si>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</si>
  <si>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</si>
  <si>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</si>
  <si>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</si>
  <si>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</si>
  <si>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</si>
  <si>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</si>
  <si>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</si>
  <si>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</si>
  <si>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</si>
  <si>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</si>
  <si>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</si>
  <si>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</si>
  <si>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</si>
  <si>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</si>
  <si>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</si>
  <si>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</si>
  <si>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</si>
  <si>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</si>
  <si>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</si>
  <si>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</si>
  <si>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</si>
  <si>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</si>
  <si>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</si>
  <si>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</si>
  <si>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</si>
  <si>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</si>
  <si>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</si>
  <si>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</si>
  <si>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</si>
  <si>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</si>
  <si>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</si>
  <si>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</si>
  <si>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</si>
  <si>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</si>
  <si>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</si>
  <si>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</si>
  <si>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</si>
  <si>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</si>
  <si>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</si>
  <si>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</si>
  <si>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</si>
  <si>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</si>
  <si>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</si>
  <si>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</si>
  <si>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</si>
  <si>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</si>
  <si>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</si>
  <si>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</si>
  <si>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</si>
  <si>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</si>
  <si>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</si>
  <si>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</si>
  <si>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</si>
  <si>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</si>
  <si>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</si>
  <si>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</si>
  <si>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</si>
  <si>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</si>
  <si>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</si>
  <si>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</si>
  <si>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</si>
  <si>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</si>
  <si>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</si>
  <si>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</si>
  <si>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</si>
  <si>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</si>
  <si>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</si>
  <si>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</si>
  <si>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</si>
  <si>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</si>
  <si>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</si>
  <si>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</si>
  <si>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</si>
  <si>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</si>
  <si>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</si>
  <si>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</si>
  <si>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</si>
  <si>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</si>
  <si>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</si>
  <si>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</si>
  <si>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</si>
  <si>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</si>
  <si>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</si>
  <si>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</si>
  <si>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</si>
  <si>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</si>
  <si>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</si>
  <si>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</si>
  <si>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</si>
  <si>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</si>
  <si>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</si>
  <si>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</si>
  <si>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</si>
  <si>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</si>
  <si>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</si>
  <si>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</si>
  <si>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</si>
  <si>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</si>
  <si>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</si>
  <si>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</si>
  <si>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</si>
  <si>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</si>
  <si>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</si>
  <si>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</si>
  <si>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</si>
  <si>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</si>
  <si>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</si>
  <si>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</si>
  <si>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</si>
  <si>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</si>
  <si>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</si>
  <si>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</si>
  <si>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</si>
  <si>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</si>
  <si>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</si>
  <si>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</si>
  <si>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</si>
  <si>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</si>
  <si>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</si>
  <si>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</si>
  <si>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</si>
  <si>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</si>
  <si>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</si>
  <si>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</si>
  <si>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</si>
  <si>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</si>
  <si>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</si>
  <si>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</si>
  <si>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</si>
  <si>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</si>
  <si>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</si>
  <si>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</si>
  <si>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</si>
  <si>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</si>
  <si>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</si>
  <si>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</si>
  <si>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</si>
  <si>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</si>
  <si>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</si>
  <si>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</si>
  <si>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</si>
  <si>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</si>
  <si>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</si>
  <si>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</si>
  <si>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</si>
  <si>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</si>
  <si>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</si>
  <si>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</si>
  <si>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</si>
  <si>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</si>
  <si>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</si>
  <si>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</si>
  <si>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</si>
  <si>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</si>
  <si>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</si>
  <si>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</si>
  <si>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</si>
  <si>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</si>
  <si>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</si>
  <si>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</si>
  <si>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</si>
  <si>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</si>
  <si>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</si>
  <si>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</si>
  <si>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</si>
  <si>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</si>
  <si>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</si>
  <si>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</si>
  <si>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</si>
  <si>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</si>
  <si>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</si>
  <si>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</si>
  <si>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</si>
  <si>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</si>
  <si>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</si>
  <si>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</si>
  <si>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</si>
  <si>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</si>
  <si>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</si>
  <si>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</si>
  <si>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</si>
  <si>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</si>
  <si>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</si>
  <si>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</si>
  <si>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</si>
  <si>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</si>
  <si>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</si>
  <si>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</si>
  <si>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</si>
  <si>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</si>
  <si>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</si>
  <si>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</si>
  <si>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</si>
  <si>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</si>
  <si>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</si>
  <si>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</si>
  <si>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</si>
  <si>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</si>
  <si>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</si>
  <si>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</si>
  <si>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</si>
  <si>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</si>
  <si>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</si>
  <si>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</si>
  <si>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</si>
  <si>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</si>
  <si>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</si>
  <si>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</si>
  <si>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</si>
  <si>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</si>
  <si>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</si>
  <si>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</si>
  <si>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</si>
  <si>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</si>
  <si>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</si>
  <si>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</si>
  <si>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</si>
  <si>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</si>
  <si>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</si>
  <si>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</si>
  <si>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</si>
  <si>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</si>
  <si>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</si>
  <si>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</si>
  <si>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</si>
  <si>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</si>
  <si>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</si>
  <si>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</si>
  <si>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</si>
  <si>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</si>
  <si>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</si>
  <si>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</si>
  <si>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</si>
  <si>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</si>
  <si>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</si>
  <si>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</si>
  <si>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</si>
  <si>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</si>
  <si>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</si>
  <si>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</si>
  <si>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</si>
  <si>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</si>
  <si>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</si>
  <si>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</si>
  <si>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</si>
  <si>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</si>
  <si>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</si>
  <si>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</si>
  <si>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</si>
  <si>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</si>
  <si>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</si>
  <si>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</si>
  <si>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</si>
  <si>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</si>
  <si>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</si>
  <si>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</si>
  <si>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</si>
  <si>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</si>
  <si>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</si>
  <si>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</si>
  <si>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</si>
  <si>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</si>
  <si>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</si>
  <si>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</si>
  <si>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</si>
  <si>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</si>
  <si>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</si>
  <si>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</si>
  <si>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</si>
  <si>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</si>
  <si>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</si>
  <si>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</si>
  <si>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</si>
  <si>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</si>
  <si>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</si>
  <si>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</si>
  <si>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</si>
  <si>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</si>
  <si>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</si>
  <si>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</si>
  <si>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</si>
  <si>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</si>
  <si>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</si>
  <si>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</si>
  <si>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</si>
  <si>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</si>
  <si>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</si>
  <si>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</si>
  <si>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</si>
  <si>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</si>
  <si>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</si>
  <si>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</si>
  <si>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</si>
  <si>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</si>
  <si>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</si>
  <si>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</si>
  <si>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</si>
  <si>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</si>
  <si>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</si>
  <si>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</si>
  <si>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</si>
  <si>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</si>
  <si>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</si>
  <si>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</si>
  <si>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</si>
  <si>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</si>
  <si>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</si>
  <si>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</si>
  <si>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</si>
  <si>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</si>
  <si>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</si>
  <si>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</si>
  <si>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</si>
  <si>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</si>
  <si>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</si>
  <si>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</si>
  <si>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</si>
  <si>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</si>
  <si>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</si>
  <si>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</si>
  <si>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</si>
  <si>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</si>
  <si>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</si>
  <si>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</si>
  <si>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</si>
  <si>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</si>
  <si>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</si>
  <si>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</si>
  <si>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</si>
  <si>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</si>
  <si>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</si>
  <si>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</si>
  <si>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</si>
  <si>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</si>
  <si>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</si>
  <si>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</si>
  <si>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</si>
  <si>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</si>
  <si>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</si>
  <si>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</si>
  <si>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</si>
  <si>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</si>
  <si>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</si>
  <si>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</si>
  <si>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</si>
  <si>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</si>
  <si>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</si>
  <si>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</si>
  <si>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</si>
  <si>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</si>
  <si>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</si>
  <si>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</si>
  <si>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</si>
  <si>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</si>
  <si>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</si>
  <si>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</si>
  <si>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</si>
  <si>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</si>
  <si>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</si>
  <si>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</si>
  <si>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</si>
  <si>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</si>
  <si>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</si>
  <si>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</si>
  <si>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</si>
  <si>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</si>
  <si>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</si>
  <si>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</si>
  <si>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</si>
  <si>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</si>
  <si>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</si>
  <si>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</si>
  <si>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</si>
  <si>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</si>
  <si>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</si>
  <si>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</si>
  <si>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</si>
  <si>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</si>
  <si>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</si>
  <si>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</si>
  <si>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</si>
  <si>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</si>
  <si>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</si>
  <si>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</si>
  <si>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</si>
  <si>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</si>
  <si>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</si>
  <si>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</si>
  <si>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</si>
  <si>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</si>
  <si>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</si>
  <si>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</si>
  <si>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</si>
  <si>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</si>
  <si>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</si>
  <si>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</si>
  <si>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</si>
  <si>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</si>
  <si>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</si>
  <si>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</si>
  <si>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</si>
  <si>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</si>
  <si>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</si>
  <si>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</si>
  <si>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</si>
  <si>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</si>
  <si>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</si>
  <si>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</si>
  <si>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</si>
  <si>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</si>
  <si>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</si>
  <si>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</si>
  <si>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</si>
  <si>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</si>
  <si>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</si>
  <si>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</si>
  <si>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</si>
  <si>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</si>
  <si>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</si>
  <si>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</si>
  <si>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</si>
  <si>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</si>
  <si>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</si>
  <si>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</si>
  <si>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</si>
  <si>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</si>
  <si>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</si>
  <si>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</si>
  <si>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</si>
  <si>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</si>
  <si>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</si>
  <si>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</si>
  <si>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</si>
  <si>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</si>
  <si>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</si>
  <si>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</si>
  <si>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</si>
  <si>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</si>
  <si>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</si>
  <si>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</si>
  <si>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</si>
  <si>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</si>
  <si>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</si>
  <si>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</si>
  <si>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</si>
  <si>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</si>
  <si>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</si>
  <si>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</si>
  <si>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</si>
  <si>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</si>
  <si>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</si>
  <si>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</si>
  <si>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</si>
  <si>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</si>
  <si>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</si>
  <si>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</si>
  <si>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</si>
  <si>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</si>
  <si>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</si>
  <si>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</si>
  <si>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</si>
  <si>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</si>
  <si>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</si>
  <si>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</si>
  <si>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</si>
  <si>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</si>
  <si>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</si>
  <si>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</si>
  <si>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</si>
  <si>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</si>
  <si>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</si>
  <si>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</si>
  <si>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</si>
  <si>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</si>
  <si>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</si>
  <si>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</si>
  <si>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</si>
  <si>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</si>
  <si>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</si>
  <si>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</si>
  <si>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</si>
  <si>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</si>
  <si>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</si>
  <si>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</si>
  <si>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</si>
  <si>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</si>
  <si>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</si>
  <si>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</si>
  <si>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</si>
  <si>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</si>
  <si>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</si>
  <si>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</si>
  <si>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</si>
  <si>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</si>
  <si>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</si>
  <si>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</si>
  <si>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</si>
  <si>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</si>
  <si>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</si>
  <si>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</si>
  <si>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</si>
  <si>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</si>
  <si>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</si>
  <si>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</si>
  <si>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</si>
  <si>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</si>
  <si>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</si>
  <si>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</si>
  <si>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</si>
  <si>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</si>
  <si>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</si>
  <si>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</si>
  <si>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</si>
  <si>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</si>
  <si>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</si>
  <si>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</si>
  <si>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</si>
  <si>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</si>
  <si>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</si>
  <si>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</si>
  <si>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</si>
  <si>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</si>
  <si>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</si>
  <si>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</si>
  <si>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</si>
  <si>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</si>
  <si>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</si>
  <si>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</si>
  <si>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</si>
  <si>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</si>
  <si>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</si>
  <si>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</si>
  <si>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</si>
  <si>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</si>
  <si>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</si>
  <si>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</si>
  <si>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</si>
  <si>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</si>
  <si>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</si>
  <si>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</si>
  <si>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</si>
  <si>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</si>
  <si>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</si>
  <si>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</si>
  <si>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</si>
  <si>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</si>
  <si>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</si>
  <si>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</si>
  <si>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</si>
  <si>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</si>
  <si>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</si>
  <si>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</si>
  <si>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</si>
  <si>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</si>
  <si>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</si>
  <si>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</si>
  <si>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</si>
  <si>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</si>
  <si>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</si>
  <si>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</si>
  <si>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</si>
  <si>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</si>
  <si>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</si>
  <si>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</si>
  <si>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</si>
  <si>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</si>
  <si>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</si>
  <si>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</si>
  <si>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</si>
  <si>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</si>
  <si>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</si>
  <si>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</si>
  <si>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</si>
  <si>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</si>
  <si>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</si>
  <si>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</si>
  <si>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</si>
  <si>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</si>
  <si>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</si>
  <si>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</si>
  <si>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</si>
  <si>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</si>
  <si>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</si>
  <si>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</si>
  <si>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</si>
  <si>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</si>
  <si>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</si>
  <si>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</si>
  <si>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</si>
  <si>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</si>
  <si>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</si>
  <si>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</si>
  <si>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</si>
  <si>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</si>
  <si>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</si>
  <si>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</si>
  <si>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</si>
  <si>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</si>
  <si>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</si>
  <si>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</si>
  <si>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</si>
  <si>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</si>
  <si>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</si>
  <si>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</si>
  <si>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</si>
  <si>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</si>
  <si>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</si>
  <si>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</si>
  <si>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</si>
  <si>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</si>
  <si>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</si>
  <si>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</si>
  <si>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</si>
  <si>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</si>
  <si>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</si>
  <si>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</si>
  <si>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</si>
  <si>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</si>
  <si>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</si>
  <si>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</si>
  <si>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</si>
  <si>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</si>
  <si>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</si>
  <si>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</si>
  <si>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</si>
  <si>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</si>
  <si>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</si>
  <si>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</si>
  <si>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</si>
  <si>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</si>
  <si>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</si>
  <si>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</si>
  <si>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</si>
  <si>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</si>
  <si>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</si>
  <si>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</si>
  <si>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</si>
  <si>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</si>
  <si>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</si>
  <si>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</si>
  <si>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</si>
  <si>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</si>
  <si>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</si>
  <si>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</si>
  <si>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</si>
  <si>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</si>
  <si>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</si>
  <si>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</si>
  <si>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</si>
  <si>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</si>
  <si>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</si>
  <si>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</si>
  <si>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</si>
  <si>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</si>
  <si>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</si>
  <si>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</si>
  <si>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</si>
  <si>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</si>
  <si>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</si>
  <si>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</si>
  <si>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</si>
  <si>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</si>
  <si>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</si>
  <si>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</si>
  <si>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</si>
  <si>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</si>
  <si>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</si>
  <si>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</si>
  <si>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</si>
  <si>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</si>
  <si>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</si>
  <si>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</si>
  <si>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</si>
  <si>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</si>
  <si>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</si>
  <si>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</si>
  <si>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</si>
  <si>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</si>
  <si>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</si>
  <si>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</si>
  <si>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</si>
  <si>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</si>
  <si>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</si>
  <si>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</si>
  <si>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</si>
  <si>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</si>
  <si>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</si>
  <si>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</si>
  <si>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</si>
  <si>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</si>
  <si>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</si>
  <si>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</si>
  <si>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</si>
  <si>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</si>
  <si>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</si>
  <si>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</si>
  <si>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</si>
  <si>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</si>
  <si>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</si>
  <si>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</si>
  <si>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</si>
  <si>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</si>
  <si>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</si>
  <si>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</si>
  <si>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</si>
  <si>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</si>
  <si>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</si>
  <si>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</si>
  <si>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</si>
  <si>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</si>
  <si>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</si>
  <si>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</si>
  <si>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</si>
  <si>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</si>
  <si>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</si>
  <si>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</si>
  <si>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</si>
  <si>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</si>
  <si>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</si>
  <si>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</si>
  <si>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</si>
  <si>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</si>
  <si>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</si>
  <si>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</si>
  <si>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</si>
  <si>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</si>
  <si>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</si>
  <si>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</si>
  <si>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</si>
  <si>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</si>
  <si>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</si>
  <si>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</si>
  <si>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</si>
  <si>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</si>
  <si>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</si>
  <si>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</si>
  <si>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</si>
  <si>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</si>
  <si>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</si>
  <si>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</si>
  <si>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</si>
  <si>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</si>
  <si>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</si>
  <si>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</si>
  <si>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</si>
  <si>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</si>
  <si>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</si>
  <si>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</si>
  <si>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</si>
  <si>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</si>
  <si>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</si>
  <si>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</si>
  <si>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</si>
  <si>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</si>
  <si>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</si>
  <si>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</si>
  <si>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</si>
  <si>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</si>
  <si>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</si>
  <si>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</si>
  <si>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</si>
  <si>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</si>
  <si>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</si>
  <si>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</si>
  <si>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</si>
  <si>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</si>
  <si>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</si>
  <si>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</si>
  <si>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</si>
  <si>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</si>
  <si>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</si>
  <si>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</si>
  <si>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</si>
  <si>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</si>
  <si>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</si>
  <si>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</si>
  <si>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</si>
  <si>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</si>
  <si>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</si>
  <si>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</si>
  <si>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</si>
  <si>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</si>
  <si>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</si>
  <si>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</si>
  <si>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</si>
  <si>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</si>
  <si>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</si>
  <si>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</si>
  <si>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</si>
  <si>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</si>
  <si>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</si>
  <si>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</si>
  <si>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</si>
  <si>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</si>
  <si>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</si>
  <si>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</si>
  <si>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</si>
  <si>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</si>
  <si>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</si>
  <si>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</si>
  <si>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</si>
  <si>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</si>
  <si>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</si>
  <si>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</si>
  <si>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</si>
  <si>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</si>
  <si>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</si>
  <si>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</si>
  <si>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</si>
  <si>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</si>
  <si>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</si>
  <si>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</si>
  <si>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</si>
  <si>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</si>
  <si>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</si>
  <si>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</si>
  <si>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</si>
  <si>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</si>
  <si>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</si>
  <si>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</si>
  <si>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</si>
  <si>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</si>
  <si>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</si>
  <si>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</si>
  <si>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</si>
  <si>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</si>
  <si>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</si>
  <si>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</si>
  <si>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</si>
  <si>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</si>
  <si>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</si>
  <si>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</si>
  <si>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</si>
  <si>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</si>
  <si>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</si>
  <si>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</si>
  <si>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</si>
  <si>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</si>
  <si>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</si>
  <si>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</si>
  <si>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</si>
  <si>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</si>
  <si>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</si>
  <si>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</si>
  <si>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</si>
  <si>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</si>
  <si>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</si>
  <si>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</si>
  <si>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</si>
  <si>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</si>
  <si>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</si>
  <si>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</si>
  <si>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</si>
  <si>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</si>
  <si>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</si>
  <si>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</si>
  <si>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</si>
  <si>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</si>
  <si>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</si>
  <si>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</si>
  <si>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</si>
  <si>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</si>
  <si>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</si>
  <si>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</si>
  <si>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</si>
  <si>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</si>
  <si>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</si>
  <si>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</si>
  <si>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</si>
  <si>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</si>
  <si>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</si>
  <si>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</si>
  <si>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</si>
  <si>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</si>
  <si>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</si>
  <si>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</si>
  <si>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</si>
  <si>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</si>
  <si>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</si>
  <si>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</si>
  <si>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</si>
  <si>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</si>
  <si>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</si>
  <si>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</si>
  <si>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</si>
  <si>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</si>
  <si>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</si>
  <si>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</si>
  <si>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</si>
  <si>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</si>
  <si>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</si>
  <si>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</si>
  <si>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</si>
  <si>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</si>
  <si>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</si>
  <si>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</si>
  <si>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</si>
  <si>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</si>
  <si>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</si>
  <si>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</si>
  <si>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</si>
  <si>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</si>
  <si>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</si>
  <si>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</si>
  <si>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</si>
  <si>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</si>
  <si>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</si>
  <si>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</si>
  <si>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</si>
  <si>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</si>
  <si>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</si>
  <si>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</si>
  <si>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</si>
  <si>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</si>
  <si>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</si>
  <si>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</si>
  <si>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</si>
  <si>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</si>
  <si>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</si>
  <si>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</si>
  <si>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</si>
  <si>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</si>
  <si>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</si>
  <si>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</si>
  <si>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</si>
  <si>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</si>
  <si>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</si>
  <si>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</si>
  <si>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</si>
  <si>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</si>
  <si>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</si>
  <si>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</si>
  <si>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</si>
  <si>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</si>
  <si>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</si>
  <si>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</si>
  <si>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</si>
  <si>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</si>
  <si>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</si>
  <si>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</si>
  <si>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</si>
  <si>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</si>
  <si>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</si>
  <si>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</si>
  <si>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</si>
  <si>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</si>
  <si>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</si>
  <si>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</si>
  <si>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</si>
  <si>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</si>
  <si>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</si>
  <si>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</si>
  <si>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</si>
  <si>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</si>
  <si>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</si>
  <si>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</si>
  <si>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</si>
  <si>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</si>
  <si>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</si>
  <si>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</si>
  <si>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</si>
  <si>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</si>
  <si>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</si>
  <si>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</si>
  <si>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</si>
  <si>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</si>
  <si>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</si>
  <si>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</si>
  <si>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</si>
  <si>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</si>
  <si>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</si>
  <si>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</si>
  <si>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</si>
  <si>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</si>
  <si>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</si>
  <si>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</si>
  <si>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</si>
  <si>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</si>
  <si>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</si>
  <si>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</si>
  <si>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</si>
  <si>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</si>
  <si>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</si>
  <si>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</si>
  <si>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</si>
  <si>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</si>
  <si>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</si>
  <si>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</si>
  <si>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</si>
  <si>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</si>
  <si>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</si>
  <si>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</si>
  <si>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</si>
  <si>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</si>
  <si>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</si>
  <si>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</si>
  <si>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</si>
  <si>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</si>
  <si>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</si>
  <si>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</si>
  <si>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</si>
  <si>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</si>
  <si>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</si>
  <si>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</si>
  <si>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</si>
  <si>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</si>
  <si>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</si>
  <si>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</si>
  <si>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</si>
  <si>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</si>
  <si>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</si>
  <si>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</si>
  <si>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</si>
  <si>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</si>
  <si>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</si>
  <si>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</si>
  <si>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</si>
  <si>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</si>
  <si>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</si>
  <si>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</si>
  <si>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</si>
  <si>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</si>
  <si>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</si>
  <si>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</si>
  <si>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</si>
  <si>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</si>
  <si>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</si>
  <si>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</si>
  <si>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</si>
  <si>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</si>
  <si>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</si>
  <si>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</si>
  <si>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</si>
  <si>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</si>
  <si>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</si>
  <si>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</si>
  <si>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</si>
  <si>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</si>
  <si>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</si>
  <si>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</si>
  <si>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</si>
  <si>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</si>
  <si>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</si>
  <si>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</si>
  <si>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</si>
  <si>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</si>
  <si>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</si>
  <si>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</si>
  <si>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</si>
  <si>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</si>
  <si>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</si>
  <si>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</si>
  <si>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</si>
  <si>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</si>
  <si>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</si>
  <si>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</si>
  <si>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</si>
  <si>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</si>
  <si>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</si>
  <si>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</si>
  <si>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</si>
  <si>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</si>
  <si>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</si>
  <si>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</si>
  <si>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</si>
  <si>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</si>
  <si>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</si>
  <si>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</si>
  <si>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</si>
  <si>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</si>
  <si>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</si>
  <si>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</si>
  <si>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</si>
  <si>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</si>
  <si>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</si>
  <si>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</si>
  <si>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</si>
  <si>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</si>
  <si>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</si>
  <si>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</si>
  <si>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</si>
  <si>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</si>
  <si>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</si>
  <si>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</si>
  <si>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</si>
  <si>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</si>
  <si>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</si>
  <si>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</si>
  <si>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</si>
  <si>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</si>
  <si>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</si>
  <si>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</si>
  <si>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</si>
  <si>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</si>
  <si>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</si>
  <si>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</si>
  <si>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</si>
  <si>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</si>
  <si>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</si>
  <si>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</si>
  <si>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</si>
  <si>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</si>
  <si>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</si>
  <si>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</si>
  <si>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</si>
  <si>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</si>
  <si>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</si>
  <si>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</si>
  <si>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</si>
  <si>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</si>
  <si>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</si>
  <si>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</si>
  <si>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</si>
  <si>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</si>
  <si>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</si>
  <si>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</si>
  <si>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</si>
  <si>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</si>
  <si>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</si>
  <si>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</si>
  <si>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</si>
  <si>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</si>
  <si>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</si>
  <si>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</si>
  <si>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</si>
  <si>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</si>
  <si>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</si>
  <si>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</si>
  <si>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</si>
  <si>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</si>
  <si>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</si>
  <si>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</si>
  <si>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</si>
  <si>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</si>
  <si>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</si>
  <si>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</si>
  <si>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</si>
  <si>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</si>
  <si>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</si>
  <si>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</si>
  <si>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</si>
  <si>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</si>
  <si>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</si>
  <si>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</si>
  <si>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</si>
  <si>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</si>
  <si>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</si>
  <si>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</si>
  <si>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</si>
  <si>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</si>
  <si>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</si>
  <si>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</si>
  <si>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</si>
  <si>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</si>
  <si>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</si>
  <si>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</si>
  <si>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</si>
  <si>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</si>
  <si>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</si>
  <si>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</si>
  <si>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</si>
  <si>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</si>
  <si>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</si>
  <si>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</si>
  <si>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</si>
  <si>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</si>
  <si>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</si>
  <si>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</si>
  <si>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</si>
  <si>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</si>
  <si>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</si>
  <si>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</si>
  <si>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</si>
  <si>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</si>
  <si>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</si>
  <si>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</si>
  <si>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</si>
  <si>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</si>
  <si>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</si>
  <si>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</si>
  <si>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</si>
  <si>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</si>
  <si>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</si>
  <si>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</si>
  <si>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</si>
  <si>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</si>
  <si>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</si>
  <si>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</si>
  <si>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</si>
  <si>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</si>
  <si>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</si>
  <si>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</si>
  <si>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</si>
  <si>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</si>
  <si>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</si>
  <si>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</si>
  <si>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</si>
  <si>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</si>
  <si>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</si>
  <si>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</si>
  <si>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</si>
  <si>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</si>
  <si>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</si>
  <si>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</si>
  <si>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</si>
  <si>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</si>
  <si>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</si>
  <si>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</si>
  <si>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</si>
  <si>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</si>
  <si>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</si>
  <si>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</si>
  <si>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</si>
  <si>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</si>
  <si>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</si>
  <si>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</si>
  <si>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</si>
  <si>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</si>
  <si>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</si>
  <si>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</si>
  <si>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</si>
  <si>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</si>
  <si>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</si>
  <si>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</si>
  <si>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</si>
  <si>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</si>
  <si>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</si>
  <si>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</si>
  <si>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</si>
  <si>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</si>
  <si>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</si>
  <si>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</si>
  <si>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</si>
  <si>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</si>
  <si>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</si>
  <si>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</si>
  <si>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</si>
  <si>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</si>
  <si>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</si>
  <si>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</si>
  <si>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</si>
  <si>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</si>
  <si>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</si>
  <si>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</si>
  <si>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</si>
  <si>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</si>
  <si>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</si>
  <si>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</si>
  <si>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</si>
  <si>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</si>
  <si>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</si>
  <si>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</si>
  <si>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</si>
  <si>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</si>
  <si>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</si>
  <si>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</si>
  <si>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</si>
  <si>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</si>
  <si>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</si>
  <si>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</si>
  <si>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</si>
  <si>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</si>
  <si>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</si>
  <si>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</si>
  <si>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</si>
  <si>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</si>
  <si>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</si>
  <si>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</si>
  <si>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</si>
  <si>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</si>
  <si>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</si>
  <si>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</si>
  <si>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</si>
  <si>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</si>
  <si>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</si>
  <si>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</si>
  <si>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</si>
  <si>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</si>
  <si>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</si>
  <si>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</si>
  <si>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</si>
  <si>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</si>
  <si>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</si>
  <si>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</si>
  <si>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</si>
  <si>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</si>
  <si>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</si>
  <si>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</si>
  <si>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</si>
  <si>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</si>
  <si>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</si>
  <si>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</si>
  <si>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</si>
  <si>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</si>
  <si>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</si>
  <si>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</si>
  <si>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</si>
  <si>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</si>
  <si>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</si>
  <si>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</si>
  <si>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</si>
  <si>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</si>
  <si>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</si>
  <si>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</si>
  <si>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</si>
  <si>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</si>
  <si>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</si>
  <si>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</si>
  <si>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</si>
  <si>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</si>
  <si>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</si>
  <si>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</si>
  <si>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</si>
  <si>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</si>
  <si>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</si>
  <si>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</si>
  <si>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</si>
  <si>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</si>
  <si>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</si>
  <si>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</si>
  <si>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</si>
  <si>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</si>
  <si>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</si>
  <si>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</si>
  <si>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</si>
  <si>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</si>
  <si>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</si>
  <si>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</si>
  <si>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</si>
  <si>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</si>
  <si>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</si>
  <si>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</si>
  <si>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</si>
  <si>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</si>
  <si>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</si>
  <si>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</si>
  <si>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</si>
  <si>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</si>
  <si>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</si>
  <si>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</si>
  <si>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</si>
  <si>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</si>
  <si>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</si>
  <si>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</si>
  <si>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</si>
  <si>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</si>
  <si>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</si>
  <si>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</si>
  <si>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</si>
  <si>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</si>
  <si>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</si>
  <si>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</si>
  <si>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</si>
  <si>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</si>
  <si>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</si>
  <si>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</si>
  <si>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</si>
  <si>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</si>
  <si>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</si>
  <si>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</si>
  <si>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</si>
  <si>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</si>
  <si>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</si>
  <si>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</si>
  <si>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</si>
  <si>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</si>
  <si>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</si>
  <si>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</si>
  <si>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</si>
  <si>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</si>
  <si>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</si>
  <si>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</si>
  <si>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</si>
  <si>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</si>
  <si>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</si>
  <si>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</si>
  <si>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</si>
  <si>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</si>
  <si>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</si>
  <si>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</si>
  <si>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</si>
  <si>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</si>
  <si>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</si>
  <si>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</si>
  <si>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</si>
  <si>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</si>
  <si>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</si>
  <si>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</si>
  <si>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</si>
  <si>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</si>
  <si>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</si>
  <si>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</si>
  <si>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</si>
  <si>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</si>
  <si>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</si>
  <si>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</si>
  <si>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</si>
  <si>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</si>
  <si>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</si>
  <si>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</si>
  <si>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</si>
  <si>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</si>
  <si>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</si>
  <si>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</si>
  <si>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</si>
  <si>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</si>
  <si>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</si>
  <si>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</si>
  <si>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</si>
  <si>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</si>
  <si>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</si>
  <si>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</si>
  <si>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</si>
  <si>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</si>
  <si>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</si>
  <si>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</si>
  <si>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</si>
  <si>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</si>
  <si>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</si>
  <si>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</si>
  <si>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</si>
  <si>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</si>
  <si>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</si>
  <si>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</si>
  <si>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</si>
  <si>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</si>
  <si>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</si>
  <si>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</si>
  <si>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</si>
  <si>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</si>
  <si>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</si>
  <si>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</si>
  <si>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</si>
  <si>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</si>
  <si>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</si>
  <si>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</si>
  <si>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</si>
  <si>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</si>
  <si>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</si>
  <si>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</si>
  <si>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</si>
  <si>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</si>
  <si>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</si>
  <si>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</si>
  <si>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</si>
  <si>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</si>
  <si>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</si>
  <si>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</si>
  <si>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</si>
  <si>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</si>
  <si>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</si>
  <si>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</si>
  <si>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</si>
  <si>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</si>
  <si>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</si>
  <si>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</si>
  <si>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</si>
  <si>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</si>
  <si>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</si>
  <si>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</si>
  <si>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</si>
  <si>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</si>
  <si>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</si>
  <si>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</si>
  <si>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</si>
  <si>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</si>
  <si>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</si>
  <si>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</si>
  <si>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</si>
  <si>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</si>
  <si>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</si>
  <si>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</si>
  <si>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</si>
  <si>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</si>
  <si>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</si>
  <si>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</si>
  <si>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</si>
  <si>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</si>
  <si>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</si>
  <si>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</si>
  <si>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</si>
  <si>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</si>
  <si>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</si>
  <si>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</si>
  <si>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</si>
  <si>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</si>
  <si>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</si>
  <si>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</si>
  <si>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</si>
  <si>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</si>
  <si>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</si>
  <si>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</si>
  <si>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</si>
  <si>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</si>
  <si>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</si>
  <si>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</si>
  <si>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</si>
  <si>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</si>
  <si>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</si>
  <si>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</si>
  <si>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</si>
  <si>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</si>
  <si>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</si>
  <si>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</si>
  <si>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</si>
  <si>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</si>
  <si>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</si>
  <si>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</si>
  <si>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</si>
  <si>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</si>
  <si>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</si>
  <si>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</si>
  <si>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</si>
  <si>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</si>
  <si>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</si>
  <si>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</si>
  <si>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</si>
  <si>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</si>
  <si>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</si>
  <si>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</si>
  <si>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</si>
  <si>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</si>
  <si>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</si>
  <si>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</si>
  <si>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</si>
  <si>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</si>
  <si>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</si>
  <si>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</si>
  <si>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</si>
  <si>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</si>
  <si>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</si>
  <si>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</si>
  <si>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</si>
  <si>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</si>
  <si>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</si>
  <si>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</si>
  <si>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</si>
  <si>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</si>
  <si>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</si>
  <si>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</si>
  <si>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</si>
  <si>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</si>
  <si>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</si>
  <si>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</si>
  <si>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</si>
  <si>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</si>
  <si>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</si>
  <si>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</si>
  <si>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</si>
  <si>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</si>
  <si>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</si>
  <si>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</si>
  <si>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</si>
  <si>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</si>
  <si>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</si>
  <si>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</si>
  <si>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</si>
  <si>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</si>
  <si>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</si>
  <si>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</si>
  <si>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</si>
  <si>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</si>
  <si>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</si>
  <si>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</si>
  <si>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</si>
  <si>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</si>
  <si>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</si>
  <si>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</si>
  <si>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</si>
  <si>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</si>
  <si>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</si>
  <si>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</si>
  <si>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</si>
  <si>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</si>
  <si>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</si>
  <si>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</si>
  <si>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</si>
  <si>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</si>
  <si>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</si>
  <si>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</si>
  <si>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</si>
  <si>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</si>
  <si>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</si>
  <si>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</si>
  <si>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</si>
  <si>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</si>
  <si>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</si>
  <si>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</si>
  <si>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</si>
  <si>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</si>
  <si>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</si>
  <si>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</si>
  <si>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</si>
  <si>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</si>
  <si>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</si>
  <si>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</si>
  <si>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</si>
  <si>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</si>
  <si>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</si>
  <si>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</si>
  <si>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</si>
  <si>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</si>
  <si>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</si>
  <si>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</si>
  <si>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</si>
  <si>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</si>
  <si>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</si>
  <si>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</si>
  <si>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</si>
  <si>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</si>
  <si>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</si>
  <si>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</si>
  <si>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</si>
  <si>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</si>
  <si>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</si>
  <si>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</si>
  <si>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</si>
  <si>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</si>
  <si>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</si>
  <si>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</si>
  <si>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</si>
  <si>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</si>
  <si>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</si>
  <si>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</si>
  <si>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</si>
  <si>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</si>
  <si>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</si>
  <si>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</si>
  <si>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</si>
  <si>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</si>
  <si>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</si>
  <si>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</si>
  <si>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</si>
  <si>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</si>
  <si>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</si>
  <si>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</si>
  <si>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</si>
  <si>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</si>
  <si>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</si>
  <si>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</si>
  <si>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</si>
  <si>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</si>
  <si>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</si>
  <si>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</si>
  <si>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</si>
  <si>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</si>
  <si>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</si>
  <si>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</si>
  <si>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</si>
  <si>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</si>
  <si>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</si>
  <si>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</si>
  <si>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</si>
  <si>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</si>
  <si>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</si>
  <si>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</si>
  <si>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</si>
  <si>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</si>
  <si>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</si>
  <si>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</si>
  <si>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</si>
  <si>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</si>
  <si>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</si>
  <si>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</si>
  <si>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</si>
  <si>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</si>
  <si>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</si>
  <si>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</si>
  <si>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</si>
  <si>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</si>
  <si>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</si>
  <si>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</si>
  <si>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</si>
  <si>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</si>
  <si>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</si>
  <si>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</si>
  <si>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</si>
  <si>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</si>
  <si>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</si>
  <si>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</si>
  <si>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</si>
  <si>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</si>
  <si>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</si>
  <si>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</si>
  <si>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</si>
  <si>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</si>
  <si>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</si>
  <si>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</si>
  <si>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</si>
  <si>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</si>
  <si>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</si>
  <si>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</si>
  <si>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</si>
  <si>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</si>
  <si>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</si>
  <si>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</si>
  <si>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</si>
  <si>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</si>
  <si>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</si>
  <si>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</si>
  <si>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</si>
  <si>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</si>
  <si>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</si>
  <si>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</si>
  <si>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</si>
  <si>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</si>
  <si>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</si>
  <si>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</si>
  <si>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</si>
  <si>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</si>
  <si>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</si>
  <si>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</si>
  <si>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</si>
  <si>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</si>
  <si>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</si>
  <si>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</si>
  <si>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</si>
  <si>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</si>
  <si>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</si>
  <si>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</si>
  <si>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</si>
  <si>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</si>
  <si>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</si>
  <si>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</si>
  <si>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</si>
  <si>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</si>
  <si>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</si>
  <si>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</si>
  <si>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</si>
  <si>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</si>
  <si>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</si>
  <si>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</si>
  <si>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</si>
  <si>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</si>
  <si>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</si>
  <si>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</si>
  <si>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</si>
  <si>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</si>
  <si>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</si>
  <si>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</si>
  <si>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</si>
  <si>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</si>
  <si>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</si>
  <si>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</si>
  <si>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</si>
  <si>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</si>
  <si>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</si>
  <si>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</si>
  <si>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</si>
  <si>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</si>
  <si>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</si>
  <si>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</si>
  <si>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</si>
  <si>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</si>
  <si>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</si>
  <si>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</si>
  <si>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</si>
  <si>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</si>
  <si>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</si>
  <si>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</si>
  <si>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</si>
  <si>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</si>
  <si>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</si>
  <si>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</si>
  <si>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</si>
  <si>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</si>
  <si>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</si>
  <si>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</si>
  <si>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</si>
  <si>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</si>
  <si>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</si>
  <si>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</si>
  <si>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</si>
  <si>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</si>
  <si>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</si>
  <si>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</si>
  <si>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</si>
  <si>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</si>
  <si>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</si>
  <si>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</si>
  <si>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</si>
  <si>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</si>
  <si>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</si>
  <si>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</si>
  <si>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</si>
  <si>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</si>
  <si>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</si>
  <si>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</si>
  <si>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</si>
  <si>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</si>
  <si>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</si>
  <si>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</si>
  <si>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</si>
  <si>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</si>
  <si>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</si>
  <si>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</si>
  <si>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</si>
  <si>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</si>
  <si>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</si>
  <si>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</si>
  <si>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</si>
  <si>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</si>
  <si>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</si>
  <si>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</si>
  <si>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</si>
  <si>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</si>
  <si>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</si>
  <si>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</si>
  <si>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</si>
  <si>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</si>
  <si>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</si>
  <si>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</si>
  <si>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</si>
  <si>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</si>
  <si>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</si>
  <si>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</si>
  <si>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</si>
  <si>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</si>
  <si>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</si>
  <si>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</si>
  <si>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</si>
  <si>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</si>
  <si>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</si>
  <si>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</si>
  <si>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</si>
  <si>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</si>
  <si>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</si>
  <si>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</si>
  <si>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</si>
  <si>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</si>
  <si>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</si>
  <si>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</si>
  <si>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</si>
  <si>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</si>
  <si>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</si>
  <si>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</si>
  <si>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</si>
  <si>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</si>
  <si>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</si>
  <si>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</si>
  <si>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</si>
  <si>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</si>
  <si>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</si>
  <si>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</si>
  <si>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</si>
  <si>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</si>
  <si>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</si>
  <si>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</si>
  <si>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</si>
  <si>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</si>
  <si>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</si>
  <si>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</si>
  <si>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</si>
  <si>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</si>
  <si>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</si>
  <si>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</si>
  <si>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</si>
  <si>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</si>
  <si>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</si>
  <si>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</si>
  <si>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</si>
  <si>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</si>
  <si>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</si>
  <si>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</si>
  <si>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</si>
  <si>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</si>
  <si>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</si>
  <si>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</si>
  <si>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</si>
  <si>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</si>
  <si>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</si>
  <si>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</si>
  <si>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</si>
  <si>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</si>
  <si>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</si>
  <si>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</si>
  <si>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</si>
  <si>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</si>
  <si>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</si>
  <si>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</si>
  <si>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</si>
  <si>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</si>
  <si>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</si>
  <si>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</si>
  <si>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</si>
  <si>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</si>
  <si>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</si>
  <si>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</si>
  <si>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</si>
  <si>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</si>
  <si>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</si>
  <si>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</si>
  <si>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</si>
  <si>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</si>
  <si>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</si>
  <si>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</si>
  <si>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</si>
  <si>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</si>
  <si>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</si>
  <si>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</si>
  <si>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</si>
  <si>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</si>
  <si>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</si>
  <si>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</si>
  <si>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</si>
  <si>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</si>
  <si>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</si>
  <si>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</si>
  <si>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</si>
  <si>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</si>
  <si>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</si>
  <si>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</si>
  <si>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</si>
  <si>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</si>
  <si>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</si>
  <si>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</si>
  <si>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</si>
  <si>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</si>
  <si>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</si>
  <si>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</si>
  <si>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</si>
  <si>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</si>
  <si>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</si>
  <si>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</si>
  <si>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</si>
  <si>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</si>
  <si>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</si>
  <si>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</si>
  <si>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</si>
  <si>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</si>
  <si>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</si>
  <si>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</si>
  <si>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</si>
  <si>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</si>
  <si>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</si>
  <si>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</si>
  <si>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</si>
  <si>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</si>
  <si>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</si>
  <si>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</si>
  <si>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</si>
  <si>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</si>
  <si>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</si>
  <si>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</si>
  <si>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</si>
  <si>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</si>
  <si>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</si>
  <si>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</si>
  <si>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</si>
  <si>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</si>
  <si>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</si>
  <si>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</si>
  <si>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</si>
  <si>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</si>
  <si>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</si>
  <si>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</si>
  <si>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</si>
  <si>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</si>
  <si>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</si>
  <si>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</si>
  <si>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</si>
  <si>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</si>
  <si>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</si>
  <si>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</si>
  <si>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</si>
  <si>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</si>
  <si>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</si>
  <si>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</si>
  <si>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</si>
  <si>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</si>
  <si>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</si>
  <si>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</si>
  <si>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</si>
  <si>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</si>
  <si>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</si>
  <si>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</si>
  <si>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</si>
  <si>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</si>
  <si>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</si>
  <si>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</si>
  <si>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</si>
  <si>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</si>
  <si>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</si>
  <si>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</si>
  <si>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</si>
  <si>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</si>
  <si>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</si>
  <si>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</si>
  <si>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</si>
  <si>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</si>
  <si>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</si>
  <si>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</si>
  <si>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</si>
  <si>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</si>
  <si>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</si>
  <si>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</si>
  <si>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</si>
  <si>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</si>
  <si>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</si>
  <si>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</si>
  <si>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</si>
  <si>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</si>
  <si>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</si>
  <si>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</si>
  <si>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</si>
  <si>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</si>
  <si>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</si>
  <si>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</si>
  <si>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</si>
  <si>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</si>
  <si>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</si>
  <si>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</si>
  <si>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</si>
  <si>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</si>
  <si>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</si>
  <si>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</si>
  <si>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</si>
  <si>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</si>
  <si>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</si>
  <si>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</si>
  <si>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</si>
  <si>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</si>
  <si>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</si>
  <si>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</si>
  <si>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</si>
  <si>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</si>
  <si>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</si>
  <si>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</si>
  <si>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</si>
  <si>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</si>
  <si>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</si>
  <si>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</si>
  <si>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</si>
  <si>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</si>
  <si>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</si>
  <si>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</si>
  <si>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</si>
  <si>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</si>
  <si>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</si>
  <si>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</si>
  <si>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</si>
  <si>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</si>
  <si>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</si>
  <si>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</si>
  <si>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</si>
  <si>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</si>
  <si>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</si>
  <si>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</si>
  <si>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</si>
  <si>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</si>
  <si>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</si>
  <si>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</si>
  <si>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</si>
  <si>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</si>
  <si>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</si>
  <si>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</si>
  <si>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</si>
  <si>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</si>
  <si>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</si>
  <si>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</si>
  <si>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</si>
  <si>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</si>
  <si>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</si>
  <si>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</si>
  <si>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</si>
  <si>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</si>
  <si>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</si>
  <si>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</si>
  <si>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</si>
  <si>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</si>
  <si>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</si>
  <si>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</si>
  <si>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</si>
  <si>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</si>
  <si>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</si>
  <si>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</si>
  <si>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</si>
  <si>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</si>
  <si>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</si>
  <si>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</si>
  <si>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</si>
  <si>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</si>
  <si>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</si>
  <si>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</si>
  <si>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</si>
  <si>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</si>
  <si>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</si>
  <si>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</si>
  <si>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</si>
  <si>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</si>
  <si>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</si>
  <si>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</si>
  <si>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</si>
  <si>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</si>
  <si>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</si>
  <si>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</si>
  <si>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</si>
  <si>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</si>
  <si>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</si>
  <si>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</si>
  <si>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</si>
  <si>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</si>
  <si>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</si>
  <si>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</si>
  <si>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</si>
  <si>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</si>
  <si>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</si>
  <si>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</si>
  <si>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</si>
  <si>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</si>
  <si>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</si>
  <si>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</si>
  <si>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</si>
  <si>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</si>
  <si>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</si>
  <si>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</si>
  <si>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</si>
  <si>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</si>
  <si>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</si>
  <si>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</si>
  <si>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</si>
  <si>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</si>
  <si>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</si>
  <si>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</si>
  <si>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</si>
  <si>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</si>
  <si>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</si>
  <si>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</si>
  <si>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</si>
  <si>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</si>
  <si>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</si>
  <si>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</si>
  <si>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</si>
  <si>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</si>
  <si>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</si>
  <si>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</si>
  <si>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</si>
  <si>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</si>
  <si>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</si>
  <si>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</si>
  <si>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</si>
  <si>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</si>
  <si>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</si>
  <si>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</si>
  <si>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</si>
  <si>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</si>
  <si>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</si>
  <si>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</si>
  <si>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</si>
  <si>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</si>
  <si>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</si>
  <si>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</si>
  <si>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</si>
  <si>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</si>
  <si>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</si>
  <si>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</si>
  <si>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</si>
  <si>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</si>
  <si>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</si>
  <si>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</si>
  <si>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</si>
  <si>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</si>
  <si>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</si>
  <si>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</si>
  <si>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</si>
  <si>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</si>
  <si>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</si>
  <si>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</si>
  <si>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</si>
  <si>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</si>
  <si>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</si>
  <si>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</si>
  <si>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</si>
  <si>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</si>
  <si>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</si>
  <si>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</si>
  <si>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</si>
  <si>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</si>
  <si>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</si>
  <si>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</si>
  <si>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</si>
  <si>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</si>
  <si>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</si>
  <si>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</si>
  <si>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</si>
  <si>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</si>
  <si>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</si>
  <si>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</si>
  <si>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</si>
  <si>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</si>
  <si>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</si>
  <si>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</si>
  <si>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</si>
  <si>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</si>
  <si>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</si>
  <si>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</si>
  <si>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</si>
  <si>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</si>
  <si>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</si>
  <si>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</si>
  <si>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</si>
  <si>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</si>
  <si>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</si>
  <si>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</si>
  <si>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</si>
  <si>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</si>
  <si>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</si>
  <si>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</si>
  <si>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</si>
  <si>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</si>
  <si>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</si>
  <si>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</si>
  <si>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</si>
  <si>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</si>
  <si>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</si>
  <si>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</si>
  <si>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</si>
  <si>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</si>
  <si>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</si>
  <si>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</si>
  <si>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</si>
  <si>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</si>
  <si>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</si>
  <si>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</si>
  <si>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</si>
  <si>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</si>
  <si>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</si>
  <si>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</si>
  <si>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</si>
  <si>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</si>
  <si>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</si>
  <si>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</si>
  <si>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</si>
  <si>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</si>
  <si>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</si>
  <si>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</si>
  <si>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</si>
  <si>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</si>
  <si>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</si>
  <si>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</si>
  <si>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</si>
  <si>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</si>
  <si>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</si>
  <si>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</si>
  <si>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</si>
  <si>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</si>
  <si>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</si>
  <si>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</si>
  <si>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</si>
  <si>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</si>
  <si>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</si>
  <si>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</si>
  <si>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</si>
  <si>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</si>
  <si>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</si>
  <si>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</si>
  <si>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</si>
  <si>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</si>
  <si>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</si>
  <si>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</si>
  <si>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</si>
  <si>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</si>
  <si>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</si>
  <si>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</si>
  <si>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</si>
  <si>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</si>
  <si>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</si>
  <si>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</si>
  <si>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</si>
  <si>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</si>
  <si>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</si>
  <si>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</si>
  <si>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</si>
  <si>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</si>
  <si>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</si>
  <si>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</si>
  <si>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</si>
  <si>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</si>
  <si>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</si>
  <si>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</si>
  <si>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</si>
  <si>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</si>
  <si>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</si>
  <si>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</si>
  <si>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</si>
  <si>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</si>
  <si>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</si>
  <si>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</si>
  <si>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</si>
  <si>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</si>
  <si>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</si>
  <si>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</si>
  <si>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</si>
  <si>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</si>
  <si>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</si>
  <si>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</si>
  <si>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</si>
  <si>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</si>
  <si>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</si>
  <si>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</si>
  <si>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</si>
  <si>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</si>
  <si>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</si>
  <si>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</si>
  <si>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</si>
  <si>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</si>
  <si>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</si>
  <si>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</si>
  <si>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</si>
  <si>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</si>
  <si>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</si>
  <si>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</si>
  <si>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</si>
  <si>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</si>
  <si>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</si>
  <si>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</si>
  <si>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</si>
  <si>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</si>
  <si>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</si>
  <si>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</si>
  <si>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</si>
  <si>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</si>
  <si>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</si>
  <si>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</si>
  <si>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</si>
  <si>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</si>
  <si>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</si>
  <si>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</si>
  <si>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</si>
  <si>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</si>
  <si>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</si>
  <si>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</si>
  <si>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</si>
  <si>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</si>
  <si>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</si>
  <si>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</si>
  <si>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</si>
  <si>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</si>
  <si>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</si>
  <si>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</si>
  <si>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</si>
  <si>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</si>
  <si>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</si>
  <si>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</si>
  <si>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</si>
  <si>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</si>
  <si>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</si>
  <si>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</si>
  <si>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</si>
  <si>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</si>
  <si>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</si>
  <si>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</si>
  <si>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</si>
  <si>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</si>
  <si>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</si>
  <si>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</si>
  <si>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</si>
  <si>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</si>
  <si>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</si>
  <si>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</si>
  <si>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</si>
  <si>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</si>
  <si>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</si>
  <si>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</si>
  <si>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</si>
  <si>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</si>
  <si>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</si>
  <si>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</si>
  <si>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</si>
  <si>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</si>
  <si>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</si>
  <si>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</si>
  <si>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</si>
  <si>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</si>
  <si>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</si>
  <si>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</si>
  <si>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</si>
  <si>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</si>
  <si>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</si>
  <si>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</si>
  <si>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</si>
  <si>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</si>
  <si>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5030 Nesbit Ferry Lane</t>
  </si>
  <si>
    <t>Philip E. Searles</t>
  </si>
  <si>
    <t>Manager</t>
  </si>
  <si>
    <t>psearles@bjsfoundation.org</t>
  </si>
  <si>
    <t>www.bjsfoundation.org</t>
  </si>
  <si>
    <t>Affordable Equity Partners</t>
  </si>
  <si>
    <t>Brian Kimes</t>
  </si>
  <si>
    <t>Vice President</t>
  </si>
  <si>
    <t>206 Peach Way</t>
  </si>
  <si>
    <t>bkimes@jespartners.com</t>
  </si>
  <si>
    <t>Beverly J. Searles Foundation</t>
  </si>
  <si>
    <t>President</t>
  </si>
  <si>
    <t>4182 Westchester Trace NE</t>
  </si>
  <si>
    <t>Fairway Construction, Inc.</t>
  </si>
  <si>
    <t>Steven Hickey</t>
  </si>
  <si>
    <t>Director of Accounting and Operations</t>
  </si>
  <si>
    <t>Ryan Stevens</t>
  </si>
  <si>
    <t>Director of Operations</t>
  </si>
  <si>
    <t>3290 Northside Parkway, Suite 300</t>
  </si>
  <si>
    <t>Fairway Management, Inc.</t>
  </si>
  <si>
    <t>Alison Fossyl</t>
  </si>
  <si>
    <t>Partner</t>
  </si>
  <si>
    <t>Aprio, LLP</t>
  </si>
  <si>
    <t>Five Concourse Parkway Suite 1000</t>
  </si>
  <si>
    <t>www.aprio.com</t>
  </si>
  <si>
    <t>alison.fossyl@aprio.com</t>
  </si>
  <si>
    <t>Martin Riley Associates Architects, P.C.</t>
  </si>
  <si>
    <t>215 Church Street Suite 200</t>
  </si>
  <si>
    <t>www.martinriley.com</t>
  </si>
  <si>
    <t>Mike Riley</t>
  </si>
  <si>
    <t>mriley@martinriley.com</t>
  </si>
  <si>
    <t>rstevens@fairwaymanagement.com</t>
  </si>
  <si>
    <t>shickey@fairwayconstruction.net</t>
  </si>
  <si>
    <t>Richard D. Searles</t>
  </si>
  <si>
    <t>Executive Director</t>
  </si>
  <si>
    <t>ricksearles@crtrealty.com</t>
  </si>
  <si>
    <t>9% Credit Competitive Round only</t>
  </si>
  <si>
    <t>2018PA-048</t>
  </si>
  <si>
    <t>David Russell</t>
  </si>
  <si>
    <t>Director of Development</t>
  </si>
  <si>
    <t>dwrussell@gmail.com</t>
  </si>
  <si>
    <t>Myrtle Terraces Phase 2</t>
  </si>
  <si>
    <t>1326 Myrtle Street</t>
  </si>
  <si>
    <t>Yes - no Master Plan</t>
  </si>
  <si>
    <t>12-057</t>
  </si>
  <si>
    <t>Within City Limits</t>
  </si>
  <si>
    <t>23580-13-139-0008.00</t>
  </si>
  <si>
    <t>City of Gainesville</t>
  </si>
  <si>
    <t>www.gainesville.org</t>
  </si>
  <si>
    <t>Danny Dunagan</t>
  </si>
  <si>
    <t>300 Henry Ward Way</t>
  </si>
  <si>
    <t>ddunagan@gainesville.org</t>
  </si>
  <si>
    <t>3+ Story</t>
  </si>
  <si>
    <t>BJS Hamilton Mill</t>
  </si>
  <si>
    <t>Direct</t>
  </si>
  <si>
    <t>BJS Lovejoy Place, LP</t>
  </si>
  <si>
    <t>BJS Lovejoy General, LLC</t>
  </si>
  <si>
    <t>(404) 406-5219</t>
  </si>
  <si>
    <t>FWC is a JES Holdings Company, as is Affordable Equity Partners.</t>
  </si>
  <si>
    <t>For Profit</t>
  </si>
  <si>
    <t>Syndicator and Manager</t>
  </si>
  <si>
    <t>FWM is a JES Holdings Company, as is Affordable Equity Partners.</t>
  </si>
  <si>
    <t>Sterling Bank Construction/Bridge Loan</t>
  </si>
  <si>
    <t>Sterling Bank Perm Loan</t>
  </si>
  <si>
    <t>Amortizing</t>
  </si>
  <si>
    <t>DDA/QCT</t>
  </si>
  <si>
    <t>Electric Heat Pump</t>
  </si>
  <si>
    <t>Fire/Safety Inspections</t>
  </si>
  <si>
    <t xml:space="preserve">Our Contractor has reviewed the site plan and provided input as to the construction cost figures.  
</t>
  </si>
  <si>
    <t>Applicant understands cost limits do not take into account construction cost increases.</t>
  </si>
  <si>
    <t>Similar to Phase 1, Phase 2 will serve the same demographic</t>
  </si>
  <si>
    <t>Monthly Birthday Parties</t>
  </si>
  <si>
    <t>Wellness serviced by Brenau and by management</t>
  </si>
  <si>
    <t>Huber &amp; Associates</t>
  </si>
  <si>
    <t>Purchase Contract</t>
  </si>
  <si>
    <t>The Foundation owns the land and will sell the land into the partnership at fair market value.</t>
  </si>
  <si>
    <t>The site is adjacent to Phase 1 and has ample access to Myrtle Street.</t>
  </si>
  <si>
    <t>The land was rezoned in 2012 and is suitable for our intended use.</t>
  </si>
  <si>
    <t>Phase 2 will expand on our award winning services provided at Phase 1.</t>
  </si>
  <si>
    <t>GA Power</t>
  </si>
  <si>
    <t>Our site has availability and capacity of water and sewer to fit our needs.</t>
  </si>
  <si>
    <t>Room</t>
  </si>
  <si>
    <t>Gazebo</t>
  </si>
  <si>
    <t>On-site laundry</t>
  </si>
  <si>
    <t>Fitness Center</t>
  </si>
  <si>
    <t>Agree</t>
  </si>
  <si>
    <t>As always with our senior communities, we will go above and beyond on amenities, to enrich the lives of our residents.</t>
  </si>
  <si>
    <t>Not a rehab deal</t>
  </si>
  <si>
    <t>Our site plan is in conformity of DCA standards.</t>
  </si>
  <si>
    <t>As the payer of utilities we strive for the most efficient community possible.</t>
  </si>
  <si>
    <t>Zeffert &amp; Associates</t>
  </si>
  <si>
    <t>We have long used Zeffert &amp; Associates for our accessiblity, taking the matter seriously as our residents welfare is at stake.</t>
  </si>
  <si>
    <t>Our architect, Mike Riley, closely follows the standards set forth by the DCA.</t>
  </si>
  <si>
    <t>The BJS Foundation is noted as a certified GP/Developer by the DCA.</t>
  </si>
  <si>
    <t>The BJS Foundation has decades of experience within its ranks.</t>
  </si>
  <si>
    <t>The BJS Foundation satisfies all criteria regarding non-profit developers.</t>
  </si>
  <si>
    <t>Applicant is not selecting a rural set aside.</t>
  </si>
  <si>
    <t>Applicant is not a CHDO</t>
  </si>
  <si>
    <t>Applicant provided a legal opinion as to its non-profit status.</t>
  </si>
  <si>
    <t>Applicant is submitting for new development.</t>
  </si>
  <si>
    <t>Applicant will follow all Fair Housing regulations.</t>
  </si>
  <si>
    <t xml:space="preserve">Applicant has selected fewer credits than allowed according to Part IV.  </t>
  </si>
  <si>
    <t>Applicant has noted that our community is close to every amenity that Gainesville, GA has to offer, and since the construction of Phase 1, we welcomed the largest Kroger in the Southeastern US.</t>
  </si>
  <si>
    <t>Gainesville Connection</t>
  </si>
  <si>
    <t>770-503-3333</t>
  </si>
  <si>
    <t>https://www.gainesville.org/fullpanel/uploads/files/senior-life-center-info-flyer.pdf</t>
  </si>
  <si>
    <t>https://www.gainesville.org/fullpanel/uploads/files/seniorcenterbusroutemap.pdf</t>
  </si>
  <si>
    <t>Partner-provided</t>
  </si>
  <si>
    <t>Gainesville City Schools</t>
  </si>
  <si>
    <t>Gainesville High School</t>
  </si>
  <si>
    <t>9-12</t>
  </si>
  <si>
    <t>7 of 172</t>
  </si>
  <si>
    <t>88 of 172</t>
  </si>
  <si>
    <t>107 OF 172</t>
  </si>
  <si>
    <t>107 of 172</t>
  </si>
  <si>
    <t>https://www.gainesville.org/hud-consolidated-plan</t>
  </si>
  <si>
    <t>Myrtle Terraces Phase 1</t>
  </si>
  <si>
    <t>We have selected Myrtle 2 to get our priority point.</t>
  </si>
  <si>
    <t>Our GICH letter has been executed by the mayor of Gainesville.</t>
  </si>
  <si>
    <t>87 of 172</t>
  </si>
  <si>
    <t>Real Property Research Group</t>
  </si>
  <si>
    <t>5 months</t>
  </si>
  <si>
    <t>Coleman Talley, LLP</t>
  </si>
  <si>
    <t>Greg Clark</t>
  </si>
  <si>
    <t xml:space="preserve">910 N Patterson St </t>
  </si>
  <si>
    <t>greg.clark@colemantalley.com</t>
  </si>
  <si>
    <t>www.colemantalley.com</t>
  </si>
  <si>
    <t>Gainesville High School is the only high school in the City of Gainesville and scores for points.  Also, Gainesville has abundent jobs that help maximize points for the jobs criteria.</t>
  </si>
  <si>
    <t>The 2014 Action Plan which includes a timeline through 2018 has seen tremendous success in improving the targeted areas.  As noted in our letters from the Greater Hall Chamber of Commerce and Gateway Domestic Abuse Shelter, among others, have been actively working over the years to make the 2014 Action Plan a reality.</t>
  </si>
  <si>
    <t>Applicant is not requesting points in this section.</t>
  </si>
  <si>
    <t xml:space="preserve">As is typical with our senior communities, we will be paying all utilities.  </t>
  </si>
  <si>
    <t>Applicant has noted that we are noting that this is the second phase of a phased development, eligible for 3 points and notes that on our original application submitted we noted on a site plan a future phase.  As a back-up applicant also notes that there has not been a funded tax credit deal within 1 mile over the last 4 years either.</t>
  </si>
  <si>
    <t>Brenau University</t>
  </si>
  <si>
    <t>monthly</t>
  </si>
  <si>
    <t>Screening for disease such as high blood pressure</t>
  </si>
  <si>
    <t>Health Risk Assessments</t>
  </si>
  <si>
    <t>Biometric Screenings</t>
  </si>
  <si>
    <t>Classes in Healthy Aging</t>
  </si>
  <si>
    <t>HUD</t>
  </si>
  <si>
    <t>17-059</t>
  </si>
  <si>
    <t>Atl Street Redevelopment P3</t>
  </si>
  <si>
    <t>16-032</t>
  </si>
  <si>
    <t>15-046</t>
  </si>
  <si>
    <t>Atl Street Redevelopment P1</t>
  </si>
  <si>
    <t>Atl Street Redevelopment P2</t>
  </si>
  <si>
    <t xml:space="preserve">Myrtle Terraces Phase 2 will be the second phase of the wildly successful Myrtle Terraces in Gainesville, GA.  Phase 1, consisting of 84 units, opened in early 2015 and leased up within 7 weeks and now enjoys over 200 people on a waitlist.  The winner of the 2016 Charles L. Edson Tax Credit Excellence Award - Senior Housing, Myrtle Terraces Phase 1 pioneered a relationship with Brenau University that has resulted in our community being part of the curriculum for a number of advanced degrees all related to senior care.   The relationship with Brenau has grown to include other BJS communities, Sweetwater Terraces in Duluth, Wisteria Place of Mableton (under construction) and our other submitted application, Hamilton Mill.  Over the years we have evidence-based results that show real improvements in the quality of life and health of our residents
Myrtle Terraces Phase 2 was envisioned during the original development of Myrtle Terraces if the market would deem it appropriate.  As luck would have it Gainesville, GA has been a great city to do business in, with abundant local amenities such as the top rated heart hospital in the State.  When it comes to location, Gainesville is second to none. Located at the foothills of the Blue Ridge Mountains, the 19th largest City in the state is surrounded on three sides by Lake Sidney Lanier. Gainesville is small enough to know your neighbor, yet large enough to offer the services and cultural experiences of a much larger city.  Since the building of Phase 1 local development has added the largest Kroger in the Southeast and roughly a few hundred thousand square feet of retail/commercial/office within 1.5 miles of our site.
Phase 2 will consist of 76 units, of which 64 will be set aside for individuals who make less than 60% of the AMI (some at 50%).  Our close relationship with Brenau will see expanded services at Phase 2 and we are reaching out to other local community leaders, such as Gateway Domestic Abuse Center, to open our doors for their training and seminars.  We are also making a financial contribution to Gateway as our Foundation's motto; "A better way to build communities" focuses on improving communities both inside and outside our walls.
</t>
  </si>
  <si>
    <t>The Sterling Bank Perm Debt letter shows $3.1mm however this is a ceiling, not a floor, if Applicant needs to borrow less (as shown) that is not a problem.</t>
  </si>
  <si>
    <t>The BJS Foundation owns the land for this phase.  We have engaged Huber &amp; Associates to provide an appraisal for the land purchase and will sell the land for appraised value or less.</t>
  </si>
  <si>
    <t>Financial Planning/Fraud prevention &amp; Resume Building Classes</t>
  </si>
  <si>
    <t>As noted above, the previous awards are for the Gainesville Housing Authority's redevelopment of their public housing.</t>
  </si>
  <si>
    <t>Appliciant notes that the site has all available operating utilities.</t>
  </si>
  <si>
    <t>Applicant is a noted Qualified Developer/Owner of affordable housing.  As such, we have underwritten the proposed development for feasibility, viability and conformance with the Qualified Application Plan.</t>
  </si>
  <si>
    <t>There are no deviations from debt service payments.</t>
  </si>
  <si>
    <t>The land owned by the Foundation has been improved into a park.  Working with the City we are condensing the park to better accommodate the traffic the park gets and fit within City vision of the Greenway which will be on the other side of the creek.</t>
  </si>
  <si>
    <t>Our consultants at SK Collerbative have been helpful in obtaining the the Enterprise Foundation Green Communities.  Noted above, the score of 45 is the Exceptional score, the base being 35 with 10 additional points.</t>
  </si>
  <si>
    <t>The applicant agrees to accept Section 811 PBRA or other DCA-offerd RA for up to 10% of the units for the purpose of providing Integrated Supportive Housing opportunities</t>
  </si>
  <si>
    <t>bkimes@aepartners.com</t>
  </si>
  <si>
    <t>None noted</t>
  </si>
  <si>
    <t>Applicant's Environmental Consultants have determined there are no environmental issues preventing our intended use.</t>
  </si>
  <si>
    <t>Geotechnical Environmental Consultants</t>
  </si>
  <si>
    <t>Road noise (MLK Jr. Blvd.), Railroad, aircraft noise</t>
  </si>
  <si>
    <t xml:space="preserve">In response to the community health needs identified across multiple sources our Healthy Housing Initative (HHI) will provide residents with monthly on-site, no/low cost services that address several health issues facing the local community, particularly the seniors who will be served by this development. Services will be provided by faculty and students from Brenau University’s Colleges of Health Sciences and the College of Fine Arts and Humanities, who are committed to serving the health needs of older adults in the community and have done so successfully through collaboration with the Searles Foundation at other properties through our onsite Resident Services Directors. Four of the priority issues are noted below, and partnering with Brenau provides us with a range of potential service options that can be tailored over time in response to needs of future residents. The healthy eating component of our HHI will leverage an onsite community garden with educational materials from the University of Georgia’s Expanded Food and Nutrition Education Program (EFNEP) to further enhance resident opportunities for wellness.
Behavioral health issues were identified as a top concern across multiple data sources, including Northeast Georgia Medical Center’s 2016 CHNA, which noted mental/behavioral health as a significant issue, indicating growing concern around this topic in the community. According to the 2016 CHNA, access to mental health services and counseling in the county is a serious need, and suicide is a leading cause of premature death. For the D.5 Demographic Cluster in which Myrtle Terraces Phase 2 is located, DPH data identify suicide as the second leading cause. CHR data identify a lack of social associations as a concern in Hall Count. The suicide death rate is noted in the PSA (area where site is located) as 10% compared to the Georgia average 5.43%. The Hall County CHA notes that a paucity of support services and mental health care for older adults in the county puts seniors at risk. By providing regular access to education on healthy behaviors and opportunities for on-site mental health screenings and counseling, the HHI will help mitigate this increased risk and advance community partnerships to address behavioral health issues before they become severe mental health problems over time.
Chronic Disease prevention and control are key health care concerns identified for this community and are particularly important for senior populations. DPH data show chronic diseases like heart disease and cancer are well represented among the leading causes of premature death in both the county and the D.5 Cluster. The Northeast Georgia Medical Center CHNA also cites these data and recognizes the importance of early detection to mitigate the large burden of disease represented by conditions like diabetes, COPD, and others.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Injuries were another top concern that arose in multiple data sources. According the CHNA, accidents (unintentional injuries) were a leading cause of emergency room visit for residents of Hall County. The CHNA goes on to note that, for older adults, falls are the leading cause of injury or death. The strong partnership with Brenau’s Occupational Therapy program ensures that our HHI will provide the older adults at Myrtle Terraces Phase 2 with the support needed to prevent falls and increase chances of recovery when falls do occur through classes such as the Matter Of Balance and in-home assessments directly related to fall prevention.
Finally, healthy aging is an issue identified in the Northeast Georgia Medical Center CHNA  that is particularly relevant for the HHI at Myrtle Terraces Phase 2. Though Hall County’s population is generally younger than the state, there is still a large and growing need for aging-related services as we see more and more migration to this retirement destination area. According to the Real Property Research Group market study completed for this project Senior Households (55+) are expected to increase nearly twice as fast as total households in the Myrtle Terraces Market Area on a percentage basis over the next two years; senior household growth includes both net migration and aging in place. The Myrtle Terraces Market Area had 9,920 households with householder age 55 and older as of the 2010 Census count with 236 households with householder age 55 and older being added each year from 2010 to 2018. Strong growth is expected to continue with the annual addition of 230 senior households (55+) from 2018 to 2020. The market area is expected to reach 12, 264 households with householder aged 55+ by 2020. The CHNA notes the increasing health care needs associated with an aging population, including the need to manage co-existing chronic conditions, physical and cognitive changes that can make it more difficult to cope with activities of daily living, and social isolation that can lead to depression. The HHI at Myrtle Terraces Phase 2 will address all of these potential needs for our residents through a proven partnership with Brenau’s faculty and students.
The Searles Foundation and Brenau University see our partnership as an opportunity to emphasize a comprehensive approach to healthy living for the older adults who will live at Myrtle Terraces Phase 2.  We currently provide these services through Brenau University at our sister property, Myrtle Terraces. Faculty and Students work with residents each semester in the schools of Occupational Therapy and Psychology in both large group settings as well as one-on-one settings. In addition to services offered by Brenau, our on-site garden and nutrition education components based on the EFNEP from UGA Extension (http://extension.uga.edu/county-offices/hall.html ) will further enhance this comprehensive approach by providing environmental and educational support. Historically, Brenau has interacted with residents at Myrtle Terraces in regard to gardening for Seniors and will be expected to continue this practice with our next Phase 2 community.
</t>
  </si>
  <si>
    <t>DPH's Online Analytical Statistics Information System &amp; Northeast Georgia Medical Center 2016 report for Community Health Needs Assessment (CHNA)</t>
  </si>
  <si>
    <t>Please see Section 1 Feasibility for all documentation regarding insurance and property taxes.  Our operating numbers have been vetted by our operator, we have included $24,000 for our RSD who will be acting as the Health Services Coordinator (for our Healthy Housing).</t>
  </si>
  <si>
    <t>Gardening Club - Using foods from the garden</t>
  </si>
  <si>
    <t>Course will go over not only growing fresh foods but also how to incorporate them in healthy meals.</t>
  </si>
  <si>
    <t>It is designed to teach limited-resource adults with children how to make healthy food and lifestyle choices</t>
  </si>
  <si>
    <t xml:space="preserve">Food Talk </t>
  </si>
  <si>
    <t>Expanded Food and Nutrition Education Program (EFNEP)</t>
  </si>
  <si>
    <t>The program’s mission is to improve the nutritional health of vulnerable populations. EFNEP focuses on four core areas - diet quality and physical activity, food resource management, household food safety, and food security - to help participants achieve a nutritionally sound diet.</t>
  </si>
  <si>
    <t>Local Food Banks</t>
  </si>
  <si>
    <t>Work with local food banks to provide healty food for at risk residents.</t>
  </si>
  <si>
    <t>N/Ap</t>
  </si>
  <si>
    <t>N/a</t>
  </si>
  <si>
    <t>2018-037</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</si>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</sst>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Myrtle Terraces Phase 2</v>
      </c>
    </row>
    <row r="3" spans="1:6" ht="15" customHeight="1">
      <c r="A3" s="915" t="str">
        <f>CONCATENATE('Part I-Project Information'!F38,", ", 'Part I-Project Information'!J39," County")</f>
        <v>Gainesville, Hall County</v>
      </c>
    </row>
    <row r="4" spans="1:6" ht="12" customHeight="1"/>
    <row r="5" spans="1:6" ht="111" customHeight="1">
      <c r="A5" s="2895" t="s">
        <v>4695</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jKarCPhOyFiBX/s4n+U9Sx/6ULN7sOiL2aAbqGrt4tyC6d3/+EAJoRA+1R4sPaoNE+Ko7Oy/R0zG0E0NaGiqkg==" saltValue="YF3p8Vl19KSWUcAcO5czLQ=="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4"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2018-037 Myrtle Terraces Phase 2, Gainesville, Hall County</v>
      </c>
      <c r="B1" s="1738"/>
      <c r="C1" s="1738"/>
      <c r="D1" s="1738"/>
      <c r="E1" s="1738"/>
      <c r="F1" s="1738"/>
      <c r="G1" s="1738"/>
      <c r="H1" s="1738"/>
      <c r="I1" s="1738"/>
      <c r="J1" s="1738"/>
      <c r="K1" s="1738"/>
      <c r="L1" s="1738"/>
      <c r="M1" s="1738"/>
      <c r="N1" s="1738"/>
      <c r="O1" s="1738"/>
      <c r="P1" s="1739"/>
      <c r="U1" s="1883" t="str">
        <f>A1</f>
        <v>PART SIX - PROJECTED REVENUES &amp; EXPENSES  -  2018-037 Myrtle Terraces Phase 2, Gainesville, Hall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3238"/>
      <c r="H5" s="1126"/>
      <c r="I5" s="1585" t="s">
        <v>806</v>
      </c>
      <c r="J5" s="1585" t="s">
        <v>3587</v>
      </c>
      <c r="K5" s="1881" t="s">
        <v>4549</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39"/>
      <c r="G6" s="1585" t="s">
        <v>3689</v>
      </c>
      <c r="H6" s="1873" t="s">
        <v>3918</v>
      </c>
      <c r="I6" s="1585" t="s">
        <v>807</v>
      </c>
      <c r="J6" s="1585" t="s">
        <v>3692</v>
      </c>
      <c r="K6" s="1882"/>
      <c r="L6" s="1882"/>
      <c r="M6" s="1874" t="str">
        <f>'Part I-Project Information'!$O$40</f>
        <v>Gainesville</v>
      </c>
      <c r="N6" s="1874"/>
      <c r="O6" s="928">
        <f>VLOOKUP('Part I-Project Information'!$O$40,'DCA Underwriting Assumptions'!$C$155:$D$265,2)</f>
        <v>61700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3878</v>
      </c>
      <c r="J7" s="1585" t="s">
        <v>3693</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2422</v>
      </c>
      <c r="K8" s="1876" t="s">
        <v>146</v>
      </c>
      <c r="L8" s="1876"/>
      <c r="M8" s="1585" t="s">
        <v>2383</v>
      </c>
      <c r="N8" s="1585" t="s">
        <v>537</v>
      </c>
      <c r="O8" s="1585" t="s">
        <v>385</v>
      </c>
      <c r="P8" s="1873"/>
      <c r="Q8" s="1876" t="s">
        <v>3597</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3387</v>
      </c>
      <c r="FH8" s="1864" t="s">
        <v>3387</v>
      </c>
      <c r="FI8" s="1864" t="s">
        <v>3387</v>
      </c>
      <c r="FJ8" s="1864" t="s">
        <v>3387</v>
      </c>
      <c r="FK8" s="1864" t="s">
        <v>3387</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1473</v>
      </c>
      <c r="HU8" s="1864" t="s">
        <v>1473</v>
      </c>
      <c r="HV8" s="1864" t="s">
        <v>1473</v>
      </c>
      <c r="HW8" s="1864" t="s">
        <v>1473</v>
      </c>
      <c r="HX8" s="1864" t="s">
        <v>1473</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3336</v>
      </c>
      <c r="O9" s="1585" t="s">
        <v>386</v>
      </c>
      <c r="P9" s="1884"/>
      <c r="Q9" s="1585" t="s">
        <v>3598</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8</v>
      </c>
      <c r="F10" s="3243">
        <v>660</v>
      </c>
      <c r="G10" s="3243">
        <v>566</v>
      </c>
      <c r="H10" s="3243">
        <v>566</v>
      </c>
      <c r="I10" s="3244">
        <f>IF(C10="",0,HLOOKUP(C10,'Part V-Utility Allowances'!$I$11:$M$21,11))</f>
        <v>0</v>
      </c>
      <c r="J10" s="3245"/>
      <c r="K10" s="629">
        <f t="shared" ref="K10:K47" si="1">MAX(0,H10-I10)</f>
        <v>566</v>
      </c>
      <c r="L10" s="629">
        <f t="shared" ref="L10:L47" si="2">MAX(0,E10*K10)</f>
        <v>4528</v>
      </c>
      <c r="M10" s="3246" t="s">
        <v>3013</v>
      </c>
      <c r="N10" s="3246" t="s">
        <v>4602</v>
      </c>
      <c r="O10" s="3246" t="s">
        <v>2311</v>
      </c>
      <c r="P10" s="3247" t="s">
        <v>3013</v>
      </c>
      <c r="Q10" s="3248">
        <f t="shared" ref="Q10:Q47" si="3">IF(H10="","",H10*12/0.3)</f>
        <v>22640</v>
      </c>
      <c r="R10" s="3249">
        <f>IF(H10="","",IF(C10="Efficiency",Q10/($O$6*VLOOKUP(0,'DCA Underwriting Assumptions'!$J$143:$K$148,2,FALSE)),Q10/($O$6*VLOOKUP(C10,'DCA Underwriting Assumptions'!$J$143:$K$148,2,FALSE))))</f>
        <v>0.48924905456509993</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5280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8</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8</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8</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1159</v>
      </c>
      <c r="C11" s="3253">
        <v>1</v>
      </c>
      <c r="D11" s="3254">
        <v>1</v>
      </c>
      <c r="E11" s="3255">
        <v>30</v>
      </c>
      <c r="F11" s="3255">
        <v>660</v>
      </c>
      <c r="G11" s="3255">
        <v>680</v>
      </c>
      <c r="H11" s="3255">
        <v>680</v>
      </c>
      <c r="I11" s="3256">
        <f>IF(C11="",0,HLOOKUP(C11,'Part V-Utility Allowances'!$I$11:$M$21,11))</f>
        <v>0</v>
      </c>
      <c r="J11" s="3257"/>
      <c r="K11" s="630">
        <f t="shared" si="1"/>
        <v>680</v>
      </c>
      <c r="L11" s="630">
        <f t="shared" si="2"/>
        <v>20400</v>
      </c>
      <c r="M11" s="3258" t="s">
        <v>3013</v>
      </c>
      <c r="N11" s="3258" t="s">
        <v>4602</v>
      </c>
      <c r="O11" s="3258" t="s">
        <v>2311</v>
      </c>
      <c r="P11" s="3259" t="s">
        <v>3013</v>
      </c>
      <c r="Q11" s="3260">
        <f t="shared" si="3"/>
        <v>27200</v>
      </c>
      <c r="R11" s="3261">
        <f>IF(H11="","",IF(C11="Efficiency",Q11/($O$6*VLOOKUP(0,'DCA Underwriting Assumptions'!$J$143:$K$148,2,FALSE)),Q11/($O$6*VLOOKUP(C11,'DCA Underwriting Assumptions'!$J$143:$K$148,2,FALSE))))</f>
        <v>0.5877903835764452</v>
      </c>
      <c r="S11" s="3262"/>
      <c r="T11" s="3263"/>
      <c r="U11" s="3218"/>
      <c r="V11" s="3219"/>
      <c r="W11" s="152" t="str">
        <f t="shared" si="4"/>
        <v/>
      </c>
      <c r="X11" s="152">
        <f t="shared" si="5"/>
        <v>30</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19800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30</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30</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30</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30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f t="shared" si="0"/>
        <v>1</v>
      </c>
      <c r="B12" s="3252" t="s">
        <v>305</v>
      </c>
      <c r="C12" s="3253">
        <v>1</v>
      </c>
      <c r="D12" s="3254">
        <v>1</v>
      </c>
      <c r="E12" s="3255">
        <v>8</v>
      </c>
      <c r="F12" s="3255">
        <v>660</v>
      </c>
      <c r="G12" s="3255"/>
      <c r="H12" s="3255">
        <v>800</v>
      </c>
      <c r="I12" s="3256">
        <f>IF(C12="",0,HLOOKUP(C12,'Part V-Utility Allowances'!$I$11:$M$21,11))</f>
        <v>0</v>
      </c>
      <c r="J12" s="3257"/>
      <c r="K12" s="630">
        <f t="shared" si="1"/>
        <v>800</v>
      </c>
      <c r="L12" s="630">
        <f t="shared" si="2"/>
        <v>6400</v>
      </c>
      <c r="M12" s="3258" t="s">
        <v>3013</v>
      </c>
      <c r="N12" s="3258" t="s">
        <v>4602</v>
      </c>
      <c r="O12" s="3258" t="s">
        <v>2311</v>
      </c>
      <c r="P12" s="3259" t="s">
        <v>3013</v>
      </c>
      <c r="Q12" s="3260">
        <f t="shared" si="3"/>
        <v>32000</v>
      </c>
      <c r="R12" s="3261">
        <f>IF(H12="","",IF(C12="Efficiency",Q12/($O$6*VLOOKUP(0,'DCA Underwriting Assumptions'!$J$143:$K$148,2,FALSE)),Q12/($O$6*VLOOKUP(C12,'DCA Underwriting Assumptions'!$J$143:$K$148,2,FALSE))))</f>
        <v>0.69151809832522959</v>
      </c>
      <c r="S12" s="3262"/>
      <c r="T12" s="3263"/>
      <c r="U12" s="3218"/>
      <c r="V12" s="3219"/>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f t="shared" si="20"/>
        <v>8</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f t="shared" si="75"/>
        <v>5280</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f t="shared" si="95"/>
        <v>8</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8</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8</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8</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119</v>
      </c>
      <c r="C13" s="3253">
        <v>2</v>
      </c>
      <c r="D13" s="3254">
        <v>2</v>
      </c>
      <c r="E13" s="3255">
        <v>8</v>
      </c>
      <c r="F13" s="3255">
        <v>975</v>
      </c>
      <c r="G13" s="3255">
        <v>680</v>
      </c>
      <c r="H13" s="3255">
        <v>680</v>
      </c>
      <c r="I13" s="3256">
        <f>IF(C13="",0,HLOOKUP(C13,'Part V-Utility Allowances'!$I$11:$M$21,11))</f>
        <v>0</v>
      </c>
      <c r="J13" s="3257"/>
      <c r="K13" s="630">
        <f t="shared" si="1"/>
        <v>680</v>
      </c>
      <c r="L13" s="630">
        <f t="shared" si="2"/>
        <v>5440</v>
      </c>
      <c r="M13" s="3258" t="s">
        <v>3013</v>
      </c>
      <c r="N13" s="3258" t="s">
        <v>4602</v>
      </c>
      <c r="O13" s="3258" t="s">
        <v>2311</v>
      </c>
      <c r="P13" s="3259" t="s">
        <v>3013</v>
      </c>
      <c r="Q13" s="3260">
        <f t="shared" si="3"/>
        <v>27200</v>
      </c>
      <c r="R13" s="3261">
        <f>IF(H13="","",IF(C13="Efficiency",Q13/($O$6*VLOOKUP(0,'DCA Underwriting Assumptions'!$J$143:$K$148,2,FALSE)),Q13/($O$6*VLOOKUP(C13,'DCA Underwriting Assumptions'!$J$143:$K$148,2,FALSE))))</f>
        <v>0.48982531964703763</v>
      </c>
      <c r="S13" s="3262"/>
      <c r="T13" s="3263"/>
      <c r="U13" s="3218"/>
      <c r="V13" s="3219"/>
      <c r="W13" s="152" t="str">
        <f t="shared" si="4"/>
        <v/>
      </c>
      <c r="X13" s="152" t="str">
        <f t="shared" si="5"/>
        <v/>
      </c>
      <c r="Y13" s="152" t="str">
        <f t="shared" si="6"/>
        <v/>
      </c>
      <c r="Z13" s="152" t="str">
        <f t="shared" si="7"/>
        <v/>
      </c>
      <c r="AA13" s="152" t="str">
        <f t="shared" si="8"/>
        <v/>
      </c>
      <c r="AB13" s="152" t="str">
        <f t="shared" si="9"/>
        <v/>
      </c>
      <c r="AC13" s="152" t="str">
        <f t="shared" si="10"/>
        <v/>
      </c>
      <c r="AD13" s="152">
        <f t="shared" si="11"/>
        <v>8</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7800</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8</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8</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8</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8</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1159</v>
      </c>
      <c r="C14" s="3253">
        <v>2</v>
      </c>
      <c r="D14" s="3254">
        <v>2</v>
      </c>
      <c r="E14" s="3255">
        <v>18</v>
      </c>
      <c r="F14" s="3255">
        <v>975</v>
      </c>
      <c r="G14" s="3255">
        <v>816</v>
      </c>
      <c r="H14" s="3255">
        <v>816</v>
      </c>
      <c r="I14" s="3256">
        <f>IF(C14="",0,HLOOKUP(C14,'Part V-Utility Allowances'!$I$11:$M$21,11))</f>
        <v>0</v>
      </c>
      <c r="J14" s="3257"/>
      <c r="K14" s="630">
        <f t="shared" si="1"/>
        <v>816</v>
      </c>
      <c r="L14" s="630">
        <f t="shared" si="2"/>
        <v>14688</v>
      </c>
      <c r="M14" s="3258" t="s">
        <v>3013</v>
      </c>
      <c r="N14" s="3258" t="s">
        <v>4602</v>
      </c>
      <c r="O14" s="3258" t="s">
        <v>2311</v>
      </c>
      <c r="P14" s="3259" t="s">
        <v>3013</v>
      </c>
      <c r="Q14" s="3260">
        <f t="shared" si="3"/>
        <v>32640</v>
      </c>
      <c r="R14" s="3261">
        <f>IF(H14="","",IF(C14="Efficiency",Q14/($O$6*VLOOKUP(0,'DCA Underwriting Assumptions'!$J$143:$K$148,2,FALSE)),Q14/($O$6*VLOOKUP(C14,'DCA Underwriting Assumptions'!$J$143:$K$148,2,FALSE))))</f>
        <v>0.5877903835764452</v>
      </c>
      <c r="S14" s="3262"/>
      <c r="T14" s="3263"/>
      <c r="U14" s="3218"/>
      <c r="V14" s="3219"/>
      <c r="W14" s="152" t="str">
        <f t="shared" si="4"/>
        <v/>
      </c>
      <c r="X14" s="152" t="str">
        <f t="shared" si="5"/>
        <v/>
      </c>
      <c r="Y14" s="152">
        <f t="shared" si="6"/>
        <v>18</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17550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18</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18</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18</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18</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2" t="s">
        <v>305</v>
      </c>
      <c r="C15" s="3253">
        <v>2</v>
      </c>
      <c r="D15" s="3254">
        <v>2</v>
      </c>
      <c r="E15" s="3255">
        <v>4</v>
      </c>
      <c r="F15" s="3255">
        <v>975</v>
      </c>
      <c r="G15" s="3255"/>
      <c r="H15" s="3255">
        <v>1000</v>
      </c>
      <c r="I15" s="3256">
        <f>IF(C15="",0,HLOOKUP(C15,'Part V-Utility Allowances'!$I$11:$M$21,11))</f>
        <v>0</v>
      </c>
      <c r="J15" s="3257"/>
      <c r="K15" s="630">
        <f t="shared" si="1"/>
        <v>1000</v>
      </c>
      <c r="L15" s="630">
        <f t="shared" si="2"/>
        <v>4000</v>
      </c>
      <c r="M15" s="3258" t="s">
        <v>3013</v>
      </c>
      <c r="N15" s="3258" t="s">
        <v>4602</v>
      </c>
      <c r="O15" s="3258" t="s">
        <v>2311</v>
      </c>
      <c r="P15" s="3259" t="s">
        <v>3013</v>
      </c>
      <c r="Q15" s="3260">
        <f t="shared" si="3"/>
        <v>40000</v>
      </c>
      <c r="R15" s="3261">
        <f>IF(H15="","",IF(C15="Efficiency",Q15/($O$6*VLOOKUP(0,'DCA Underwriting Assumptions'!$J$143:$K$148,2,FALSE)),Q15/($O$6*VLOOKUP(C15,'DCA Underwriting Assumptions'!$J$143:$K$148,2,FALSE))))</f>
        <v>0.72033135242211421</v>
      </c>
      <c r="S15" s="3262"/>
      <c r="T15" s="3263"/>
      <c r="U15" s="3218"/>
      <c r="V15" s="3219"/>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f t="shared" si="21"/>
        <v>4</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f t="shared" si="76"/>
        <v>3900</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f t="shared" si="96"/>
        <v>4</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4</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f t="shared" si="211"/>
        <v>4</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4</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76</v>
      </c>
      <c r="F48" s="974">
        <f>(E10*F10+E11*F11+E12*F12+E13*F13+E14*F14+E15*F15+E16*F16+E17*F17+E18*F18+E19*F19+E20*F20+E21*F21+E22*F22+E23*F23+E24*F24+E25*F25+E26*F26+E27*F27+E28*F28+E29*F29+E30*F30+E31*F31+E32*F32+E33*F33+E34*F34+E35*F35+E36*F36+E37*F37+E38*F38+E39*F39+E40*F40+E41*F41+E42*F42+E43*F43+E44*F44+E45*F45+E46*F46+E47*F47)</f>
        <v>59610</v>
      </c>
      <c r="G48" s="603"/>
      <c r="H48" s="604"/>
      <c r="I48" s="604"/>
      <c r="J48" s="604"/>
      <c r="K48" s="977" t="s">
        <v>1314</v>
      </c>
      <c r="L48" s="127">
        <f>SUM(L10:L47)</f>
        <v>55456</v>
      </c>
      <c r="M48" s="97"/>
      <c r="N48" s="605"/>
      <c r="O48" s="97"/>
      <c r="P48" s="490"/>
      <c r="Q48" s="490"/>
      <c r="R48" s="490"/>
      <c r="S48" s="490"/>
      <c r="T48" s="490"/>
      <c r="U48" s="955"/>
      <c r="V48" s="606"/>
      <c r="W48" s="607">
        <f t="shared" ref="W48:CH48" si="259">SUM(W10:W47)</f>
        <v>0</v>
      </c>
      <c r="X48" s="607">
        <f t="shared" si="259"/>
        <v>30</v>
      </c>
      <c r="Y48" s="607">
        <f t="shared" si="259"/>
        <v>18</v>
      </c>
      <c r="Z48" s="607">
        <f t="shared" si="259"/>
        <v>0</v>
      </c>
      <c r="AA48" s="607">
        <f t="shared" si="259"/>
        <v>0</v>
      </c>
      <c r="AB48" s="607">
        <f t="shared" si="259"/>
        <v>0</v>
      </c>
      <c r="AC48" s="607">
        <f t="shared" si="259"/>
        <v>8</v>
      </c>
      <c r="AD48" s="607">
        <f t="shared" si="259"/>
        <v>8</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8</v>
      </c>
      <c r="AN48" s="607">
        <f t="shared" si="259"/>
        <v>4</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19800</v>
      </c>
      <c r="CB48" s="607">
        <f t="shared" si="259"/>
        <v>17550</v>
      </c>
      <c r="CC48" s="607">
        <f t="shared" si="259"/>
        <v>0</v>
      </c>
      <c r="CD48" s="607">
        <f t="shared" si="259"/>
        <v>0</v>
      </c>
      <c r="CE48" s="607">
        <f t="shared" si="259"/>
        <v>0</v>
      </c>
      <c r="CF48" s="607">
        <f t="shared" si="259"/>
        <v>5280</v>
      </c>
      <c r="CG48" s="607">
        <f t="shared" si="259"/>
        <v>7800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5280</v>
      </c>
      <c r="CQ48" s="607">
        <f t="shared" si="260"/>
        <v>3900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38</v>
      </c>
      <c r="DF48" s="607">
        <f t="shared" si="260"/>
        <v>26</v>
      </c>
      <c r="DG48" s="607">
        <f t="shared" si="260"/>
        <v>0</v>
      </c>
      <c r="DH48" s="607">
        <f t="shared" si="260"/>
        <v>0</v>
      </c>
      <c r="DI48" s="607">
        <f t="shared" si="260"/>
        <v>0</v>
      </c>
      <c r="DJ48" s="607">
        <f t="shared" si="260"/>
        <v>8</v>
      </c>
      <c r="DK48" s="607">
        <f t="shared" si="260"/>
        <v>4</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46</v>
      </c>
      <c r="EY48" s="476">
        <f t="shared" si="261"/>
        <v>30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46</v>
      </c>
      <c r="HV48" s="476">
        <f t="shared" si="262"/>
        <v>30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46</v>
      </c>
      <c r="JJ48" s="476">
        <f t="shared" si="262"/>
        <v>30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665472</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30</v>
      </c>
      <c r="L56" s="1029">
        <f>Y48</f>
        <v>18</v>
      </c>
      <c r="M56" s="1029">
        <f>Z48</f>
        <v>0</v>
      </c>
      <c r="N56" s="1029">
        <f>AA48</f>
        <v>0</v>
      </c>
      <c r="O56" s="1029">
        <f t="shared" ref="O56:O62" si="263">SUM(J56:N56)</f>
        <v>48</v>
      </c>
      <c r="P56" s="1868" t="s">
        <v>3694</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8</v>
      </c>
      <c r="L57" s="636">
        <f>AD48</f>
        <v>8</v>
      </c>
      <c r="M57" s="636">
        <f>AE48</f>
        <v>0</v>
      </c>
      <c r="N57" s="636">
        <f>AF48</f>
        <v>0</v>
      </c>
      <c r="O57" s="636">
        <f t="shared" si="263"/>
        <v>16</v>
      </c>
      <c r="P57" s="1868"/>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38</v>
      </c>
      <c r="L58" s="632">
        <f>SUM(L56:L57)</f>
        <v>26</v>
      </c>
      <c r="M58" s="632">
        <f>SUM(M56:M57)</f>
        <v>0</v>
      </c>
      <c r="N58" s="632">
        <f>SUM(N56:N57)</f>
        <v>0</v>
      </c>
      <c r="O58" s="632">
        <f t="shared" si="263"/>
        <v>64</v>
      </c>
      <c r="P58" s="1868"/>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8</v>
      </c>
      <c r="L59" s="633">
        <f>AN48</f>
        <v>4</v>
      </c>
      <c r="M59" s="633">
        <f>AO48</f>
        <v>0</v>
      </c>
      <c r="N59" s="633">
        <f>AP48</f>
        <v>0</v>
      </c>
      <c r="O59" s="633">
        <f t="shared" si="263"/>
        <v>12</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46</v>
      </c>
      <c r="L60" s="632">
        <f>SUM(L58:L59)</f>
        <v>30</v>
      </c>
      <c r="M60" s="632">
        <f>SUM(M58:M59)</f>
        <v>0</v>
      </c>
      <c r="N60" s="632">
        <f>SUM(N58:N59)</f>
        <v>0</v>
      </c>
      <c r="O60" s="632">
        <f t="shared" si="263"/>
        <v>76</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3695</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46</v>
      </c>
      <c r="L62" s="634">
        <f>SUM(L60:L61)</f>
        <v>30</v>
      </c>
      <c r="M62" s="634">
        <f>SUM(M60:M61)</f>
        <v>0</v>
      </c>
      <c r="N62" s="634">
        <f>SUM(N60:N61)</f>
        <v>0</v>
      </c>
      <c r="O62" s="634">
        <f t="shared" si="263"/>
        <v>76</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38</v>
      </c>
      <c r="L72" s="632">
        <f>DF48</f>
        <v>26</v>
      </c>
      <c r="M72" s="632">
        <f>DG48</f>
        <v>0</v>
      </c>
      <c r="N72" s="632">
        <f>DH48</f>
        <v>0</v>
      </c>
      <c r="O72" s="632">
        <f t="shared" ref="O72:O82" si="264">SUM(J72:N72)</f>
        <v>64</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8</v>
      </c>
      <c r="L73" s="633">
        <f>DK48</f>
        <v>4</v>
      </c>
      <c r="M73" s="633">
        <f>DL48</f>
        <v>0</v>
      </c>
      <c r="N73" s="633">
        <f>DM48</f>
        <v>0</v>
      </c>
      <c r="O73" s="633">
        <f t="shared" si="264"/>
        <v>12</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46</v>
      </c>
      <c r="L74" s="634">
        <f>SUM(L72:L73)+DP48</f>
        <v>30</v>
      </c>
      <c r="M74" s="634">
        <f>SUM(M72:M73)+DQ48</f>
        <v>0</v>
      </c>
      <c r="N74" s="634">
        <f>SUM(N72:N73)+DR48</f>
        <v>0</v>
      </c>
      <c r="O74" s="634">
        <f t="shared" si="264"/>
        <v>76</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4131</v>
      </c>
      <c r="D86" s="1861"/>
      <c r="E86" s="1263" t="s">
        <v>40</v>
      </c>
      <c r="F86" s="1059"/>
      <c r="G86" s="1264"/>
      <c r="H86" s="1265"/>
      <c r="I86" s="1266"/>
      <c r="J86" s="645">
        <f t="shared" ref="J86:O86" si="265">SUM(J87:J94)</f>
        <v>0</v>
      </c>
      <c r="K86" s="645">
        <f t="shared" si="265"/>
        <v>46</v>
      </c>
      <c r="L86" s="645">
        <f t="shared" si="265"/>
        <v>30</v>
      </c>
      <c r="M86" s="645">
        <f t="shared" si="265"/>
        <v>0</v>
      </c>
      <c r="N86" s="645">
        <f t="shared" si="265"/>
        <v>0</v>
      </c>
      <c r="O86" s="645">
        <f t="shared" si="265"/>
        <v>76</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46</v>
      </c>
      <c r="L93" s="1022">
        <f>HV48</f>
        <v>30</v>
      </c>
      <c r="M93" s="1022">
        <f>HW48</f>
        <v>0</v>
      </c>
      <c r="N93" s="1022">
        <f>HX48</f>
        <v>0</v>
      </c>
      <c r="O93" s="637">
        <f t="shared" si="266"/>
        <v>76</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4130</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46</v>
      </c>
      <c r="L110" s="1025">
        <f t="shared" si="271"/>
        <v>30</v>
      </c>
      <c r="M110" s="1025">
        <f t="shared" si="271"/>
        <v>0</v>
      </c>
      <c r="N110" s="1025">
        <f t="shared" si="271"/>
        <v>0</v>
      </c>
      <c r="O110" s="1025">
        <f t="shared" si="268"/>
        <v>76</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19800</v>
      </c>
      <c r="L113" s="1027">
        <f>CB48</f>
        <v>17550</v>
      </c>
      <c r="M113" s="1027">
        <f>CC48</f>
        <v>0</v>
      </c>
      <c r="N113" s="1027">
        <f>CD48</f>
        <v>0</v>
      </c>
      <c r="O113" s="1027">
        <f t="shared" ref="O113:O119" si="272">SUM(J113:N113)</f>
        <v>37350</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5280</v>
      </c>
      <c r="L114" s="1028">
        <f>CG48</f>
        <v>7800</v>
      </c>
      <c r="M114" s="1028">
        <f>CH48</f>
        <v>0</v>
      </c>
      <c r="N114" s="1028">
        <f>CI48</f>
        <v>0</v>
      </c>
      <c r="O114" s="1028">
        <f t="shared" si="272"/>
        <v>13080</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25080</v>
      </c>
      <c r="L115" s="641">
        <f>SUM(L113:L114)</f>
        <v>25350</v>
      </c>
      <c r="M115" s="641">
        <f>SUM(M113:M114)</f>
        <v>0</v>
      </c>
      <c r="N115" s="641">
        <f>SUM(N113:N114)</f>
        <v>0</v>
      </c>
      <c r="O115" s="641">
        <f t="shared" si="272"/>
        <v>50430</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5280</v>
      </c>
      <c r="L116" s="642">
        <f>CQ48</f>
        <v>3900</v>
      </c>
      <c r="M116" s="642">
        <f>CR48</f>
        <v>0</v>
      </c>
      <c r="N116" s="642">
        <f>CS48</f>
        <v>0</v>
      </c>
      <c r="O116" s="642">
        <f t="shared" si="272"/>
        <v>9180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30360</v>
      </c>
      <c r="L117" s="641">
        <f>SUM(L115:L116)</f>
        <v>29250</v>
      </c>
      <c r="M117" s="641">
        <f>SUM(M115:M116)</f>
        <v>0</v>
      </c>
      <c r="N117" s="641">
        <f>SUM(N115:N116)</f>
        <v>0</v>
      </c>
      <c r="O117" s="641">
        <f t="shared" si="272"/>
        <v>59610</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30360</v>
      </c>
      <c r="L119" s="643">
        <f>SUM(L117:L118)</f>
        <v>29250</v>
      </c>
      <c r="M119" s="643">
        <f>SUM(M117:M118)</f>
        <v>0</v>
      </c>
      <c r="N119" s="643">
        <f>SUM(N117:N118)</f>
        <v>0</v>
      </c>
      <c r="O119" s="643">
        <f t="shared" si="272"/>
        <v>59610</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13309.44</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2">
        <v>49200</v>
      </c>
      <c r="G164" s="3293"/>
      <c r="H164" s="1"/>
      <c r="I164" s="1" t="s">
        <v>1390</v>
      </c>
      <c r="J164" s="1"/>
      <c r="K164" s="3292"/>
      <c r="L164" s="3293"/>
      <c r="M164" s="1"/>
      <c r="N164" s="1" t="s">
        <v>938</v>
      </c>
      <c r="O164" s="1"/>
      <c r="P164" s="3294">
        <v>44050</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42080</v>
      </c>
      <c r="G165" s="3293"/>
      <c r="H165" s="1"/>
      <c r="I165" s="1" t="s">
        <v>1391</v>
      </c>
      <c r="J165" s="1"/>
      <c r="K165" s="3292"/>
      <c r="L165" s="3293"/>
      <c r="M165" s="1"/>
      <c r="N165" s="1" t="s">
        <v>148</v>
      </c>
      <c r="O165" s="1"/>
      <c r="P165" s="3294">
        <v>23890</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v>24000</v>
      </c>
      <c r="G166" s="3293"/>
      <c r="H166" s="1"/>
      <c r="I166" s="1"/>
      <c r="J166" s="126" t="s">
        <v>193</v>
      </c>
      <c r="K166" s="1858">
        <f>SUM(K164:L165)</f>
        <v>0</v>
      </c>
      <c r="L166" s="1859"/>
      <c r="M166" s="1"/>
      <c r="N166" s="3295" t="s">
        <v>52</v>
      </c>
      <c r="O166" s="3296"/>
      <c r="P166" s="3297"/>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52</v>
      </c>
      <c r="C167" s="3299"/>
      <c r="D167" s="3299"/>
      <c r="E167" s="3300"/>
      <c r="F167" s="3301"/>
      <c r="G167" s="3302"/>
      <c r="H167" s="1"/>
      <c r="I167" s="1"/>
      <c r="J167" s="1"/>
      <c r="K167" s="1"/>
      <c r="L167" s="1"/>
      <c r="M167" s="1"/>
      <c r="N167" s="12" t="s">
        <v>193</v>
      </c>
      <c r="O167" s="1"/>
      <c r="P167" s="419">
        <f>SUM(P164:P166)</f>
        <v>67940</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115280</v>
      </c>
      <c r="G168" s="1859"/>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31563</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3000</v>
      </c>
      <c r="G171" s="3293"/>
      <c r="H171" s="1"/>
      <c r="I171" s="1" t="s">
        <v>1614</v>
      </c>
      <c r="J171" s="1"/>
      <c r="K171" s="3303">
        <v>500</v>
      </c>
      <c r="L171" s="3304"/>
      <c r="M171" s="1"/>
      <c r="N171" s="408">
        <f>+P170/(O62*0.93)</f>
        <v>446.56196943972833</v>
      </c>
      <c r="O171" s="69" t="s">
        <v>2774</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4200</v>
      </c>
      <c r="G172" s="3293"/>
      <c r="H172" s="1"/>
      <c r="I172" s="1" t="s">
        <v>2065</v>
      </c>
      <c r="J172" s="1"/>
      <c r="K172" s="3305">
        <v>8000</v>
      </c>
      <c r="L172" s="3306"/>
      <c r="M172" s="1"/>
      <c r="N172" s="408">
        <f>+P170/(O62*0.93)/12</f>
        <v>37.213497453310694</v>
      </c>
      <c r="O172" s="69" t="s">
        <v>2775</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750</v>
      </c>
      <c r="G173" s="3293"/>
      <c r="H173" s="1"/>
      <c r="I173" s="1" t="s">
        <v>1615</v>
      </c>
      <c r="J173" s="1"/>
      <c r="K173" s="3305">
        <v>3500</v>
      </c>
      <c r="L173" s="3306"/>
      <c r="M173" s="1"/>
      <c r="N173" s="37" t="s">
        <v>3755</v>
      </c>
      <c r="O173" s="1041"/>
      <c r="P173" s="1041"/>
      <c r="Q173" s="1602"/>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2"/>
      <c r="G174" s="3293"/>
      <c r="H174" s="1"/>
      <c r="I174" s="3295" t="s">
        <v>52</v>
      </c>
      <c r="J174" s="3296"/>
      <c r="K174" s="3303"/>
      <c r="L174" s="3304"/>
      <c r="M174" s="1"/>
      <c r="N174" s="1041"/>
      <c r="O174" s="1041"/>
      <c r="P174" s="1041"/>
      <c r="Q174" s="1602"/>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6500</v>
      </c>
      <c r="G175" s="3293"/>
      <c r="H175" s="1"/>
      <c r="I175" s="10"/>
      <c r="J175" s="12" t="s">
        <v>193</v>
      </c>
      <c r="K175" s="1850">
        <f>SUM(K171:K174)</f>
        <v>12000</v>
      </c>
      <c r="L175" s="1851"/>
      <c r="M175" s="1860" t="str">
        <f>IF(P177="","",IF(P175&lt;P177, "WARNING! OE below required minimum.",""))</f>
        <v/>
      </c>
      <c r="N175" s="10" t="s">
        <v>2202</v>
      </c>
      <c r="O175" s="5"/>
      <c r="P175" s="417">
        <f>F168+F177+F188+K166+K175+K185+P167+P170</f>
        <v>375761</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52</v>
      </c>
      <c r="C176" s="3299"/>
      <c r="D176" s="3299"/>
      <c r="E176" s="3300"/>
      <c r="F176" s="3301"/>
      <c r="G176" s="3302"/>
      <c r="H176" s="1"/>
      <c r="I176" s="1"/>
      <c r="J176" s="13"/>
      <c r="K176" s="1"/>
      <c r="L176" s="1"/>
      <c r="M176" s="1860"/>
      <c r="N176" s="69" t="s">
        <v>2776</v>
      </c>
      <c r="O176" s="408">
        <f>+P175/O62</f>
        <v>4944.2236842105267</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14450</v>
      </c>
      <c r="G177" s="1859"/>
      <c r="H177" s="1"/>
      <c r="I177" s="1"/>
      <c r="J177" s="13"/>
      <c r="K177" s="1"/>
      <c r="L177" s="1"/>
      <c r="M177" s="1860"/>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304000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3307">
        <f>P188</f>
        <v>19000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8">
        <v>6000</v>
      </c>
      <c r="G180" s="3309"/>
      <c r="H180" s="1"/>
      <c r="I180" s="1" t="s">
        <v>1380</v>
      </c>
      <c r="J180" s="481">
        <f>K180/12/O62</f>
        <v>65.5</v>
      </c>
      <c r="K180" s="3305">
        <v>59736</v>
      </c>
      <c r="L180" s="3306"/>
      <c r="M180" s="1854" t="str">
        <f>IF(P179&lt;P188, "WARNING! RR proposed is below the DCA required minimum.","")</f>
        <v/>
      </c>
      <c r="N180" s="1064" t="s">
        <v>3764</v>
      </c>
      <c r="O180" s="1059"/>
      <c r="P180" s="1065">
        <f>P179/O188</f>
        <v>250</v>
      </c>
      <c r="Q180" s="3310"/>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8">
        <v>5000</v>
      </c>
      <c r="G181" s="3309"/>
      <c r="H181" s="1"/>
      <c r="I181" s="1" t="s">
        <v>1381</v>
      </c>
      <c r="J181" s="481">
        <f>K181/12/O62</f>
        <v>0</v>
      </c>
      <c r="K181" s="3305"/>
      <c r="L181" s="3306"/>
      <c r="M181" s="1854"/>
      <c r="N181" s="1855" t="s">
        <v>3763</v>
      </c>
      <c r="O181" s="1856"/>
      <c r="P181" s="1857"/>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8">
        <v>6900</v>
      </c>
      <c r="G182" s="3309"/>
      <c r="H182" s="1"/>
      <c r="I182" s="1" t="s">
        <v>2368</v>
      </c>
      <c r="J182" s="481">
        <f>K182/12/O62</f>
        <v>33</v>
      </c>
      <c r="K182" s="3305">
        <v>30096</v>
      </c>
      <c r="L182" s="3306"/>
      <c r="M182" s="1854"/>
      <c r="N182" s="1058" t="s">
        <v>2732</v>
      </c>
      <c r="O182" s="922" t="s">
        <v>3877</v>
      </c>
      <c r="P182" s="1060" t="s">
        <v>3459</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2400</v>
      </c>
      <c r="G183" s="3293"/>
      <c r="H183" s="1"/>
      <c r="I183" s="1" t="s">
        <v>1383</v>
      </c>
      <c r="J183" s="1"/>
      <c r="K183" s="3305">
        <v>7296</v>
      </c>
      <c r="L183" s="3306"/>
      <c r="M183" s="1854"/>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3500</v>
      </c>
      <c r="G184" s="3293"/>
      <c r="H184" s="1"/>
      <c r="I184" s="3295" t="s">
        <v>52</v>
      </c>
      <c r="J184" s="3296"/>
      <c r="K184" s="3303"/>
      <c r="L184" s="3304"/>
      <c r="M184" s="1854"/>
      <c r="N184" s="516" t="s">
        <v>3451</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v>8000</v>
      </c>
      <c r="G185" s="3293"/>
      <c r="H185" s="1"/>
      <c r="I185" s="1"/>
      <c r="J185" s="12" t="s">
        <v>193</v>
      </c>
      <c r="K185" s="1850">
        <f>SUM(K180:K184)</f>
        <v>97128</v>
      </c>
      <c r="L185" s="1851"/>
      <c r="M185" s="1854"/>
      <c r="N185" s="516" t="s">
        <v>3450</v>
      </c>
      <c r="O185" s="929" t="str">
        <f>CONCATENATE(SUM(JH48:JL48)," units x $",'DCA Underwriting Assumptions'!$Q$66," =")</f>
        <v>76 units x $250 =</v>
      </c>
      <c r="P185" s="675">
        <f>SUM(JH48:JL48)*'DCA Underwriting Assumptions'!$Q$66</f>
        <v>19000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2600</v>
      </c>
      <c r="G186" s="3293"/>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4617</v>
      </c>
      <c r="C187" s="3299"/>
      <c r="D187" s="3299"/>
      <c r="E187" s="3300"/>
      <c r="F187" s="3301">
        <v>3000</v>
      </c>
      <c r="G187" s="3302"/>
      <c r="H187" s="1"/>
      <c r="I187" s="1"/>
      <c r="J187" s="13"/>
      <c r="K187" s="1"/>
      <c r="L187" s="1"/>
      <c r="M187" s="1"/>
      <c r="N187" s="676" t="s">
        <v>3449</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37400</v>
      </c>
      <c r="G188" s="1853"/>
      <c r="H188" s="1"/>
      <c r="I188" s="1"/>
      <c r="J188" s="13"/>
      <c r="K188" s="1"/>
      <c r="L188" s="1"/>
      <c r="M188" s="1"/>
      <c r="N188" s="1061" t="s">
        <v>2735</v>
      </c>
      <c r="O188" s="1062">
        <f>SUM(JC48:JG48)+SUM(JH48:JL48)+SUM(JM48:JQ48)+O84</f>
        <v>76</v>
      </c>
      <c r="P188" s="1063">
        <f>SUM(P184:P187)</f>
        <v>19000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394761</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3311" t="s">
        <v>4713</v>
      </c>
      <c r="B193" s="3311"/>
      <c r="C193" s="3311"/>
      <c r="D193" s="3311"/>
      <c r="E193" s="3311"/>
      <c r="F193" s="3311"/>
      <c r="G193" s="3311"/>
      <c r="H193" s="3311"/>
      <c r="I193" s="3311"/>
      <c r="J193" s="3311"/>
      <c r="K193" s="3311"/>
      <c r="L193" s="3311"/>
      <c r="M193" s="3312"/>
      <c r="N193" s="3312"/>
      <c r="O193" s="3312"/>
      <c r="P193" s="3312"/>
      <c r="Q193" s="1847" t="s">
        <v>4153</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yxkJjuFmzU4XmDGqWEPD2pki/UVAE11DsBQk82RJEkCkEW4T15fYZFqkBQHr1EU7vAKrWyIt3cJ4IndqcJdBbg==" saltValue="+2yvbQbe5XEtGQKRPa8qO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2018-037 Myrtle Terraces Phase 2, Gainesville, Hall County</v>
      </c>
      <c r="B1" s="3213"/>
      <c r="C1" s="3213"/>
      <c r="D1" s="3213"/>
      <c r="E1" s="3213"/>
      <c r="F1" s="3213"/>
      <c r="G1" s="3213"/>
      <c r="H1" s="3213"/>
      <c r="I1" s="3213"/>
      <c r="J1" s="3213"/>
      <c r="K1" s="3214"/>
      <c r="L1" s="10"/>
      <c r="M1" s="10"/>
      <c r="N1" s="1890" t="str">
        <f>A1</f>
        <v>PART SEVEN - OPERATING PRO FORMA  -  2018-037 Myrtle Terraces Phase 2, Gainesville, Hall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1862" t="s">
        <v>4234</v>
      </c>
      <c r="E5" s="1862"/>
      <c r="F5" s="1862"/>
      <c r="G5" s="3215">
        <v>5000</v>
      </c>
      <c r="H5" s="99" t="s">
        <v>1922</v>
      </c>
      <c r="K5" s="104">
        <f>IF(($B$14+$B$15+$B$16+$B$17)=0,"",B28/($B$14+$B$15+$B$16+$B$17))</f>
        <v>-7.9205820448206513E-3</v>
      </c>
      <c r="N5" s="3216"/>
      <c r="O5" s="3217"/>
    </row>
    <row r="6" spans="1:19">
      <c r="A6" s="17" t="s">
        <v>2205</v>
      </c>
      <c r="B6" s="80">
        <v>0.03</v>
      </c>
      <c r="C6" s="17"/>
      <c r="D6" s="1862"/>
      <c r="E6" s="1862"/>
      <c r="F6" s="1862"/>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4.9999466216134839E-2</v>
      </c>
      <c r="N7" s="3218"/>
      <c r="O7" s="3219"/>
    </row>
    <row r="8" spans="1:19" ht="13.15" customHeight="1">
      <c r="A8" s="17" t="s">
        <v>2206</v>
      </c>
      <c r="B8" s="3220">
        <v>7.0000000000000007E-2</v>
      </c>
      <c r="C8" s="17"/>
      <c r="D8" s="81" t="s">
        <v>2525</v>
      </c>
      <c r="G8" s="3221"/>
      <c r="H8" s="169" t="s">
        <v>1456</v>
      </c>
      <c r="K8" s="3222"/>
      <c r="N8" s="3218"/>
      <c r="O8" s="3219"/>
    </row>
    <row r="9" spans="1:19">
      <c r="A9" s="17" t="s">
        <v>1430</v>
      </c>
      <c r="B9" s="80">
        <v>0.02</v>
      </c>
      <c r="D9" s="81" t="s">
        <v>1731</v>
      </c>
      <c r="G9" s="3221" t="s">
        <v>3010</v>
      </c>
      <c r="H9" s="169" t="s">
        <v>2372</v>
      </c>
      <c r="K9" s="3223">
        <v>0.05</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665472</v>
      </c>
      <c r="C14" s="20">
        <f t="shared" ref="C14:K14" si="1">$B$14*(1+$B$5)^(C13-1)</f>
        <v>678781.44000000006</v>
      </c>
      <c r="D14" s="20">
        <f t="shared" si="1"/>
        <v>692357.06880000001</v>
      </c>
      <c r="E14" s="20">
        <f t="shared" si="1"/>
        <v>706204.21017599991</v>
      </c>
      <c r="F14" s="20">
        <f t="shared" si="1"/>
        <v>720328.29437952</v>
      </c>
      <c r="G14" s="20">
        <f t="shared" si="1"/>
        <v>734734.8602671104</v>
      </c>
      <c r="H14" s="20">
        <f t="shared" si="1"/>
        <v>749429.55747245264</v>
      </c>
      <c r="I14" s="20">
        <f t="shared" si="1"/>
        <v>764418.14862190152</v>
      </c>
      <c r="J14" s="20">
        <f t="shared" si="1"/>
        <v>779706.51159433962</v>
      </c>
      <c r="K14" s="21">
        <f t="shared" si="1"/>
        <v>795300.64182622649</v>
      </c>
      <c r="N14" s="3216"/>
      <c r="O14" s="3217"/>
      <c r="S14" s="1885" t="s">
        <v>4239</v>
      </c>
    </row>
    <row r="15" spans="1:19" ht="13.15" customHeight="1">
      <c r="A15" s="22" t="s">
        <v>1026</v>
      </c>
      <c r="B15" s="23">
        <f>MIN(B14*B9,'Part VI-Revenues &amp; Expenses'!$H$122)</f>
        <v>13309.44</v>
      </c>
      <c r="C15" s="23">
        <f t="shared" ref="C15:K15" si="2">$B$15*(1+$B$5)^(C13-1)</f>
        <v>13575.6288</v>
      </c>
      <c r="D15" s="23">
        <f t="shared" si="2"/>
        <v>13847.141376</v>
      </c>
      <c r="E15" s="23">
        <f t="shared" si="2"/>
        <v>14124.08420352</v>
      </c>
      <c r="F15" s="23">
        <f t="shared" si="2"/>
        <v>14406.565887590401</v>
      </c>
      <c r="G15" s="23">
        <f t="shared" si="2"/>
        <v>14694.697205342209</v>
      </c>
      <c r="H15" s="23">
        <f t="shared" si="2"/>
        <v>14988.591149449054</v>
      </c>
      <c r="I15" s="23">
        <f t="shared" si="2"/>
        <v>15288.362972438032</v>
      </c>
      <c r="J15" s="23">
        <f t="shared" si="2"/>
        <v>15594.130231886793</v>
      </c>
      <c r="K15" s="24">
        <f t="shared" si="2"/>
        <v>15906.012836524529</v>
      </c>
      <c r="N15" s="3218"/>
      <c r="O15" s="3219"/>
      <c r="S15" s="1886"/>
    </row>
    <row r="16" spans="1:19" ht="13.15" customHeight="1">
      <c r="A16" s="22" t="s">
        <v>2421</v>
      </c>
      <c r="B16" s="23">
        <f t="shared" ref="B16:K16" si="3">-(B14+B15)*$B$8</f>
        <v>-47514.700799999999</v>
      </c>
      <c r="C16" s="23">
        <f t="shared" si="3"/>
        <v>-48464.994816000006</v>
      </c>
      <c r="D16" s="23">
        <f t="shared" si="3"/>
        <v>-49434.294712320007</v>
      </c>
      <c r="E16" s="23">
        <f t="shared" si="3"/>
        <v>-50422.980606566394</v>
      </c>
      <c r="F16" s="23">
        <f t="shared" si="3"/>
        <v>-51431.440218697731</v>
      </c>
      <c r="G16" s="23">
        <f t="shared" si="3"/>
        <v>-52460.069023071686</v>
      </c>
      <c r="H16" s="23">
        <f t="shared" si="3"/>
        <v>-53509.270403533119</v>
      </c>
      <c r="I16" s="23">
        <f t="shared" si="3"/>
        <v>-54579.455811603773</v>
      </c>
      <c r="J16" s="23">
        <f t="shared" si="3"/>
        <v>-55671.04492783585</v>
      </c>
      <c r="K16" s="24">
        <f t="shared" si="3"/>
        <v>-56784.465826392574</v>
      </c>
      <c r="N16" s="3218"/>
      <c r="O16" s="3219"/>
      <c r="Q16" s="1888" t="s">
        <v>3912</v>
      </c>
      <c r="R16" s="1888" t="s">
        <v>4238</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-344198</v>
      </c>
      <c r="C19" s="23">
        <f t="shared" ref="C19:K19" si="4">$B$19*(1+$B$6)^(C13-1)</f>
        <v>-354523.94</v>
      </c>
      <c r="D19" s="23">
        <f t="shared" si="4"/>
        <v>-365159.65820000001</v>
      </c>
      <c r="E19" s="23">
        <f t="shared" si="4"/>
        <v>-376114.44794600003</v>
      </c>
      <c r="F19" s="23">
        <f t="shared" si="4"/>
        <v>-387397.88138437999</v>
      </c>
      <c r="G19" s="23">
        <f t="shared" si="4"/>
        <v>-399019.81782591133</v>
      </c>
      <c r="H19" s="23">
        <f t="shared" si="4"/>
        <v>-410990.41236068873</v>
      </c>
      <c r="I19" s="23">
        <f t="shared" si="4"/>
        <v>-423320.12473150942</v>
      </c>
      <c r="J19" s="23">
        <f t="shared" si="4"/>
        <v>-436019.72847345466</v>
      </c>
      <c r="K19" s="24">
        <f t="shared" si="4"/>
        <v>-449100.32032765826</v>
      </c>
      <c r="N19" s="3218"/>
      <c r="O19" s="3219"/>
      <c r="Q19" s="63">
        <v>1</v>
      </c>
      <c r="R19" s="1197">
        <f>-B29</f>
        <v>35411</v>
      </c>
      <c r="S19" s="1197">
        <f>B30+R19</f>
        <v>35411.21728089964</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-31563</v>
      </c>
      <c r="C20" s="23">
        <f>IF(AND('Part VII-Pro Forma'!$G$8="Yes",'Part VII-Pro Forma'!$G$9="Yes"),"Choose One!",IF('Part VII-Pro Forma'!$G$8="Yes",ROUND((-$K$8*(1+'Part VII-Pro Forma'!$B$6)^('Part VII-Pro Forma'!C13-1)),),IF('Part VII-Pro Forma'!$G$9="Yes",ROUND((-(SUM(C14:C17)*'Part VII-Pro Forma'!$K$9)),),"Choose mgt fee")))</f>
        <v>-32195</v>
      </c>
      <c r="D20" s="23">
        <f>IF(AND('Part VII-Pro Forma'!$G$8="Yes",'Part VII-Pro Forma'!$G$9="Yes"),"Choose One!",IF('Part VII-Pro Forma'!$G$8="Yes",ROUND((-$K$8*(1+'Part VII-Pro Forma'!$B$6)^('Part VII-Pro Forma'!D13-1)),),IF('Part VII-Pro Forma'!$G$9="Yes",ROUND((-(SUM(D14:D17)*'Part VII-Pro Forma'!$K$9)),),"Choose mgt fee")))</f>
        <v>-32838</v>
      </c>
      <c r="E20" s="23">
        <f>IF(AND('Part VII-Pro Forma'!$G$8="Yes",'Part VII-Pro Forma'!$G$9="Yes"),"Choose One!",IF('Part VII-Pro Forma'!$G$8="Yes",ROUND((-$K$8*(1+'Part VII-Pro Forma'!$B$6)^('Part VII-Pro Forma'!E13-1)),),IF('Part VII-Pro Forma'!$G$9="Yes",ROUND((-(SUM(E14:E17)*'Part VII-Pro Forma'!$K$9)),),"Choose mgt fee")))</f>
        <v>-33495</v>
      </c>
      <c r="F20" s="23">
        <f>IF(AND('Part VII-Pro Forma'!$G$8="Yes",'Part VII-Pro Forma'!$G$9="Yes"),"Choose One!",IF('Part VII-Pro Forma'!$G$8="Yes",ROUND((-$K$8*(1+'Part VII-Pro Forma'!$B$6)^('Part VII-Pro Forma'!F13-1)),),IF('Part VII-Pro Forma'!$G$9="Yes",ROUND((-(SUM(F14:F17)*'Part VII-Pro Forma'!$K$9)),),"Choose mgt fee")))</f>
        <v>-34165</v>
      </c>
      <c r="G20" s="23">
        <f>IF(AND('Part VII-Pro Forma'!$G$8="Yes",'Part VII-Pro Forma'!$G$9="Yes"),"Choose One!",IF('Part VII-Pro Forma'!$G$8="Yes",ROUND((-$K$8*(1+'Part VII-Pro Forma'!$B$6)^('Part VII-Pro Forma'!G13-1)),),IF('Part VII-Pro Forma'!$G$9="Yes",ROUND((-(SUM(G14:G17)*'Part VII-Pro Forma'!$K$9)),),"Choose mgt fee")))</f>
        <v>-34848</v>
      </c>
      <c r="H20" s="23">
        <f>IF(AND('Part VII-Pro Forma'!$G$8="Yes",'Part VII-Pro Forma'!$G$9="Yes"),"Choose One!",IF('Part VII-Pro Forma'!$G$8="Yes",ROUND((-$K$8*(1+'Part VII-Pro Forma'!$B$6)^('Part VII-Pro Forma'!H13-1)),),IF('Part VII-Pro Forma'!$G$9="Yes",ROUND((-(SUM(H14:H17)*'Part VII-Pro Forma'!$K$9)),),"Choose mgt fee")))</f>
        <v>-35545</v>
      </c>
      <c r="I20" s="23">
        <f>IF(AND('Part VII-Pro Forma'!$G$8="Yes",'Part VII-Pro Forma'!$G$9="Yes"),"Choose One!",IF('Part VII-Pro Forma'!$G$8="Yes",ROUND((-$K$8*(1+'Part VII-Pro Forma'!$B$6)^('Part VII-Pro Forma'!I13-1)),),IF('Part VII-Pro Forma'!$G$9="Yes",ROUND((-(SUM(I14:I17)*'Part VII-Pro Forma'!$K$9)),),"Choose mgt fee")))</f>
        <v>-36256</v>
      </c>
      <c r="J20" s="23">
        <f>IF(AND('Part VII-Pro Forma'!$G$8="Yes",'Part VII-Pro Forma'!$G$9="Yes"),"Choose One!",IF('Part VII-Pro Forma'!$G$8="Yes",ROUND((-$K$8*(1+'Part VII-Pro Forma'!$B$6)^('Part VII-Pro Forma'!J13-1)),),IF('Part VII-Pro Forma'!$G$9="Yes",ROUND((-(SUM(J14:J17)*'Part VII-Pro Forma'!$K$9)),),"Choose mgt fee")))</f>
        <v>-36981</v>
      </c>
      <c r="K20" s="23">
        <f>IF(AND('Part VII-Pro Forma'!$G$8="Yes",'Part VII-Pro Forma'!$G$9="Yes"),"Choose One!",IF('Part VII-Pro Forma'!$G$8="Yes",ROUND((-$K$8*(1+'Part VII-Pro Forma'!$B$6)^('Part VII-Pro Forma'!K13-1)),),IF('Part VII-Pro Forma'!$G$9="Yes",ROUND((-(SUM(K14:K17)*'Part VII-Pro Forma'!$K$9)),),"Choose mgt fee")))</f>
        <v>-37721</v>
      </c>
      <c r="N20" s="3218"/>
      <c r="O20" s="3219"/>
      <c r="Q20" s="63">
        <v>2</v>
      </c>
      <c r="R20" s="1197">
        <f>-SUM($B$29:$C$29)</f>
        <v>71920</v>
      </c>
      <c r="S20" s="1197">
        <f>SUM($B$30:$C$30)+R20</f>
        <v>71919.829345799342</v>
      </c>
    </row>
    <row r="21" spans="1:19" ht="13.15" customHeight="1">
      <c r="A21" s="22" t="s">
        <v>1214</v>
      </c>
      <c r="B21" s="23">
        <f>-('Part VI-Revenues &amp; Expenses'!$P$179)</f>
        <v>-19000</v>
      </c>
      <c r="C21" s="23">
        <f t="shared" ref="C21:K21" si="5">$B$21*(1+$B$7)^(C13-1)</f>
        <v>-19570</v>
      </c>
      <c r="D21" s="23">
        <f t="shared" si="5"/>
        <v>-20157.099999999999</v>
      </c>
      <c r="E21" s="23">
        <f t="shared" si="5"/>
        <v>-20761.812999999998</v>
      </c>
      <c r="F21" s="23">
        <f t="shared" si="5"/>
        <v>-21384.667389999999</v>
      </c>
      <c r="G21" s="23">
        <f t="shared" si="5"/>
        <v>-22026.207411699997</v>
      </c>
      <c r="H21" s="23">
        <f t="shared" si="5"/>
        <v>-22686.993634050999</v>
      </c>
      <c r="I21" s="23">
        <f t="shared" si="5"/>
        <v>-23367.60344307253</v>
      </c>
      <c r="J21" s="23">
        <f t="shared" si="5"/>
        <v>-24068.631546364704</v>
      </c>
      <c r="K21" s="24">
        <f t="shared" si="5"/>
        <v>-24790.690492755646</v>
      </c>
      <c r="N21" s="3218"/>
      <c r="O21" s="3219"/>
      <c r="Q21" s="63">
        <v>3</v>
      </c>
      <c r="R21" s="1197">
        <f>-SUM($B$29:$D$29)</f>
        <v>81444</v>
      </c>
      <c r="S21" s="1197">
        <f>SUM($B$30:$D$30)+R21</f>
        <v>109440.46469037907</v>
      </c>
    </row>
    <row r="22" spans="1:19" ht="13.15" customHeight="1">
      <c r="A22" s="22" t="s">
        <v>1215</v>
      </c>
      <c r="B22" s="23">
        <f t="shared" ref="B22:K22" si="6">SUM(B14:B21)</f>
        <v>236505.73919999995</v>
      </c>
      <c r="C22" s="23">
        <f t="shared" si="6"/>
        <v>237603.13398400001</v>
      </c>
      <c r="D22" s="23">
        <f t="shared" si="6"/>
        <v>238615.15726368004</v>
      </c>
      <c r="E22" s="23">
        <f t="shared" si="6"/>
        <v>239534.05282695344</v>
      </c>
      <c r="F22" s="23">
        <f t="shared" si="6"/>
        <v>240355.87127403266</v>
      </c>
      <c r="G22" s="23">
        <f t="shared" si="6"/>
        <v>241075.46321176965</v>
      </c>
      <c r="H22" s="23">
        <f t="shared" si="6"/>
        <v>241686.47222362878</v>
      </c>
      <c r="I22" s="23">
        <f t="shared" si="6"/>
        <v>242183.32760815375</v>
      </c>
      <c r="J22" s="23">
        <f t="shared" si="6"/>
        <v>242560.23687857122</v>
      </c>
      <c r="K22" s="24">
        <f t="shared" si="6"/>
        <v>242810.17801594458</v>
      </c>
      <c r="N22" s="3218"/>
      <c r="O22" s="3219"/>
      <c r="Q22" s="1040">
        <v>4</v>
      </c>
      <c r="R22" s="1197">
        <f>-SUM($B$29:$E$29)</f>
        <v>81444</v>
      </c>
      <c r="S22" s="1197">
        <f>SUM($B$30:$E$30)+R22</f>
        <v>147879.9955982322</v>
      </c>
    </row>
    <row r="23" spans="1:19" ht="13.15" customHeight="1">
      <c r="A23" s="435" t="s">
        <v>1603</v>
      </c>
      <c r="B23" s="3226">
        <f>IF('Part III-Sources of Funds'!$N$37="", 0,-'Part III-Sources of Funds'!$N$37)</f>
        <v>-196094.52191910031</v>
      </c>
      <c r="C23" s="3226">
        <f>IF('Part III-Sources of Funds'!$N$37="", 0,-'Part III-Sources of Funds'!$N$37)</f>
        <v>-196094.52191910031</v>
      </c>
      <c r="D23" s="3226">
        <f>IF('Part III-Sources of Funds'!$N$37="", 0,-'Part III-Sources of Funds'!$N$37)</f>
        <v>-196094.52191910031</v>
      </c>
      <c r="E23" s="3226">
        <f>IF('Part III-Sources of Funds'!$N$37="", 0,-'Part III-Sources of Funds'!$N$37)</f>
        <v>-196094.52191910031</v>
      </c>
      <c r="F23" s="3226">
        <f>IF('Part III-Sources of Funds'!$N$37="", 0,-'Part III-Sources of Funds'!$N$37)</f>
        <v>-196094.52191910031</v>
      </c>
      <c r="G23" s="3226">
        <f>IF('Part III-Sources of Funds'!$N$37="", 0,-'Part III-Sources of Funds'!$N$37)</f>
        <v>-196094.52191910031</v>
      </c>
      <c r="H23" s="3226">
        <f>IF('Part III-Sources of Funds'!$N$37="", 0,-'Part III-Sources of Funds'!$N$37)</f>
        <v>-196094.52191910031</v>
      </c>
      <c r="I23" s="3226">
        <f>IF('Part III-Sources of Funds'!$N$37="", 0,-'Part III-Sources of Funds'!$N$37)</f>
        <v>-196094.52191910031</v>
      </c>
      <c r="J23" s="3226">
        <f>IF('Part III-Sources of Funds'!$N$37="", 0,-'Part III-Sources of Funds'!$N$37)</f>
        <v>-196094.52191910031</v>
      </c>
      <c r="K23" s="3226">
        <f>IF('Part III-Sources of Funds'!$N$37="", 0,-'Part III-Sources of Funds'!$N$37)</f>
        <v>-196094.52191910031</v>
      </c>
      <c r="N23" s="3218"/>
      <c r="O23" s="3219"/>
      <c r="Q23" s="1040">
        <v>5</v>
      </c>
      <c r="R23" s="1197">
        <f>-SUM($B$29:$F$29)</f>
        <v>81444</v>
      </c>
      <c r="S23" s="1197">
        <f>SUM($B$30:$F$30)+R23</f>
        <v>187141.34495316455</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81444</v>
      </c>
      <c r="S24" s="1197">
        <f>SUM($B$30:$G$30)+R24</f>
        <v>227122.28624583388</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81444</v>
      </c>
      <c r="S25" s="1197">
        <f>SUM($B$30:$H$30)+R25</f>
        <v>267714.23655036232</v>
      </c>
    </row>
    <row r="26" spans="1:19" ht="13.15" customHeight="1">
      <c r="A26" s="435" t="s">
        <v>3880</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81444</v>
      </c>
      <c r="S26" s="1197">
        <f>SUM($B$30:$I$30)+R26</f>
        <v>308803.04223941581</v>
      </c>
    </row>
    <row r="27" spans="1:19" ht="13.15" customHeight="1">
      <c r="A27" s="22" t="s">
        <v>771</v>
      </c>
      <c r="B27" s="3228"/>
      <c r="C27" s="3228"/>
      <c r="D27" s="3228"/>
      <c r="E27" s="3228"/>
      <c r="F27" s="3228"/>
      <c r="G27" s="3228"/>
      <c r="H27" s="3228"/>
      <c r="I27" s="3228"/>
      <c r="J27" s="3228"/>
      <c r="K27" s="3228"/>
      <c r="N27" s="3218"/>
      <c r="O27" s="3219"/>
      <c r="Q27" s="1040">
        <v>9</v>
      </c>
      <c r="R27" s="1197">
        <f>-SUM($B$29:$J$29)</f>
        <v>81444</v>
      </c>
      <c r="S27" s="1197">
        <f>SUM($B$30:$J$30)+R27</f>
        <v>350268.75719888671</v>
      </c>
    </row>
    <row r="28" spans="1:19" ht="13.15" customHeight="1">
      <c r="A28" s="435" t="s">
        <v>1174</v>
      </c>
      <c r="B28" s="3229">
        <f>-$G$5</f>
        <v>-5000</v>
      </c>
      <c r="C28" s="3229">
        <f t="shared" ref="C28:K28" si="7">+B28</f>
        <v>-5000</v>
      </c>
      <c r="D28" s="3229">
        <f t="shared" si="7"/>
        <v>-5000</v>
      </c>
      <c r="E28" s="3229">
        <f t="shared" si="7"/>
        <v>-5000</v>
      </c>
      <c r="F28" s="3229">
        <f t="shared" si="7"/>
        <v>-5000</v>
      </c>
      <c r="G28" s="3229">
        <f t="shared" si="7"/>
        <v>-5000</v>
      </c>
      <c r="H28" s="3229">
        <f t="shared" si="7"/>
        <v>-5000</v>
      </c>
      <c r="I28" s="3229">
        <f t="shared" si="7"/>
        <v>-5000</v>
      </c>
      <c r="J28" s="3229">
        <f t="shared" si="7"/>
        <v>-5000</v>
      </c>
      <c r="K28" s="3229">
        <f t="shared" si="7"/>
        <v>-5000</v>
      </c>
      <c r="N28" s="3218"/>
      <c r="O28" s="3219"/>
      <c r="Q28" s="1040">
        <v>10</v>
      </c>
      <c r="R28" s="1197">
        <f>-SUM($B$29:$K$29)</f>
        <v>81444</v>
      </c>
      <c r="S28" s="1197">
        <f>SUM($B$30:$K$30)+R28</f>
        <v>391984.41329573095</v>
      </c>
    </row>
    <row r="29" spans="1:19" ht="13.15" customHeight="1">
      <c r="A29" s="435" t="s">
        <v>4127</v>
      </c>
      <c r="B29" s="3230">
        <v>-35411</v>
      </c>
      <c r="C29" s="3230">
        <v>-36509</v>
      </c>
      <c r="D29" s="3230">
        <v>-9524</v>
      </c>
      <c r="E29" s="3230">
        <v>0</v>
      </c>
      <c r="F29" s="3230">
        <v>0</v>
      </c>
      <c r="G29" s="3230">
        <v>0</v>
      </c>
      <c r="H29" s="3230">
        <v>0</v>
      </c>
      <c r="I29" s="3230">
        <v>0</v>
      </c>
      <c r="J29" s="3230">
        <v>0</v>
      </c>
      <c r="K29" s="3230">
        <v>0</v>
      </c>
      <c r="N29" s="3218"/>
      <c r="O29" s="3219"/>
      <c r="Q29" s="1040">
        <v>11</v>
      </c>
      <c r="R29" s="1197">
        <f>-SUM($B$29:$K$29)-$B$59</f>
        <v>81444</v>
      </c>
      <c r="S29" s="1197">
        <f>SUM($B$30:$K$30)+$B$60+R29</f>
        <v>433816.78284468991</v>
      </c>
    </row>
    <row r="30" spans="1:19" ht="13.15" customHeight="1">
      <c r="A30" s="22" t="s">
        <v>1175</v>
      </c>
      <c r="B30" s="23">
        <f>SUM(B22:B29)</f>
        <v>0.21728089964017272</v>
      </c>
      <c r="C30" s="23">
        <f t="shared" ref="C30:K30" si="8">SUM(C22:C29)</f>
        <v>-0.38793510029790923</v>
      </c>
      <c r="D30" s="23">
        <f t="shared" si="8"/>
        <v>27996.635344579729</v>
      </c>
      <c r="E30" s="23">
        <f t="shared" si="8"/>
        <v>38439.530907853128</v>
      </c>
      <c r="F30" s="23">
        <f t="shared" si="8"/>
        <v>39261.349354932347</v>
      </c>
      <c r="G30" s="23">
        <f t="shared" si="8"/>
        <v>39980.941292669333</v>
      </c>
      <c r="H30" s="23">
        <f t="shared" si="8"/>
        <v>40591.950304528465</v>
      </c>
      <c r="I30" s="23">
        <f t="shared" si="8"/>
        <v>41088.805689053435</v>
      </c>
      <c r="J30" s="23">
        <f t="shared" si="8"/>
        <v>41465.714959470904</v>
      </c>
      <c r="K30" s="23">
        <f t="shared" si="8"/>
        <v>41715.656096844265</v>
      </c>
      <c r="N30" s="3218"/>
      <c r="O30" s="3219"/>
      <c r="Q30" s="1040">
        <v>12</v>
      </c>
      <c r="R30" s="1197">
        <f>-SUM($B$29:$K$29) - SUM($B$59:$C$59)</f>
        <v>81444</v>
      </c>
      <c r="S30" s="1197">
        <f>SUM($B$30:$K$30) + SUM($B$60:$C$60)+R30</f>
        <v>475627.13281155971</v>
      </c>
    </row>
    <row r="31" spans="1:19" ht="13.15" customHeight="1">
      <c r="A31" s="22" t="str">
        <f>IF('Part III-Sources of Funds'!$E$37 = "Neither", "", "DCR Mortgage A")</f>
        <v>DCR Mortgage A</v>
      </c>
      <c r="B31" s="25">
        <f t="shared" ref="B31:K31" si="9">IF(B23=0,"",-B22/B23)</f>
        <v>1.2060802968150812</v>
      </c>
      <c r="C31" s="25">
        <f t="shared" si="9"/>
        <v>1.2116765509748624</v>
      </c>
      <c r="D31" s="25">
        <f t="shared" si="9"/>
        <v>1.2168374461889446</v>
      </c>
      <c r="E31" s="25">
        <f t="shared" si="9"/>
        <v>1.221523429021512</v>
      </c>
      <c r="F31" s="25">
        <f t="shared" si="9"/>
        <v>1.2257143591863957</v>
      </c>
      <c r="G31" s="25">
        <f t="shared" si="9"/>
        <v>1.2293839769334629</v>
      </c>
      <c r="H31" s="25">
        <f t="shared" si="9"/>
        <v>1.23249986719842</v>
      </c>
      <c r="I31" s="25">
        <f t="shared" si="9"/>
        <v>1.235033621735071</v>
      </c>
      <c r="J31" s="25">
        <f t="shared" si="9"/>
        <v>1.2369557012849168</v>
      </c>
      <c r="K31" s="26">
        <f t="shared" si="9"/>
        <v>1.2382302964899601</v>
      </c>
      <c r="N31" s="3218"/>
      <c r="O31" s="3219"/>
      <c r="Q31" s="1040">
        <v>13</v>
      </c>
      <c r="R31" s="1197">
        <f>-SUM($B$29:$K$29) - SUM($B$59:$D$59)</f>
        <v>81444</v>
      </c>
      <c r="S31" s="1197">
        <f>SUM($B$30:$K$30) + SUM($B$60:$D$60)+R31</f>
        <v>517267.97048235533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81444</v>
      </c>
      <c r="S32" s="1197">
        <f>SUM($B$30:$K$30) + SUM($B$60:$E$60)+R32</f>
        <v>558584.78031914111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81444</v>
      </c>
      <c r="S33" s="1197">
        <f>SUM($B$30:$K$30) + SUM($B$60:$F$60)+R33</f>
        <v>599416.75171446288</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81444</v>
      </c>
      <c r="S34" s="1197">
        <f>SUM($B$30:$K$30) + SUM($B$60:$G$60)+R34</f>
        <v>639593.49734719354</v>
      </c>
    </row>
    <row r="35" spans="1:19" ht="13.15" customHeight="1">
      <c r="A35" s="435" t="s">
        <v>3738</v>
      </c>
      <c r="B35" s="25">
        <f t="shared" ref="B35:K35" si="13">IF(AND(B23=0,B24=0,B25=0,B26=0),"",-B22/(B23+B24+B25+B26))</f>
        <v>1.2060802968150812</v>
      </c>
      <c r="C35" s="25">
        <f t="shared" si="13"/>
        <v>1.2116765509748624</v>
      </c>
      <c r="D35" s="25">
        <f t="shared" si="13"/>
        <v>1.2168374461889446</v>
      </c>
      <c r="E35" s="25">
        <f t="shared" si="13"/>
        <v>1.221523429021512</v>
      </c>
      <c r="F35" s="25">
        <f t="shared" si="13"/>
        <v>1.2257143591863957</v>
      </c>
      <c r="G35" s="25">
        <f t="shared" si="13"/>
        <v>1.2293839769334629</v>
      </c>
      <c r="H35" s="25">
        <f t="shared" si="13"/>
        <v>1.23249986719842</v>
      </c>
      <c r="I35" s="25">
        <f t="shared" si="13"/>
        <v>1.235033621735071</v>
      </c>
      <c r="J35" s="25">
        <f t="shared" si="13"/>
        <v>1.2369557012849168</v>
      </c>
      <c r="K35" s="26">
        <f t="shared" si="13"/>
        <v>1.2382302964899601</v>
      </c>
      <c r="N35" s="3218"/>
      <c r="O35" s="3219"/>
      <c r="Q35" s="63">
        <v>17</v>
      </c>
      <c r="R35" s="1197">
        <f>-SUM($B$29:$K$29) - SUM($B$59:$H$59)</f>
        <v>81444</v>
      </c>
      <c r="S35" s="1197">
        <f>SUM($B$30:$K$30) + SUM($B$60:$H$60)+R35</f>
        <v>678936.76183321537</v>
      </c>
    </row>
    <row r="36" spans="1:19" ht="13.15" customHeight="1">
      <c r="A36" s="22" t="s">
        <v>778</v>
      </c>
      <c r="B36" s="274">
        <f t="shared" ref="B36:K36" si="14">IF(OR(B20="Choose mgt fee",B20="Choose One!"),"",(B14+B15+B16+B17+B18) / -(B19+B20+B21))</f>
        <v>1.5991112070341293</v>
      </c>
      <c r="C36" s="274">
        <f t="shared" si="14"/>
        <v>1.5848131971891728</v>
      </c>
      <c r="D36" s="274">
        <f t="shared" si="14"/>
        <v>1.5706383882628268</v>
      </c>
      <c r="E36" s="274">
        <f t="shared" si="14"/>
        <v>1.5565753909785542</v>
      </c>
      <c r="F36" s="274">
        <f t="shared" si="14"/>
        <v>1.5426282907289783</v>
      </c>
      <c r="G36" s="274">
        <f t="shared" si="14"/>
        <v>1.5287971543082222</v>
      </c>
      <c r="H36" s="274">
        <f t="shared" si="14"/>
        <v>1.5150787113655826</v>
      </c>
      <c r="I36" s="274">
        <f t="shared" si="14"/>
        <v>1.5014731809926427</v>
      </c>
      <c r="J36" s="274">
        <f t="shared" si="14"/>
        <v>1.4879806650502452</v>
      </c>
      <c r="K36" s="275">
        <f t="shared" si="14"/>
        <v>1.474598275412998</v>
      </c>
      <c r="N36" s="3218"/>
      <c r="O36" s="3219"/>
      <c r="Q36" s="63">
        <v>18</v>
      </c>
      <c r="R36" s="1197">
        <f>-SUM($B$29:$K$29) - SUM($B$59:$I$59)</f>
        <v>81444</v>
      </c>
      <c r="S36" s="1197">
        <f>SUM($B$30:$K$30) + SUM($B$60:$I$60)+R36</f>
        <v>717261.12035466195</v>
      </c>
    </row>
    <row r="37" spans="1:19" ht="13.15" customHeight="1">
      <c r="A37" s="435" t="s">
        <v>2634</v>
      </c>
      <c r="B37" s="3231">
        <f>IF('Part III-Sources of Funds'!$I$37="","",-FV('Part III-Sources of Funds'!$K$37/12,12,B23/12,'Part III-Sources of Funds'!$I$37))</f>
        <v>2874318.3838962568</v>
      </c>
      <c r="C37" s="3231">
        <f>IF('Part III-Sources of Funds'!$I$37="","",-FV('Part III-Sources of Funds'!$K$37/12,12,C23/12,B37))</f>
        <v>2847079.8994890405</v>
      </c>
      <c r="D37" s="3231">
        <f>IF('Part III-Sources of Funds'!$I$37="","",-FV('Part III-Sources of Funds'!$K$37/12,12,D23/12,C37))</f>
        <v>2818190.1664673709</v>
      </c>
      <c r="E37" s="3231">
        <f>IF('Part III-Sources of Funds'!$I$37="","",-FV('Part III-Sources of Funds'!$K$37/12,12,E23/12,D37))</f>
        <v>2787549.0830067126</v>
      </c>
      <c r="F37" s="3231">
        <f>IF('Part III-Sources of Funds'!$I$37="","",-FV('Part III-Sources of Funds'!$K$37/12,12,F23/12,E37))</f>
        <v>2755050.4789199666</v>
      </c>
      <c r="G37" s="3231">
        <f>IF('Part III-Sources of Funds'!$I$37="","",-FV('Part III-Sources of Funds'!$K$37/12,12,G23/12,F37))</f>
        <v>2720581.7477818164</v>
      </c>
      <c r="H37" s="3231">
        <f>IF('Part III-Sources of Funds'!$I$37="","",-FV('Part III-Sources of Funds'!$K$37/12,12,H23/12,G37))</f>
        <v>2684023.4567517522</v>
      </c>
      <c r="I37" s="3231">
        <f>IF('Part III-Sources of Funds'!$I$37="","",-FV('Part III-Sources of Funds'!$K$37/12,12,I23/12,H37))</f>
        <v>2645248.9327438287</v>
      </c>
      <c r="J37" s="3231">
        <f>IF('Part III-Sources of Funds'!$I$37="","",-FV('Part III-Sources of Funds'!$K$37/12,12,J23/12,I37))</f>
        <v>2604123.8235092466</v>
      </c>
      <c r="K37" s="3231">
        <f>IF('Part III-Sources of Funds'!$I$37="","",-FV('Part III-Sources of Funds'!$K$37/12,12,K23/12,J37))</f>
        <v>2560505.6321109277</v>
      </c>
      <c r="N37" s="3218"/>
      <c r="O37" s="3219"/>
      <c r="Q37" s="1040">
        <v>19</v>
      </c>
      <c r="R37" s="1197">
        <f>-SUM($B$29:$K$29) - SUM($B$59:$J$59)</f>
        <v>81444</v>
      </c>
      <c r="S37" s="1197">
        <f>SUM($B$30:$K$30) + SUM($B$60:$J$60)+R37</f>
        <v>754370.66694146092</v>
      </c>
    </row>
    <row r="38" spans="1:19" ht="13.1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81444</v>
      </c>
      <c r="S38" s="1197">
        <f>SUM($B$30:$K$30) + SUM($B$60:$K$60)+R38</f>
        <v>790060.69206861581</v>
      </c>
    </row>
    <row r="39" spans="1:19" ht="13.1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4128</v>
      </c>
      <c r="B41" s="3230">
        <f>IF('Part III-Sources of Funds'!$I$42="","",-FV('Part III-Sources of Funds'!$K$42/12,12,B29/12,'Part III-Sources of Funds'!$I$42))</f>
        <v>46033</v>
      </c>
      <c r="C41" s="3230">
        <f>IF('Part III-Sources of Funds'!$I$42="","",IF(-FV('Part III-Sources of Funds'!$K$42/12,12,C29/12,B41)&gt;0,-FV('Part III-Sources of Funds'!$K$42/12,12,C29/12,B41),0))</f>
        <v>9524</v>
      </c>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811206.65466275101</v>
      </c>
      <c r="C44" s="20">
        <f t="shared" si="16"/>
        <v>827430.78775600588</v>
      </c>
      <c r="D44" s="20">
        <f t="shared" si="16"/>
        <v>843979.40351112618</v>
      </c>
      <c r="E44" s="20">
        <f t="shared" si="16"/>
        <v>860858.99158134859</v>
      </c>
      <c r="F44" s="20">
        <f t="shared" si="16"/>
        <v>878076.17141297564</v>
      </c>
      <c r="G44" s="20">
        <f t="shared" si="16"/>
        <v>895637.69484123494</v>
      </c>
      <c r="H44" s="20">
        <f t="shared" si="16"/>
        <v>913550.44873805973</v>
      </c>
      <c r="I44" s="20">
        <f t="shared" si="16"/>
        <v>931821.45771282108</v>
      </c>
      <c r="J44" s="20">
        <f t="shared" si="16"/>
        <v>950457.88686707732</v>
      </c>
      <c r="K44" s="21">
        <f t="shared" si="16"/>
        <v>969467.04460441892</v>
      </c>
      <c r="N44" s="3216"/>
      <c r="O44" s="3217"/>
    </row>
    <row r="45" spans="1:19" ht="13.15" customHeight="1">
      <c r="A45" s="22" t="s">
        <v>1026</v>
      </c>
      <c r="B45" s="23">
        <f t="shared" ref="B45:K45" si="17">$B$15*(1+$B$5)^(B43-1)</f>
        <v>16224.133093255021</v>
      </c>
      <c r="C45" s="23">
        <f t="shared" si="17"/>
        <v>16548.615755120118</v>
      </c>
      <c r="D45" s="23">
        <f t="shared" si="17"/>
        <v>16879.588070222522</v>
      </c>
      <c r="E45" s="23">
        <f t="shared" si="17"/>
        <v>17217.179831626974</v>
      </c>
      <c r="F45" s="23">
        <f t="shared" si="17"/>
        <v>17561.523428259512</v>
      </c>
      <c r="G45" s="23">
        <f t="shared" si="17"/>
        <v>17912.753896824699</v>
      </c>
      <c r="H45" s="23">
        <f t="shared" si="17"/>
        <v>18271.008974761196</v>
      </c>
      <c r="I45" s="23">
        <f t="shared" si="17"/>
        <v>18636.429154256421</v>
      </c>
      <c r="J45" s="23">
        <f t="shared" si="17"/>
        <v>19009.157737341549</v>
      </c>
      <c r="K45" s="24">
        <f t="shared" si="17"/>
        <v>19389.340892088378</v>
      </c>
      <c r="N45" s="3218"/>
      <c r="O45" s="3219"/>
    </row>
    <row r="46" spans="1:19" ht="13.15" customHeight="1">
      <c r="A46" s="22" t="s">
        <v>2421</v>
      </c>
      <c r="B46" s="23">
        <f t="shared" ref="B46:K46" si="18">-(B44+B45)*$B$8</f>
        <v>-57920.155142920426</v>
      </c>
      <c r="C46" s="23">
        <f t="shared" si="18"/>
        <v>-59078.558245778833</v>
      </c>
      <c r="D46" s="23">
        <f t="shared" si="18"/>
        <v>-60260.129410694411</v>
      </c>
      <c r="E46" s="23">
        <f t="shared" si="18"/>
        <v>-61465.331998908296</v>
      </c>
      <c r="F46" s="23">
        <f t="shared" si="18"/>
        <v>-62694.63863888647</v>
      </c>
      <c r="G46" s="23">
        <f t="shared" si="18"/>
        <v>-63948.531411664182</v>
      </c>
      <c r="H46" s="23">
        <f t="shared" si="18"/>
        <v>-65227.502039897474</v>
      </c>
      <c r="I46" s="23">
        <f t="shared" si="18"/>
        <v>-66532.05208069543</v>
      </c>
      <c r="J46" s="23">
        <f t="shared" si="18"/>
        <v>-67862.693122309327</v>
      </c>
      <c r="K46" s="24">
        <f t="shared" si="18"/>
        <v>-69219.946984755516</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9">$B$19*(1+$B$6)^(B43-1)</f>
        <v>-462573.32993748802</v>
      </c>
      <c r="C49" s="23">
        <f t="shared" si="19"/>
        <v>-476450.52983561269</v>
      </c>
      <c r="D49" s="23">
        <f t="shared" si="19"/>
        <v>-490744.04573068098</v>
      </c>
      <c r="E49" s="23">
        <f t="shared" si="19"/>
        <v>-505466.36710260139</v>
      </c>
      <c r="F49" s="23">
        <f t="shared" si="19"/>
        <v>-520630.35811567953</v>
      </c>
      <c r="G49" s="23">
        <f t="shared" si="19"/>
        <v>-536249.26885914989</v>
      </c>
      <c r="H49" s="23">
        <f t="shared" si="19"/>
        <v>-552336.74692492431</v>
      </c>
      <c r="I49" s="23">
        <f t="shared" si="19"/>
        <v>-568906.84933267208</v>
      </c>
      <c r="J49" s="23">
        <f t="shared" si="19"/>
        <v>-585974.05481265218</v>
      </c>
      <c r="K49" s="24">
        <f t="shared" si="19"/>
        <v>-603553.27645703172</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-38476</v>
      </c>
      <c r="C50" s="23">
        <f>IF(AND('Part VII-Pro Forma'!$G$8="Yes",'Part VII-Pro Forma'!$G$9="Yes"),"Choose One!",IF('Part VII-Pro Forma'!$G$8="Yes",ROUND((-$K$8*(1+'Part VII-Pro Forma'!$B$6)^('Part VII-Pro Forma'!C43-1)),),IF('Part VII-Pro Forma'!$G$9="Yes",ROUND((-(SUM(C44:C47)*'Part VII-Pro Forma'!$K$9)),),"Choose mgt fee")))</f>
        <v>-39245</v>
      </c>
      <c r="D50" s="23">
        <f>IF(AND('Part VII-Pro Forma'!$G$8="Yes",'Part VII-Pro Forma'!$G$9="Yes"),"Choose One!",IF('Part VII-Pro Forma'!$G$8="Yes",ROUND((-$K$8*(1+'Part VII-Pro Forma'!$B$6)^('Part VII-Pro Forma'!D43-1)),),IF('Part VII-Pro Forma'!$G$9="Yes",ROUND((-(SUM(D44:D47)*'Part VII-Pro Forma'!$K$9)),),"Choose mgt fee")))</f>
        <v>-40030</v>
      </c>
      <c r="E50" s="23">
        <f>IF(AND('Part VII-Pro Forma'!$G$8="Yes",'Part VII-Pro Forma'!$G$9="Yes"),"Choose One!",IF('Part VII-Pro Forma'!$G$8="Yes",ROUND((-$K$8*(1+'Part VII-Pro Forma'!$B$6)^('Part VII-Pro Forma'!E43-1)),),IF('Part VII-Pro Forma'!$G$9="Yes",ROUND((-(SUM(E44:E47)*'Part VII-Pro Forma'!$K$9)),),"Choose mgt fee")))</f>
        <v>-40831</v>
      </c>
      <c r="F50" s="23">
        <f>IF(AND('Part VII-Pro Forma'!$G$8="Yes",'Part VII-Pro Forma'!$G$9="Yes"),"Choose One!",IF('Part VII-Pro Forma'!$G$8="Yes",ROUND((-$K$8*(1+'Part VII-Pro Forma'!$B$6)^('Part VII-Pro Forma'!F43-1)),),IF('Part VII-Pro Forma'!$G$9="Yes",ROUND((-(SUM(F44:F47)*'Part VII-Pro Forma'!$K$9)),),"Choose mgt fee")))</f>
        <v>-41647</v>
      </c>
      <c r="G50" s="23">
        <f>IF(AND('Part VII-Pro Forma'!$G$8="Yes",'Part VII-Pro Forma'!$G$9="Yes"),"Choose One!",IF('Part VII-Pro Forma'!$G$8="Yes",ROUND((-$K$8*(1+'Part VII-Pro Forma'!$B$6)^('Part VII-Pro Forma'!G43-1)),),IF('Part VII-Pro Forma'!$G$9="Yes",ROUND((-(SUM(G44:G47)*'Part VII-Pro Forma'!$K$9)),),"Choose mgt fee")))</f>
        <v>-42480</v>
      </c>
      <c r="H50" s="23">
        <f>IF(AND('Part VII-Pro Forma'!$G$8="Yes",'Part VII-Pro Forma'!$G$9="Yes"),"Choose One!",IF('Part VII-Pro Forma'!$G$8="Yes",ROUND((-$K$8*(1+'Part VII-Pro Forma'!$B$6)^('Part VII-Pro Forma'!H43-1)),),IF('Part VII-Pro Forma'!$G$9="Yes",ROUND((-(SUM(H44:H47)*'Part VII-Pro Forma'!$K$9)),),"Choose mgt fee")))</f>
        <v>-43330</v>
      </c>
      <c r="I50" s="23">
        <f>IF(AND('Part VII-Pro Forma'!$G$8="Yes",'Part VII-Pro Forma'!$G$9="Yes"),"Choose One!",IF('Part VII-Pro Forma'!$G$8="Yes",ROUND((-$K$8*(1+'Part VII-Pro Forma'!$B$6)^('Part VII-Pro Forma'!I43-1)),),IF('Part VII-Pro Forma'!$G$9="Yes",ROUND((-(SUM(I44:I47)*'Part VII-Pro Forma'!$K$9)),),"Choose mgt fee")))</f>
        <v>-44196</v>
      </c>
      <c r="J50" s="23">
        <f>IF(AND('Part VII-Pro Forma'!$G$8="Yes",'Part VII-Pro Forma'!$G$9="Yes"),"Choose One!",IF('Part VII-Pro Forma'!$G$8="Yes",ROUND((-$K$8*(1+'Part VII-Pro Forma'!$B$6)^('Part VII-Pro Forma'!J43-1)),),IF('Part VII-Pro Forma'!$G$9="Yes",ROUND((-(SUM(J44:J47)*'Part VII-Pro Forma'!$K$9)),),"Choose mgt fee")))</f>
        <v>-45080</v>
      </c>
      <c r="K50" s="23">
        <f>IF(AND('Part VII-Pro Forma'!$G$8="Yes",'Part VII-Pro Forma'!$G$9="Yes"),"Choose One!",IF('Part VII-Pro Forma'!$G$8="Yes",ROUND((-$K$8*(1+'Part VII-Pro Forma'!$B$6)^('Part VII-Pro Forma'!K43-1)),),IF('Part VII-Pro Forma'!$G$9="Yes",ROUND((-(SUM(K44:K47)*'Part VII-Pro Forma'!$K$9)),),"Choose mgt fee")))</f>
        <v>-45982</v>
      </c>
      <c r="N50" s="3218"/>
      <c r="O50" s="3219"/>
    </row>
    <row r="51" spans="1:18" ht="13.15" customHeight="1">
      <c r="A51" s="22" t="s">
        <v>1214</v>
      </c>
      <c r="B51" s="23">
        <f t="shared" ref="B51:K51" si="20">$B$21*(1+$B$7)^(B43-1)</f>
        <v>-25534.411207538313</v>
      </c>
      <c r="C51" s="23">
        <f t="shared" si="20"/>
        <v>-26300.443543764464</v>
      </c>
      <c r="D51" s="23">
        <f t="shared" si="20"/>
        <v>-27089.456850077393</v>
      </c>
      <c r="E51" s="23">
        <f t="shared" si="20"/>
        <v>-27902.140555579714</v>
      </c>
      <c r="F51" s="23">
        <f t="shared" si="20"/>
        <v>-28739.204772247111</v>
      </c>
      <c r="G51" s="23">
        <f t="shared" si="20"/>
        <v>-29601.380915414524</v>
      </c>
      <c r="H51" s="23">
        <f t="shared" si="20"/>
        <v>-30489.422342876955</v>
      </c>
      <c r="I51" s="23">
        <f t="shared" si="20"/>
        <v>-31404.105013163262</v>
      </c>
      <c r="J51" s="23">
        <f t="shared" si="20"/>
        <v>-32346.22816355816</v>
      </c>
      <c r="K51" s="24">
        <f t="shared" si="20"/>
        <v>-33316.615008464905</v>
      </c>
      <c r="N51" s="3218"/>
      <c r="O51" s="3219"/>
    </row>
    <row r="52" spans="1:18" ht="13.15" customHeight="1">
      <c r="A52" s="22" t="s">
        <v>1215</v>
      </c>
      <c r="B52" s="23">
        <f t="shared" ref="B52:K52" si="21">SUM(B44:B51)</f>
        <v>242926.89146805924</v>
      </c>
      <c r="C52" s="23">
        <f t="shared" si="21"/>
        <v>242904.87188597012</v>
      </c>
      <c r="D52" s="23">
        <f t="shared" si="21"/>
        <v>242735.35958989596</v>
      </c>
      <c r="E52" s="23">
        <f t="shared" si="21"/>
        <v>242411.33175588612</v>
      </c>
      <c r="F52" s="23">
        <f t="shared" si="21"/>
        <v>241926.49331442203</v>
      </c>
      <c r="G52" s="23">
        <f t="shared" si="21"/>
        <v>241271.267551831</v>
      </c>
      <c r="H52" s="23">
        <f t="shared" si="21"/>
        <v>240437.7864051222</v>
      </c>
      <c r="I52" s="23">
        <f t="shared" si="21"/>
        <v>239418.88044054681</v>
      </c>
      <c r="J52" s="23">
        <f t="shared" si="21"/>
        <v>238204.06850589928</v>
      </c>
      <c r="K52" s="24">
        <f t="shared" si="21"/>
        <v>236784.5470462552</v>
      </c>
      <c r="N52" s="3218"/>
      <c r="O52" s="3219"/>
    </row>
    <row r="53" spans="1:18" ht="13.15" customHeight="1">
      <c r="A53" s="22" t="str">
        <f>$A23</f>
        <v>Mortgage A</v>
      </c>
      <c r="B53" s="3226">
        <f>IF('Part III-Sources of Funds'!$N$37="", 0,-'Part III-Sources of Funds'!$N$37)</f>
        <v>-196094.52191910031</v>
      </c>
      <c r="C53" s="3226">
        <f>IF('Part III-Sources of Funds'!$N$37="", 0,-'Part III-Sources of Funds'!$N$37)</f>
        <v>-196094.52191910031</v>
      </c>
      <c r="D53" s="3226">
        <f>IF('Part III-Sources of Funds'!$N$37="", 0,-'Part III-Sources of Funds'!$N$37)</f>
        <v>-196094.52191910031</v>
      </c>
      <c r="E53" s="3226">
        <f>IF('Part III-Sources of Funds'!$N$37="", 0,-'Part III-Sources of Funds'!$N$37)</f>
        <v>-196094.52191910031</v>
      </c>
      <c r="F53" s="3226">
        <f>IF('Part III-Sources of Funds'!$N$37="", 0,-'Part III-Sources of Funds'!$N$37)</f>
        <v>-196094.52191910031</v>
      </c>
      <c r="G53" s="3226">
        <f>IF('Part III-Sources of Funds'!$N$37="", 0,-'Part III-Sources of Funds'!$N$37)</f>
        <v>-196094.52191910031</v>
      </c>
      <c r="H53" s="3226">
        <f>IF('Part III-Sources of Funds'!$N$37="", 0,-'Part III-Sources of Funds'!$N$37)</f>
        <v>-196094.52191910031</v>
      </c>
      <c r="I53" s="3226">
        <f>IF('Part III-Sources of Funds'!$N$37="", 0,-'Part III-Sources of Funds'!$N$37)</f>
        <v>-196094.52191910031</v>
      </c>
      <c r="J53" s="3226">
        <f>IF('Part III-Sources of Funds'!$N$37="", 0,-'Part III-Sources of Funds'!$N$37)</f>
        <v>-196094.52191910031</v>
      </c>
      <c r="K53" s="3226">
        <f>IF('Part III-Sources of Funds'!$N$37="", 0,-'Part III-Sources of Funds'!$N$37)</f>
        <v>-196094.52191910031</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f>+K28</f>
        <v>-5000</v>
      </c>
      <c r="C58" s="3227">
        <f t="shared" ref="C58:K58" si="22">+B58</f>
        <v>-5000</v>
      </c>
      <c r="D58" s="3227">
        <f t="shared" si="22"/>
        <v>-5000</v>
      </c>
      <c r="E58" s="3227">
        <f t="shared" si="22"/>
        <v>-5000</v>
      </c>
      <c r="F58" s="3227">
        <f t="shared" si="22"/>
        <v>-5000</v>
      </c>
      <c r="G58" s="3227">
        <f t="shared" si="22"/>
        <v>-5000</v>
      </c>
      <c r="H58" s="3227">
        <f t="shared" si="22"/>
        <v>-5000</v>
      </c>
      <c r="I58" s="3227">
        <f t="shared" si="22"/>
        <v>-5000</v>
      </c>
      <c r="J58" s="3227">
        <f t="shared" si="22"/>
        <v>-5000</v>
      </c>
      <c r="K58" s="3227">
        <f t="shared" si="22"/>
        <v>-5000</v>
      </c>
      <c r="N58" s="3218"/>
      <c r="O58" s="3219"/>
      <c r="Q58" s="1040"/>
      <c r="R58" s="1197"/>
    </row>
    <row r="59" spans="1:18" ht="13.15" customHeight="1">
      <c r="A59" s="435" t="s">
        <v>4127</v>
      </c>
      <c r="B59" s="3230">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1175</v>
      </c>
      <c r="B60" s="23">
        <f>SUM(B52:B59)</f>
        <v>41832.36954895893</v>
      </c>
      <c r="C60" s="23">
        <f t="shared" ref="C60:K60" si="23">SUM(C52:C59)</f>
        <v>41810.349966869806</v>
      </c>
      <c r="D60" s="23">
        <f t="shared" si="23"/>
        <v>41640.837670795649</v>
      </c>
      <c r="E60" s="23">
        <f t="shared" si="23"/>
        <v>41316.809836785804</v>
      </c>
      <c r="F60" s="23">
        <f t="shared" si="23"/>
        <v>40831.971395321714</v>
      </c>
      <c r="G60" s="23">
        <f t="shared" si="23"/>
        <v>40176.745632730686</v>
      </c>
      <c r="H60" s="23">
        <f t="shared" si="23"/>
        <v>39343.264486021886</v>
      </c>
      <c r="I60" s="23">
        <f t="shared" si="23"/>
        <v>38324.358521446498</v>
      </c>
      <c r="J60" s="23">
        <f t="shared" si="23"/>
        <v>37109.54658679897</v>
      </c>
      <c r="K60" s="23">
        <f t="shared" si="23"/>
        <v>35690.025127154891</v>
      </c>
      <c r="N60" s="3218"/>
      <c r="O60" s="3219"/>
    </row>
    <row r="61" spans="1:18" ht="13.15" customHeight="1">
      <c r="A61" s="22" t="str">
        <f>$A31</f>
        <v>DCR Mortgage A</v>
      </c>
      <c r="B61" s="25">
        <f t="shared" ref="B61:K61" si="24">IF(B53=0,"",-B52/B53)</f>
        <v>1.2388254862534092</v>
      </c>
      <c r="C61" s="25">
        <f t="shared" si="24"/>
        <v>1.2387131955995263</v>
      </c>
      <c r="D61" s="25">
        <f t="shared" si="24"/>
        <v>1.2378487538271852</v>
      </c>
      <c r="E61" s="25">
        <f t="shared" si="24"/>
        <v>1.2361963474731539</v>
      </c>
      <c r="F61" s="25">
        <f t="shared" si="24"/>
        <v>1.2337238743172536</v>
      </c>
      <c r="G61" s="25">
        <f t="shared" si="24"/>
        <v>1.230382497127424</v>
      </c>
      <c r="H61" s="25">
        <f t="shared" si="24"/>
        <v>1.2261320920750449</v>
      </c>
      <c r="I61" s="25">
        <f t="shared" si="24"/>
        <v>1.2209360980482675</v>
      </c>
      <c r="J61" s="25">
        <f t="shared" si="24"/>
        <v>1.2147410655570046</v>
      </c>
      <c r="K61" s="26">
        <f t="shared" si="24"/>
        <v>1.2075021001552595</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3738</v>
      </c>
      <c r="B65" s="25">
        <f t="shared" ref="B65:K65" si="28">IF(AND(B53=0,B54=0,B55=0,B56=0),"",-B52/(B53+B54+B55+B56))</f>
        <v>1.2388254862534092</v>
      </c>
      <c r="C65" s="25">
        <f t="shared" si="28"/>
        <v>1.2387131955995263</v>
      </c>
      <c r="D65" s="25">
        <f t="shared" si="28"/>
        <v>1.2378487538271852</v>
      </c>
      <c r="E65" s="25">
        <f t="shared" si="28"/>
        <v>1.2361963474731539</v>
      </c>
      <c r="F65" s="25">
        <f t="shared" si="28"/>
        <v>1.2337238743172536</v>
      </c>
      <c r="G65" s="25">
        <f t="shared" si="28"/>
        <v>1.230382497127424</v>
      </c>
      <c r="H65" s="25">
        <f t="shared" si="28"/>
        <v>1.2261320920750449</v>
      </c>
      <c r="I65" s="25">
        <f t="shared" si="28"/>
        <v>1.2209360980482675</v>
      </c>
      <c r="J65" s="25">
        <f t="shared" si="28"/>
        <v>1.2147410655570046</v>
      </c>
      <c r="K65" s="26">
        <f t="shared" si="28"/>
        <v>1.2075021001552595</v>
      </c>
      <c r="N65" s="3218"/>
      <c r="O65" s="3219"/>
    </row>
    <row r="66" spans="1:15" ht="13.15" customHeight="1">
      <c r="A66" s="22" t="s">
        <v>778</v>
      </c>
      <c r="B66" s="274">
        <f t="shared" ref="B66:K66" si="29">IF(OR(B50="Choose mgt fee",B50="Choose One!"),"",(B44+B45+B46+B47+B48) / -(B49+B50+B51))</f>
        <v>1.4613262288346174</v>
      </c>
      <c r="C66" s="274">
        <f t="shared" si="29"/>
        <v>1.4481672997890442</v>
      </c>
      <c r="D66" s="274">
        <f t="shared" si="29"/>
        <v>1.4351160426644989</v>
      </c>
      <c r="E66" s="274">
        <f t="shared" si="29"/>
        <v>1.4221726569298851</v>
      </c>
      <c r="F66" s="274">
        <f t="shared" si="29"/>
        <v>1.409339616697507</v>
      </c>
      <c r="G66" s="274">
        <f t="shared" si="29"/>
        <v>1.3966120524113679</v>
      </c>
      <c r="H66" s="274">
        <f t="shared" si="29"/>
        <v>1.3839901261154695</v>
      </c>
      <c r="I66" s="274">
        <f t="shared" si="29"/>
        <v>1.3714760233790702</v>
      </c>
      <c r="J66" s="274">
        <f t="shared" si="29"/>
        <v>1.3590653706646689</v>
      </c>
      <c r="K66" s="275">
        <f t="shared" si="29"/>
        <v>1.346758279512241</v>
      </c>
      <c r="N66" s="3218"/>
      <c r="O66" s="3219"/>
    </row>
    <row r="67" spans="1:15" ht="13.15" customHeight="1">
      <c r="A67" s="435" t="s">
        <v>2634</v>
      </c>
      <c r="B67" s="3231">
        <f>IF('Part III-Sources of Funds'!$I$37="","",-FV('Part III-Sources of Funds'!$K$37/12,12,B53/12,K37))</f>
        <v>2514243.2231770563</v>
      </c>
      <c r="C67" s="3231">
        <f>IF('Part III-Sources of Funds'!$I$37="","",-FV('Part III-Sources of Funds'!$K$37/12,12,C53/12,B67))</f>
        <v>2465176.2992227711</v>
      </c>
      <c r="D67" s="3231">
        <f>IF('Part III-Sources of Funds'!$I$37="","",-FV('Part III-Sources of Funds'!$K$37/12,12,D53/12,C67))</f>
        <v>2413134.8452254874</v>
      </c>
      <c r="E67" s="3231">
        <f>IF('Part III-Sources of Funds'!$I$37="","",-FV('Part III-Sources of Funds'!$K$37/12,12,E53/12,D67))</f>
        <v>2357938.5395293189</v>
      </c>
      <c r="F67" s="3231">
        <f>IF('Part III-Sources of Funds'!$I$37="","",-FV('Part III-Sources of Funds'!$K$37/12,12,F53/12,E67))</f>
        <v>2299396.1290374077</v>
      </c>
      <c r="G67" s="3231">
        <f>IF('Part III-Sources of Funds'!$I$37="","",-FV('Part III-Sources of Funds'!$K$37/12,12,G53/12,F67))</f>
        <v>2237304.766527229</v>
      </c>
      <c r="H67" s="3231">
        <f>IF('Part III-Sources of Funds'!$I$37="","",-FV('Part III-Sources of Funds'!$K$37/12,12,H53/12,G67))</f>
        <v>2171449.3077926915</v>
      </c>
      <c r="I67" s="3231">
        <f>IF('Part III-Sources of Funds'!$I$37="","",-FV('Part III-Sources of Funds'!$K$37/12,12,I53/12,H67))</f>
        <v>2101601.5661776573</v>
      </c>
      <c r="J67" s="3231">
        <f>IF('Part III-Sources of Funds'!$I$37="","",-FV('Part III-Sources of Funds'!$K$37/12,12,J53/12,I67))</f>
        <v>2027519.5219178703</v>
      </c>
      <c r="K67" s="3231">
        <f>IF('Part III-Sources of Funds'!$I$37="","",-FV('Part III-Sources of Funds'!$K$37/12,12,K53/12,J67))</f>
        <v>1948946.4835516913</v>
      </c>
      <c r="N67" s="3218"/>
      <c r="O67" s="3219"/>
    </row>
    <row r="68" spans="1:15" ht="13.1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4128</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988856.3854965074</v>
      </c>
      <c r="C74" s="20">
        <f t="shared" si="31"/>
        <v>1008633.5132064375</v>
      </c>
      <c r="D74" s="20">
        <f t="shared" si="31"/>
        <v>1028806.1834705662</v>
      </c>
      <c r="E74" s="20">
        <f t="shared" si="31"/>
        <v>1049382.3071399773</v>
      </c>
      <c r="F74" s="20">
        <f t="shared" si="31"/>
        <v>1070369.953282777</v>
      </c>
      <c r="G74" s="20">
        <f t="shared" si="31"/>
        <v>1091777.3523484324</v>
      </c>
      <c r="H74" s="20">
        <f t="shared" si="31"/>
        <v>1113612.8993954014</v>
      </c>
      <c r="I74" s="20">
        <f t="shared" si="31"/>
        <v>1135885.157383309</v>
      </c>
      <c r="J74" s="20">
        <f t="shared" si="31"/>
        <v>1158602.8605309755</v>
      </c>
      <c r="K74" s="21">
        <f t="shared" si="31"/>
        <v>1181774.9177415948</v>
      </c>
      <c r="N74" s="3216"/>
      <c r="O74" s="3217"/>
    </row>
    <row r="75" spans="1:15" ht="13.15" customHeight="1">
      <c r="A75" s="22" t="s">
        <v>1026</v>
      </c>
      <c r="B75" s="23">
        <f t="shared" ref="B75:K75" si="32">$B$15*(1+$B$5)^(B73-1)</f>
        <v>19777.127709930148</v>
      </c>
      <c r="C75" s="23">
        <f t="shared" si="32"/>
        <v>20172.670264128748</v>
      </c>
      <c r="D75" s="23">
        <f t="shared" si="32"/>
        <v>20576.123669411325</v>
      </c>
      <c r="E75" s="23">
        <f t="shared" si="32"/>
        <v>20987.646142799549</v>
      </c>
      <c r="F75" s="23">
        <f t="shared" si="32"/>
        <v>21407.39906565554</v>
      </c>
      <c r="G75" s="23">
        <f t="shared" si="32"/>
        <v>21835.547046968652</v>
      </c>
      <c r="H75" s="23">
        <f t="shared" si="32"/>
        <v>22272.257987908026</v>
      </c>
      <c r="I75" s="23">
        <f t="shared" si="32"/>
        <v>22717.703147666183</v>
      </c>
      <c r="J75" s="23">
        <f t="shared" si="32"/>
        <v>23172.05721061951</v>
      </c>
      <c r="K75" s="24">
        <f t="shared" si="32"/>
        <v>23635.498354831896</v>
      </c>
      <c r="N75" s="3218"/>
      <c r="O75" s="3219"/>
    </row>
    <row r="76" spans="1:15" ht="13.15" customHeight="1">
      <c r="A76" s="22" t="s">
        <v>2421</v>
      </c>
      <c r="B76" s="23">
        <f t="shared" ref="B76:K76" si="33">-(B74+B75)*$B$8</f>
        <v>-70604.345924450638</v>
      </c>
      <c r="C76" s="23">
        <f t="shared" si="33"/>
        <v>-72016.432842939641</v>
      </c>
      <c r="D76" s="23">
        <f t="shared" si="33"/>
        <v>-73456.761499798435</v>
      </c>
      <c r="E76" s="23">
        <f t="shared" si="33"/>
        <v>-74925.896729794389</v>
      </c>
      <c r="F76" s="23">
        <f t="shared" si="33"/>
        <v>-76424.414664390279</v>
      </c>
      <c r="G76" s="23">
        <f t="shared" si="33"/>
        <v>-77952.902957678089</v>
      </c>
      <c r="H76" s="23">
        <f t="shared" si="33"/>
        <v>-79511.961016831672</v>
      </c>
      <c r="I76" s="23">
        <f t="shared" si="33"/>
        <v>-81102.200237168276</v>
      </c>
      <c r="J76" s="23">
        <f t="shared" si="33"/>
        <v>-82724.244241911656</v>
      </c>
      <c r="K76" s="24">
        <f t="shared" si="33"/>
        <v>-84378.72912674988</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4">$B$19*(1+$B$6)^(B73-1)</f>
        <v>-621659.87475074269</v>
      </c>
      <c r="C79" s="23">
        <f t="shared" si="34"/>
        <v>-640309.67099326488</v>
      </c>
      <c r="D79" s="23">
        <f t="shared" si="34"/>
        <v>-659518.96112306288</v>
      </c>
      <c r="E79" s="23">
        <f t="shared" si="34"/>
        <v>-679304.52995675488</v>
      </c>
      <c r="F79" s="23">
        <f t="shared" si="34"/>
        <v>-699683.66585545742</v>
      </c>
      <c r="G79" s="23">
        <f t="shared" si="34"/>
        <v>-720674.17583112104</v>
      </c>
      <c r="H79" s="23">
        <f t="shared" si="34"/>
        <v>-742294.40110605478</v>
      </c>
      <c r="I79" s="23">
        <f t="shared" si="34"/>
        <v>-764563.23313923634</v>
      </c>
      <c r="J79" s="23">
        <f t="shared" si="34"/>
        <v>-787500.13013341348</v>
      </c>
      <c r="K79" s="24">
        <f t="shared" si="34"/>
        <v>-811125.13403741585</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-46901</v>
      </c>
      <c r="C80" s="23">
        <f>IF(AND('Part VII-Pro Forma'!$G$8="Yes",'Part VII-Pro Forma'!$G$9="Yes"),"Choose One!",IF('Part VII-Pro Forma'!$G$8="Yes",ROUND((-$K$8*(1+'Part VII-Pro Forma'!$B$6)^('Part VII-Pro Forma'!C73-1)),),IF('Part VII-Pro Forma'!$G$9="Yes",ROUND((-(SUM(C74:C77)*'Part VII-Pro Forma'!$K$9)),),"Choose mgt fee")))</f>
        <v>-47839</v>
      </c>
      <c r="D80" s="23">
        <f>IF(AND('Part VII-Pro Forma'!$G$8="Yes",'Part VII-Pro Forma'!$G$9="Yes"),"Choose One!",IF('Part VII-Pro Forma'!$G$8="Yes",ROUND((-$K$8*(1+'Part VII-Pro Forma'!$B$6)^('Part VII-Pro Forma'!D73-1)),),IF('Part VII-Pro Forma'!$G$9="Yes",ROUND((-(SUM(D74:D77)*'Part VII-Pro Forma'!$K$9)),),"Choose mgt fee")))</f>
        <v>-48796</v>
      </c>
      <c r="E80" s="23">
        <f>IF(AND('Part VII-Pro Forma'!$G$8="Yes",'Part VII-Pro Forma'!$G$9="Yes"),"Choose One!",IF('Part VII-Pro Forma'!$G$8="Yes",ROUND((-$K$8*(1+'Part VII-Pro Forma'!$B$6)^('Part VII-Pro Forma'!E73-1)),),IF('Part VII-Pro Forma'!$G$9="Yes",ROUND((-(SUM(E74:E77)*'Part VII-Pro Forma'!$K$9)),),"Choose mgt fee")))</f>
        <v>-49772</v>
      </c>
      <c r="F80" s="23">
        <f>IF(AND('Part VII-Pro Forma'!$G$8="Yes",'Part VII-Pro Forma'!$G$9="Yes"),"Choose One!",IF('Part VII-Pro Forma'!$G$8="Yes",ROUND((-$K$8*(1+'Part VII-Pro Forma'!$B$6)^('Part VII-Pro Forma'!F73-1)),),IF('Part VII-Pro Forma'!$G$9="Yes",ROUND((-(SUM(F74:F77)*'Part VII-Pro Forma'!$K$9)),),"Choose mgt fee")))</f>
        <v>-50768</v>
      </c>
      <c r="G80" s="23">
        <f>IF(AND('Part VII-Pro Forma'!$G$8="Yes",'Part VII-Pro Forma'!$G$9="Yes"),"Choose One!",IF('Part VII-Pro Forma'!$G$8="Yes",ROUND((-$K$8*(1+'Part VII-Pro Forma'!$B$6)^('Part VII-Pro Forma'!G73-1)),),IF('Part VII-Pro Forma'!$G$9="Yes",ROUND((-(SUM(G74:G77)*'Part VII-Pro Forma'!$K$9)),),"Choose mgt fee")))</f>
        <v>-51783</v>
      </c>
      <c r="H80" s="23">
        <f>IF(AND('Part VII-Pro Forma'!$G$8="Yes",'Part VII-Pro Forma'!$G$9="Yes"),"Choose One!",IF('Part VII-Pro Forma'!$G$8="Yes",ROUND((-$K$8*(1+'Part VII-Pro Forma'!$B$6)^('Part VII-Pro Forma'!H73-1)),),IF('Part VII-Pro Forma'!$G$9="Yes",ROUND((-(SUM(H74:H77)*'Part VII-Pro Forma'!$K$9)),),"Choose mgt fee")))</f>
        <v>-52819</v>
      </c>
      <c r="I80" s="23">
        <f>IF(AND('Part VII-Pro Forma'!$G$8="Yes",'Part VII-Pro Forma'!$G$9="Yes"),"Choose One!",IF('Part VII-Pro Forma'!$G$8="Yes",ROUND((-$K$8*(1+'Part VII-Pro Forma'!$B$6)^('Part VII-Pro Forma'!I73-1)),),IF('Part VII-Pro Forma'!$G$9="Yes",ROUND((-(SUM(I74:I77)*'Part VII-Pro Forma'!$K$9)),),"Choose mgt fee")))</f>
        <v>-53875</v>
      </c>
      <c r="J80" s="23">
        <f>IF(AND('Part VII-Pro Forma'!$G$8="Yes",'Part VII-Pro Forma'!$G$9="Yes"),"Choose One!",IF('Part VII-Pro Forma'!$G$8="Yes",ROUND((-$K$8*(1+'Part VII-Pro Forma'!$B$6)^('Part VII-Pro Forma'!J73-1)),),IF('Part VII-Pro Forma'!$G$9="Yes",ROUND((-(SUM(J74:J77)*'Part VII-Pro Forma'!$K$9)),),"Choose mgt fee")))</f>
        <v>-54953</v>
      </c>
      <c r="K80" s="23">
        <f>IF(AND('Part VII-Pro Forma'!$G$8="Yes",'Part VII-Pro Forma'!$G$9="Yes"),"Choose One!",IF('Part VII-Pro Forma'!$G$8="Yes",ROUND((-$K$8*(1+'Part VII-Pro Forma'!$B$6)^('Part VII-Pro Forma'!K73-1)),),IF('Part VII-Pro Forma'!$G$9="Yes",ROUND((-(SUM(K74:K77)*'Part VII-Pro Forma'!$K$9)),),"Choose mgt fee")))</f>
        <v>-56052</v>
      </c>
      <c r="N80" s="3218"/>
      <c r="O80" s="3219"/>
    </row>
    <row r="81" spans="1:15" ht="13.15" customHeight="1">
      <c r="A81" s="22" t="s">
        <v>1214</v>
      </c>
      <c r="B81" s="23">
        <f t="shared" ref="B81:K81" si="35">$B$21*(1+$B$7)^(B73-1)</f>
        <v>-34316.11345871885</v>
      </c>
      <c r="C81" s="23">
        <f t="shared" si="35"/>
        <v>-35345.596862480415</v>
      </c>
      <c r="D81" s="23">
        <f t="shared" si="35"/>
        <v>-36405.964768354832</v>
      </c>
      <c r="E81" s="23">
        <f t="shared" si="35"/>
        <v>-37498.143711405479</v>
      </c>
      <c r="F81" s="23">
        <f t="shared" si="35"/>
        <v>-38623.088022747637</v>
      </c>
      <c r="G81" s="23">
        <f t="shared" si="35"/>
        <v>-39781.780663430065</v>
      </c>
      <c r="H81" s="23">
        <f t="shared" si="35"/>
        <v>-40975.234083332973</v>
      </c>
      <c r="I81" s="23">
        <f t="shared" si="35"/>
        <v>-42204.491105832953</v>
      </c>
      <c r="J81" s="23">
        <f t="shared" si="35"/>
        <v>-43470.625839007946</v>
      </c>
      <c r="K81" s="24">
        <f t="shared" si="35"/>
        <v>-44774.744614178177</v>
      </c>
      <c r="N81" s="3218"/>
      <c r="O81" s="3219"/>
    </row>
    <row r="82" spans="1:15" ht="13.15" customHeight="1">
      <c r="A82" s="22" t="s">
        <v>1215</v>
      </c>
      <c r="B82" s="23">
        <f t="shared" ref="B82:K82" si="36">SUM(B74:B81)</f>
        <v>235152.17907252538</v>
      </c>
      <c r="C82" s="23">
        <f t="shared" si="36"/>
        <v>233295.48277188124</v>
      </c>
      <c r="D82" s="23">
        <f t="shared" si="36"/>
        <v>231204.61974876147</v>
      </c>
      <c r="E82" s="23">
        <f t="shared" si="36"/>
        <v>228869.38288482229</v>
      </c>
      <c r="F82" s="23">
        <f t="shared" si="36"/>
        <v>226278.18380583709</v>
      </c>
      <c r="G82" s="23">
        <f t="shared" si="36"/>
        <v>223421.03994317196</v>
      </c>
      <c r="H82" s="23">
        <f t="shared" si="36"/>
        <v>220284.56117709001</v>
      </c>
      <c r="I82" s="23">
        <f t="shared" si="36"/>
        <v>216857.93604873776</v>
      </c>
      <c r="J82" s="23">
        <f t="shared" si="36"/>
        <v>213126.91752726195</v>
      </c>
      <c r="K82" s="24">
        <f t="shared" si="36"/>
        <v>209079.80831808297</v>
      </c>
      <c r="N82" s="3218"/>
      <c r="O82" s="3219"/>
    </row>
    <row r="83" spans="1:15" ht="13.15" customHeight="1">
      <c r="A83" s="22" t="str">
        <f>$A53</f>
        <v>Mortgage A</v>
      </c>
      <c r="B83" s="3226">
        <f>IF('Part III-Sources of Funds'!$N$37="", 0,-'Part III-Sources of Funds'!$N$37)</f>
        <v>-196094.52191910031</v>
      </c>
      <c r="C83" s="3226">
        <f>IF('Part III-Sources of Funds'!$N$37="", 0,-'Part III-Sources of Funds'!$N$37)</f>
        <v>-196094.52191910031</v>
      </c>
      <c r="D83" s="3226">
        <f>IF('Part III-Sources of Funds'!$N$37="", 0,-'Part III-Sources of Funds'!$N$37)</f>
        <v>-196094.52191910031</v>
      </c>
      <c r="E83" s="3226">
        <f>IF('Part III-Sources of Funds'!$N$37="", 0,-'Part III-Sources of Funds'!$N$37)</f>
        <v>-196094.52191910031</v>
      </c>
      <c r="F83" s="3226">
        <f>IF('Part III-Sources of Funds'!$N$37="", 0,-'Part III-Sources of Funds'!$N$37)</f>
        <v>-196094.52191910031</v>
      </c>
      <c r="G83" s="3226">
        <f>IF('Part III-Sources of Funds'!$N$37="", 0,-'Part III-Sources of Funds'!$N$37)</f>
        <v>-196094.52191910031</v>
      </c>
      <c r="H83" s="3226">
        <f>IF('Part III-Sources of Funds'!$N$37="", 0,-'Part III-Sources of Funds'!$N$37)</f>
        <v>-196094.52191910031</v>
      </c>
      <c r="I83" s="3226">
        <f>IF('Part III-Sources of Funds'!$N$37="", 0,-'Part III-Sources of Funds'!$N$37)</f>
        <v>-196094.52191910031</v>
      </c>
      <c r="J83" s="3226">
        <f>IF('Part III-Sources of Funds'!$N$37="", 0,-'Part III-Sources of Funds'!$N$37)</f>
        <v>-196094.52191910031</v>
      </c>
      <c r="K83" s="3226">
        <f>IF('Part III-Sources of Funds'!$N$37="", 0,-'Part III-Sources of Funds'!$N$37)</f>
        <v>-196094.52191910031</v>
      </c>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f>+K58</f>
        <v>-5000</v>
      </c>
      <c r="C88" s="3230">
        <f t="shared" ref="C88:K88" si="37">+B88</f>
        <v>-5000</v>
      </c>
      <c r="D88" s="3230">
        <f t="shared" si="37"/>
        <v>-5000</v>
      </c>
      <c r="E88" s="3230">
        <f t="shared" si="37"/>
        <v>-5000</v>
      </c>
      <c r="F88" s="3230">
        <f t="shared" si="37"/>
        <v>-5000</v>
      </c>
      <c r="G88" s="3230">
        <f t="shared" si="37"/>
        <v>-5000</v>
      </c>
      <c r="H88" s="3230">
        <f t="shared" si="37"/>
        <v>-5000</v>
      </c>
      <c r="I88" s="3230">
        <f t="shared" si="37"/>
        <v>-5000</v>
      </c>
      <c r="J88" s="3230">
        <f t="shared" si="37"/>
        <v>-5000</v>
      </c>
      <c r="K88" s="3230">
        <f t="shared" si="37"/>
        <v>-5000</v>
      </c>
      <c r="N88" s="3218"/>
      <c r="O88" s="3219"/>
    </row>
    <row r="89" spans="1:15" ht="13.15" customHeight="1">
      <c r="A89" s="22" t="s">
        <v>1175</v>
      </c>
      <c r="B89" s="23">
        <f t="shared" ref="B89:K89" si="38">SUM(B82:B88)</f>
        <v>34057.657153425069</v>
      </c>
      <c r="C89" s="23">
        <f t="shared" si="38"/>
        <v>32200.960852780932</v>
      </c>
      <c r="D89" s="23">
        <f t="shared" si="38"/>
        <v>30110.097829661157</v>
      </c>
      <c r="E89" s="23">
        <f t="shared" si="38"/>
        <v>27774.860965721979</v>
      </c>
      <c r="F89" s="23">
        <f t="shared" si="38"/>
        <v>25183.66188673678</v>
      </c>
      <c r="G89" s="23">
        <f t="shared" si="38"/>
        <v>22326.518024071644</v>
      </c>
      <c r="H89" s="23">
        <f t="shared" si="38"/>
        <v>19190.039257989702</v>
      </c>
      <c r="I89" s="23">
        <f t="shared" si="38"/>
        <v>15763.414129637444</v>
      </c>
      <c r="J89" s="23">
        <f t="shared" si="38"/>
        <v>12032.395608161634</v>
      </c>
      <c r="K89" s="24">
        <f t="shared" si="38"/>
        <v>7985.2863989826583</v>
      </c>
      <c r="N89" s="3218"/>
      <c r="O89" s="3219"/>
    </row>
    <row r="90" spans="1:15" ht="13.15" customHeight="1">
      <c r="A90" s="22" t="str">
        <f>$A61</f>
        <v>DCR Mortgage A</v>
      </c>
      <c r="B90" s="25">
        <f>IF(B83=0,"",-B82/B83)</f>
        <v>1.1991777066038514</v>
      </c>
      <c r="C90" s="25">
        <f t="shared" ref="C90:K90" si="39">IF(C83=0,"",-C82/C83)</f>
        <v>1.1897093324622723</v>
      </c>
      <c r="D90" s="25">
        <f t="shared" si="39"/>
        <v>1.1790468060303387</v>
      </c>
      <c r="E90" s="25">
        <f t="shared" si="39"/>
        <v>1.1671380752759803</v>
      </c>
      <c r="F90" s="25">
        <f t="shared" si="39"/>
        <v>1.1539240443401535</v>
      </c>
      <c r="G90" s="25">
        <f t="shared" si="39"/>
        <v>1.1393538063003377</v>
      </c>
      <c r="H90" s="25">
        <f t="shared" si="39"/>
        <v>1.1233590771493831</v>
      </c>
      <c r="I90" s="25">
        <f t="shared" si="39"/>
        <v>1.1058847229715243</v>
      </c>
      <c r="J90" s="25">
        <f t="shared" si="39"/>
        <v>1.0868580898715183</v>
      </c>
      <c r="K90" s="26">
        <f t="shared" si="39"/>
        <v>1.0662195265421019</v>
      </c>
      <c r="N90" s="3218"/>
      <c r="O90" s="321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15" customHeight="1">
      <c r="A94" s="435" t="s">
        <v>3738</v>
      </c>
      <c r="B94" s="25">
        <f>IF(AND(B83=0,B84=0,B85=0,B86=0),"",-B82/(B83+B84+B85+B86))</f>
        <v>1.1991777066038514</v>
      </c>
      <c r="C94" s="25">
        <f t="shared" ref="C94:K94" si="43">IF(AND(C83=0,C84=0,C85=0,C86=0),"",-C82/(C83+C84+C85+C86))</f>
        <v>1.1897093324622723</v>
      </c>
      <c r="D94" s="25">
        <f t="shared" si="43"/>
        <v>1.1790468060303387</v>
      </c>
      <c r="E94" s="25">
        <f t="shared" si="43"/>
        <v>1.1671380752759803</v>
      </c>
      <c r="F94" s="25">
        <f t="shared" si="43"/>
        <v>1.1539240443401535</v>
      </c>
      <c r="G94" s="25">
        <f t="shared" si="43"/>
        <v>1.1393538063003377</v>
      </c>
      <c r="H94" s="25">
        <f t="shared" si="43"/>
        <v>1.1233590771493831</v>
      </c>
      <c r="I94" s="25">
        <f t="shared" si="43"/>
        <v>1.1058847229715243</v>
      </c>
      <c r="J94" s="25">
        <f t="shared" si="43"/>
        <v>1.0868580898715183</v>
      </c>
      <c r="K94" s="26">
        <f t="shared" si="43"/>
        <v>1.0662195265421019</v>
      </c>
      <c r="N94" s="3218"/>
      <c r="O94" s="3219"/>
    </row>
    <row r="95" spans="1:15" ht="13.15" customHeight="1">
      <c r="A95" s="22" t="s">
        <v>778</v>
      </c>
      <c r="B95" s="274">
        <f>IF(OR(B80="Choose mgt fee",B80="Choose One!"),"",(B74+B75+B76+B77+B78) / -(B79+B80+B81))</f>
        <v>1.3345566621430613</v>
      </c>
      <c r="C95" s="274">
        <f t="shared" ref="C95:K95" si="44">IF(OR(C80="Choose mgt fee",C80="Choose One!"),"",(C74+C75+C76+C77+C78) / -(C79+C80+C81))</f>
        <v>1.3224565737933354</v>
      </c>
      <c r="D95" s="274">
        <f t="shared" si="44"/>
        <v>1.3104580678621509</v>
      </c>
      <c r="E95" s="274">
        <f t="shared" si="44"/>
        <v>1.2985611066299025</v>
      </c>
      <c r="F95" s="274">
        <f t="shared" si="44"/>
        <v>1.2867639380093048</v>
      </c>
      <c r="G95" s="274">
        <f t="shared" si="44"/>
        <v>1.2750681165397546</v>
      </c>
      <c r="H95" s="274">
        <f t="shared" si="44"/>
        <v>1.2634703450157434</v>
      </c>
      <c r="I95" s="274">
        <f t="shared" si="44"/>
        <v>1.2519720784707258</v>
      </c>
      <c r="J95" s="274">
        <f t="shared" si="44"/>
        <v>1.2405702703990891</v>
      </c>
      <c r="K95" s="275">
        <f t="shared" si="44"/>
        <v>1.2292662729389043</v>
      </c>
      <c r="N95" s="3218"/>
      <c r="O95" s="3219"/>
    </row>
    <row r="96" spans="1:15" ht="13.15" customHeight="1">
      <c r="A96" s="435" t="s">
        <v>2634</v>
      </c>
      <c r="B96" s="3231">
        <f>IF('Part III-Sources of Funds'!$I$37="","",-FV('Part III-Sources of Funds'!$K$37/12,12,B83/12,K67))</f>
        <v>1865610.1984939608</v>
      </c>
      <c r="C96" s="3231">
        <f>IF('Part III-Sources of Funds'!$I$37="","",-FV('Part III-Sources of Funds'!$K$37/12,12,C83/12,B96))</f>
        <v>1777221.9096911605</v>
      </c>
      <c r="D96" s="3231">
        <f>IF('Part III-Sources of Funds'!$I$37="","",-FV('Part III-Sources of Funds'!$K$37/12,12,D83/12,C96))</f>
        <v>1683475.3550892223</v>
      </c>
      <c r="E96" s="3231">
        <f>IF('Part III-Sources of Funds'!$I$37="","",-FV('Part III-Sources of Funds'!$K$37/12,12,E83/12,D96))</f>
        <v>1584045.7064471755</v>
      </c>
      <c r="F96" s="3231">
        <f>IF('Part III-Sources of Funds'!$I$37="","",-FV('Part III-Sources of Funds'!$K$37/12,12,F83/12,E96))</f>
        <v>1478588.4438196649</v>
      </c>
      <c r="G96" s="3231">
        <f>IF('Part III-Sources of Funds'!$I$37="","",-FV('Part III-Sources of Funds'!$K$37/12,12,G83/12,F96))</f>
        <v>1366738.1618084619</v>
      </c>
      <c r="H96" s="3231">
        <f>IF('Part III-Sources of Funds'!$I$37="","",-FV('Part III-Sources of Funds'!$K$37/12,12,H83/12,G96))</f>
        <v>1248107.3034466782</v>
      </c>
      <c r="I96" s="3231">
        <f>IF('Part III-Sources of Funds'!$I$37="","",-FV('Part III-Sources of Funds'!$K$37/12,12,I83/12,H96))</f>
        <v>1122284.817328637</v>
      </c>
      <c r="J96" s="3231">
        <f>IF('Part III-Sources of Funds'!$I$37="","",-FV('Part III-Sources of Funds'!$K$37/12,12,J83/12,I96))</f>
        <v>988834.73333240882</v>
      </c>
      <c r="K96" s="3231">
        <f>IF('Part III-Sources of Funds'!$I$37="","",-FV('Part III-Sources of Funds'!$K$37/12,12,K83/12,J96))</f>
        <v>847294.65199994505</v>
      </c>
      <c r="N96" s="3218"/>
      <c r="O96" s="3219"/>
    </row>
    <row r="97" spans="1:15" ht="13.1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3728</v>
      </c>
      <c r="O101" s="1724"/>
    </row>
    <row r="102" spans="1:15" ht="13.15" customHeight="1">
      <c r="A102" s="19" t="s">
        <v>2420</v>
      </c>
      <c r="B102" s="20">
        <f>$B$14*(1+$B$5)^(B101-1)</f>
        <v>1205410.4160964268</v>
      </c>
      <c r="C102" s="20">
        <f>$B$14*(1+$B$5)^(C101-1)</f>
        <v>1229518.6244183551</v>
      </c>
      <c r="D102" s="20">
        <f>$B$14*(1+$B$5)^(D101-1)</f>
        <v>1254108.9969067224</v>
      </c>
      <c r="E102" s="20">
        <f>$B$14*(1+$B$5)^(E101-1)</f>
        <v>1279191.1768448569</v>
      </c>
      <c r="F102" s="670">
        <f>$B$14*(1+$B$5)^(F101-1)</f>
        <v>1304775.000381754</v>
      </c>
      <c r="G102" s="18"/>
      <c r="H102" s="18"/>
      <c r="I102" s="18"/>
      <c r="J102" s="18"/>
      <c r="K102" s="18"/>
      <c r="N102" s="3216"/>
      <c r="O102" s="3217"/>
    </row>
    <row r="103" spans="1:15" ht="13.15" customHeight="1">
      <c r="A103" s="22" t="s">
        <v>1026</v>
      </c>
      <c r="B103" s="23">
        <f>$B$15*(1+$B$5)^(B101-1)</f>
        <v>24108.208321928538</v>
      </c>
      <c r="C103" s="23">
        <f>$B$15*(1+$B$5)^(C101-1)</f>
        <v>24590.372488367102</v>
      </c>
      <c r="D103" s="23">
        <f>$B$15*(1+$B$5)^(D101-1)</f>
        <v>25082.17993813445</v>
      </c>
      <c r="E103" s="23">
        <f>$B$15*(1+$B$5)^(E101-1)</f>
        <v>25583.82353689714</v>
      </c>
      <c r="F103" s="24">
        <f>$B$15*(1+$B$5)^(F101-1)</f>
        <v>26095.500007635081</v>
      </c>
      <c r="G103" s="18"/>
      <c r="H103" s="18"/>
      <c r="I103" s="18"/>
      <c r="J103" s="18"/>
      <c r="K103" s="18"/>
      <c r="N103" s="3218"/>
      <c r="O103" s="3219"/>
    </row>
    <row r="104" spans="1:15" ht="13.15" customHeight="1">
      <c r="A104" s="22" t="s">
        <v>2421</v>
      </c>
      <c r="B104" s="23">
        <f>-(B102+B103)*$B$8</f>
        <v>-86066.303709284883</v>
      </c>
      <c r="C104" s="23">
        <f>-(C102+C103)*$B$8</f>
        <v>-87787.629783470562</v>
      </c>
      <c r="D104" s="23">
        <f>-(D102+D103)*$B$8</f>
        <v>-89543.382379139992</v>
      </c>
      <c r="E104" s="23">
        <f>-(E102+E103)*$B$8</f>
        <v>-91334.250026722788</v>
      </c>
      <c r="F104" s="24">
        <f>-(F102+F103)*$B$8</f>
        <v>-93160.935027257234</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-835458.88805853832</v>
      </c>
      <c r="C107" s="23">
        <f>$B$19*(1+$B$6)^(C101-1)</f>
        <v>-860522.6547002946</v>
      </c>
      <c r="D107" s="23">
        <f>$B$19*(1+$B$6)^(D101-1)</f>
        <v>-886338.33434130321</v>
      </c>
      <c r="E107" s="23">
        <f>$B$19*(1+$B$6)^(E101-1)</f>
        <v>-912928.48437154235</v>
      </c>
      <c r="F107" s="24">
        <f>$B$19*(1+$B$6)^(F101-1)</f>
        <v>-940316.33890268847</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-57173</v>
      </c>
      <c r="C108" s="23">
        <f>IF(AND('Part VII-Pro Forma'!$G$8="Yes",'Part VII-Pro Forma'!$G$9="Yes"),"Choose One!",IF('Part VII-Pro Forma'!$G$8="Yes",ROUND((-$K$8*(1+'Part VII-Pro Forma'!$B$6)^('Part VII-Pro Forma'!C101-1)),),IF('Part VII-Pro Forma'!$G$9="Yes",ROUND((-(SUM(C102:C105)*'Part VII-Pro Forma'!$K$9)),),"Choose mgt fee")))</f>
        <v>-58316</v>
      </c>
      <c r="D108" s="23">
        <f>IF(AND('Part VII-Pro Forma'!$G$8="Yes",'Part VII-Pro Forma'!$G$9="Yes"),"Choose One!",IF('Part VII-Pro Forma'!$G$8="Yes",ROUND((-$K$8*(1+'Part VII-Pro Forma'!$B$6)^('Part VII-Pro Forma'!D101-1)),),IF('Part VII-Pro Forma'!$G$9="Yes",ROUND((-(SUM(D102:D105)*'Part VII-Pro Forma'!$K$9)),),"Choose mgt fee")))</f>
        <v>-59482</v>
      </c>
      <c r="E108" s="23">
        <f>IF(AND('Part VII-Pro Forma'!$G$8="Yes",'Part VII-Pro Forma'!$G$9="Yes"),"Choose One!",IF('Part VII-Pro Forma'!$G$8="Yes",ROUND((-$K$8*(1+'Part VII-Pro Forma'!$B$6)^('Part VII-Pro Forma'!E101-1)),),IF('Part VII-Pro Forma'!$G$9="Yes",ROUND((-(SUM(E102:E105)*'Part VII-Pro Forma'!$K$9)),),"Choose mgt fee")))</f>
        <v>-60672</v>
      </c>
      <c r="F108" s="24">
        <f>IF(AND('Part VII-Pro Forma'!$G$8="Yes",'Part VII-Pro Forma'!$G$9="Yes"),"Choose One!",IF('Part VII-Pro Forma'!$G$8="Yes",ROUND((-$K$8*(1+'Part VII-Pro Forma'!$B$6)^('Part VII-Pro Forma'!F101-1)),),IF('Part VII-Pro Forma'!$G$9="Yes",ROUND((-(SUM(F102:F105)*'Part VII-Pro Forma'!$K$9)),),"Choose mgt fee")))</f>
        <v>-61885</v>
      </c>
      <c r="G108" s="18"/>
      <c r="H108" s="18"/>
      <c r="I108" s="18"/>
      <c r="J108" s="18"/>
      <c r="K108" s="18"/>
      <c r="N108" s="3218"/>
      <c r="O108" s="3219"/>
    </row>
    <row r="109" spans="1:15" ht="13.15" customHeight="1">
      <c r="A109" s="22" t="s">
        <v>1214</v>
      </c>
      <c r="B109" s="23">
        <f>$B$21*(1+$B$7)^(B101-1)</f>
        <v>-46117.986952603525</v>
      </c>
      <c r="C109" s="23">
        <f>$B$21*(1+$B$7)^(C101-1)</f>
        <v>-47501.526561181636</v>
      </c>
      <c r="D109" s="23">
        <f>$B$21*(1+$B$7)^(D101-1)</f>
        <v>-48926.572358017074</v>
      </c>
      <c r="E109" s="23">
        <f>$B$21*(1+$B$7)^(E101-1)</f>
        <v>-50394.36952875759</v>
      </c>
      <c r="F109" s="24">
        <f>$B$21*(1+$B$7)^(F101-1)</f>
        <v>-51906.200614620313</v>
      </c>
      <c r="G109" s="18"/>
      <c r="H109" s="18"/>
      <c r="I109" s="18"/>
      <c r="J109" s="18"/>
      <c r="K109" s="18"/>
      <c r="N109" s="3218"/>
      <c r="O109" s="3219"/>
    </row>
    <row r="110" spans="1:15" ht="13.15" customHeight="1">
      <c r="A110" s="22" t="s">
        <v>1215</v>
      </c>
      <c r="B110" s="23">
        <f>SUM(B102:B109)</f>
        <v>204702.44569792858</v>
      </c>
      <c r="C110" s="23">
        <f>SUM(C102:C109)</f>
        <v>199981.1858617753</v>
      </c>
      <c r="D110" s="23">
        <f>SUM(D102:D109)</f>
        <v>194900.88776639663</v>
      </c>
      <c r="E110" s="23">
        <f>SUM(E102:E109)</f>
        <v>189445.89645473141</v>
      </c>
      <c r="F110" s="24">
        <f>SUM(F102:F109)</f>
        <v>183602.0258448229</v>
      </c>
      <c r="G110" s="18"/>
      <c r="H110" s="18"/>
      <c r="I110" s="18"/>
      <c r="J110" s="18"/>
      <c r="K110" s="18"/>
      <c r="N110" s="3218"/>
      <c r="O110" s="3219"/>
    </row>
    <row r="111" spans="1:15" ht="13.15" customHeight="1">
      <c r="A111" s="22" t="str">
        <f>$A83</f>
        <v>Mortgage A</v>
      </c>
      <c r="B111" s="3226">
        <f>IF('Part III-Sources of Funds'!$N$37="", 0,-'Part III-Sources of Funds'!$N$37)</f>
        <v>-196094.52191910031</v>
      </c>
      <c r="C111" s="3226">
        <f>IF('Part III-Sources of Funds'!$N$37="", 0,-'Part III-Sources of Funds'!$N$37)</f>
        <v>-196094.52191910031</v>
      </c>
      <c r="D111" s="3226">
        <f>IF('Part III-Sources of Funds'!$N$37="", 0,-'Part III-Sources of Funds'!$N$37)</f>
        <v>-196094.52191910031</v>
      </c>
      <c r="E111" s="3226">
        <f>IF('Part III-Sources of Funds'!$N$37="", 0,-'Part III-Sources of Funds'!$N$37)</f>
        <v>-196094.52191910031</v>
      </c>
      <c r="F111" s="3226">
        <f>IF('Part III-Sources of Funds'!$N$37="", 0,-'Part III-Sources of Funds'!$N$37)</f>
        <v>-196094.52191910031</v>
      </c>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f>+K88</f>
        <v>-5000</v>
      </c>
      <c r="C116" s="3230">
        <f>+B116</f>
        <v>-5000</v>
      </c>
      <c r="D116" s="3230">
        <f>+C116</f>
        <v>-5000</v>
      </c>
      <c r="E116" s="3230">
        <f>+D116</f>
        <v>-5000</v>
      </c>
      <c r="F116" s="3230">
        <f>+E116</f>
        <v>-5000</v>
      </c>
      <c r="G116" s="18"/>
      <c r="H116" s="18"/>
      <c r="I116" s="18"/>
      <c r="J116" s="18"/>
      <c r="K116" s="18"/>
      <c r="N116" s="3218"/>
      <c r="O116" s="3219"/>
    </row>
    <row r="117" spans="1:15" ht="13.15" customHeight="1">
      <c r="A117" s="22" t="s">
        <v>1175</v>
      </c>
      <c r="B117" s="23">
        <f>SUM(B110:B116)</f>
        <v>3607.9237788282626</v>
      </c>
      <c r="C117" s="23">
        <f>SUM(C110:C116)</f>
        <v>-1113.3360573250102</v>
      </c>
      <c r="D117" s="23">
        <f>SUM(D110:D116)</f>
        <v>-6193.6341527036857</v>
      </c>
      <c r="E117" s="23">
        <f>SUM(E110:E116)</f>
        <v>-11648.625464368903</v>
      </c>
      <c r="F117" s="24">
        <f>SUM(F110:F116)</f>
        <v>-17492.496074277413</v>
      </c>
      <c r="G117" s="18"/>
      <c r="H117" s="18"/>
      <c r="I117" s="18"/>
      <c r="J117" s="18"/>
      <c r="K117" s="18"/>
      <c r="N117" s="3218"/>
      <c r="O117" s="3219"/>
    </row>
    <row r="118" spans="1:15" ht="13.15" customHeight="1">
      <c r="A118" s="22" t="str">
        <f>$A90</f>
        <v>DCR Mortgage A</v>
      </c>
      <c r="B118" s="25">
        <f>IF(B111=0,"",-B110/B111)</f>
        <v>1.0438968090214142</v>
      </c>
      <c r="C118" s="25">
        <f>IF(C111=0,"",-C110/C111)</f>
        <v>1.0198203596135054</v>
      </c>
      <c r="D118" s="25">
        <f>IF(D111=0,"",-D110/D111)</f>
        <v>0.99391296533415596</v>
      </c>
      <c r="E118" s="25">
        <f>IF(E111=0,"",-E110/E111)</f>
        <v>0.96609479245365237</v>
      </c>
      <c r="F118" s="26">
        <f>IF(F111=0,"",-F110/F111)</f>
        <v>0.936293497890618</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3738</v>
      </c>
      <c r="B122" s="25">
        <f>IF(AND(B111=0,B112=0,B113=0,B114=0),"",-B110/(B111+B112+B113+B114))</f>
        <v>1.0438968090214142</v>
      </c>
      <c r="C122" s="25">
        <f>IF(AND(C111=0,C112=0,C113=0,C114=0),"",-C110/(C111+C112+C113+C114))</f>
        <v>1.0198203596135054</v>
      </c>
      <c r="D122" s="25">
        <f>IF(AND(D111=0,D112=0,D113=0,D114=0),"",-D110/(D111+D112+D113+D114))</f>
        <v>0.99391296533415596</v>
      </c>
      <c r="E122" s="25">
        <f>IF(AND(E111=0,E112=0,E113=0,E114=0),"",-E110/(E111+E112+E113+E114))</f>
        <v>0.96609479245365237</v>
      </c>
      <c r="F122" s="26">
        <f>IF(AND(F111=0,F112=0,F113=0,F114=0),"",-F110/(F111+F112+F113+F114))</f>
        <v>0.936293497890618</v>
      </c>
      <c r="G122" s="18"/>
      <c r="H122" s="18"/>
      <c r="I122" s="18"/>
      <c r="J122" s="18"/>
      <c r="K122" s="18"/>
      <c r="N122" s="3218"/>
      <c r="O122" s="3219"/>
    </row>
    <row r="123" spans="1:15" ht="13.15" customHeight="1">
      <c r="A123" s="22" t="s">
        <v>778</v>
      </c>
      <c r="B123" s="274">
        <f>IF(OR(B108="Choose mgt fee",B108="Choose One!"),"",(B102+B103+B104+B105+B106) / -(B107+B108+B109))</f>
        <v>1.2180585597366913</v>
      </c>
      <c r="C123" s="274">
        <f>IF(OR(C108="Choose mgt fee",C108="Choose One!"),"",(C102+C103+C104+C105+C106) / -(C107+C108+C109))</f>
        <v>1.2069469838258371</v>
      </c>
      <c r="D123" s="274">
        <f>IF(OR(D108="Choose mgt fee",D108="Choose One!"),"",(D102+D103+D104+D105+D106) / -(D107+D108+D109))</f>
        <v>1.1959301270039624</v>
      </c>
      <c r="E123" s="274">
        <f>IF(OR(E108="Choose mgt fee",E108="Choose One!"),"",(E102+E103+E104+E105+E106) / -(E107+E108+E109))</f>
        <v>1.1850066880054619</v>
      </c>
      <c r="F123" s="671">
        <f>IF(OR(F108="Choose mgt fee",F108="Choose One!"),"",(F102+F103+F104+F105+F106) / -(F107+F108+F109))</f>
        <v>1.1741776991073387</v>
      </c>
      <c r="G123" s="18"/>
      <c r="H123" s="18"/>
      <c r="I123" s="18"/>
      <c r="J123" s="18"/>
      <c r="K123" s="18"/>
      <c r="N123" s="3218"/>
      <c r="O123" s="3219"/>
    </row>
    <row r="124" spans="1:15" ht="13.15" customHeight="1">
      <c r="A124" s="435" t="s">
        <v>2634</v>
      </c>
      <c r="B124" s="3231">
        <f>IF('Part III-Sources of Funds'!$I$37="","",-FV('Part III-Sources of Funds'!$K$37/12,12,B111/12,K96))</f>
        <v>697174.14234056789</v>
      </c>
      <c r="C124" s="3231">
        <f>IF('Part III-Sources of Funds'!$I$37="","",-FV('Part III-Sources of Funds'!$K$37/12,12,C111/12,B124))</f>
        <v>537953.04250626802</v>
      </c>
      <c r="D124" s="3231">
        <f>IF('Part III-Sources of Funds'!$I$37="","",-FV('Part III-Sources of Funds'!$K$37/12,12,D111/12,C124))</f>
        <v>369079.65745071339</v>
      </c>
      <c r="E124" s="3231">
        <f>IF('Part III-Sources of Funds'!$I$37="","",-FV('Part III-Sources of Funds'!$K$37/12,12,E111/12,D124))</f>
        <v>189968.8473269277</v>
      </c>
      <c r="F124" s="3231">
        <f>IF('Part III-Sources of Funds'!$I$37="","",-FV('Part III-Sources of Funds'!$K$37/12,12,F111/12,E124))</f>
        <v>7.8580342233181E-9</v>
      </c>
      <c r="G124" s="18"/>
      <c r="H124" s="18"/>
      <c r="I124" s="18"/>
      <c r="J124" s="18"/>
      <c r="K124" s="18"/>
      <c r="N124" s="3218"/>
      <c r="O124" s="3219"/>
    </row>
    <row r="125" spans="1:15" ht="13.1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4702</v>
      </c>
      <c r="B131" s="3233"/>
      <c r="C131" s="3233"/>
      <c r="D131" s="3233"/>
      <c r="E131" s="3233"/>
      <c r="F131" s="3234"/>
      <c r="G131" s="3235"/>
      <c r="H131" s="3236"/>
      <c r="I131" s="3236"/>
      <c r="J131" s="3236"/>
      <c r="K131" s="323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GWkh++Yl/PUgnvs3AzxmOy5aoZcoKu0s/6IUMhXcxTW7L1UehHx1mDr7X05UDkUHo8Xg0cPO8FCWIQSxX7g91g==" saltValue="ojyfDIIx4AhXdrJCkf/We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9"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2018-037 Myrtle Terraces Phase 2, Gainesville, Hall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3873</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3778</v>
      </c>
      <c r="C31" s="69"/>
      <c r="D31" s="69"/>
      <c r="E31" s="69"/>
      <c r="F31" s="69"/>
      <c r="G31" s="1589"/>
      <c r="H31" s="1589"/>
      <c r="I31" s="1589"/>
      <c r="J31" s="1589"/>
      <c r="K31" s="1585"/>
      <c r="L31" s="1585"/>
      <c r="M31" s="1585"/>
      <c r="N31" s="1585"/>
      <c r="O31" s="1585"/>
      <c r="P31" s="955"/>
      <c r="S31" s="163"/>
      <c r="T31" s="163"/>
    </row>
    <row r="32" spans="1:31" ht="108.75" customHeight="1">
      <c r="A32" s="3112" t="s">
        <v>4701</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3473</v>
      </c>
      <c r="B37" s="1999"/>
      <c r="C37" s="1999"/>
      <c r="D37" s="1999"/>
      <c r="E37" s="1999"/>
      <c r="F37" s="1999"/>
      <c r="G37" s="2000" t="s">
        <v>2733</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2753</v>
      </c>
      <c r="Q38" s="2999"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3920</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4133</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13541444</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4132</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46</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46 units = </v>
      </c>
      <c r="I63" s="906">
        <f>F63*G63</f>
        <v>7365934</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13542364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30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30 units = </v>
      </c>
      <c r="I64" s="906">
        <f>F64*G64</f>
        <v>6176430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4294</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76</v>
      </c>
      <c r="G67" s="659"/>
      <c r="H67" s="1199"/>
      <c r="I67" s="1202">
        <f>SUM(I62:I66)</f>
        <v>13542364</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76</v>
      </c>
      <c r="G69" s="346"/>
      <c r="H69" s="1951">
        <f>I46+I53+I60+I67</f>
        <v>13542364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89"/>
      <c r="J70" s="1589"/>
      <c r="K70" s="141" t="s">
        <v>1880</v>
      </c>
      <c r="L70" s="1585"/>
      <c r="M70" s="1585"/>
      <c r="N70" s="1585"/>
      <c r="O70" s="1585"/>
      <c r="P70" s="1585"/>
      <c r="Q70" s="955"/>
    </row>
    <row r="71" spans="1:295" ht="10.5" customHeight="1">
      <c r="A71" s="3112" t="s">
        <v>4619</v>
      </c>
      <c r="B71" s="3113"/>
      <c r="C71" s="3113"/>
      <c r="D71" s="3113"/>
      <c r="E71" s="3113"/>
      <c r="F71" s="3113"/>
      <c r="G71" s="3113"/>
      <c r="H71" s="3113"/>
      <c r="I71" s="3113"/>
      <c r="J71" s="311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5" t="str">
        <f>'Part I-Project Information'!$H$78</f>
        <v>HFOP</v>
      </c>
      <c r="K73" s="3116"/>
      <c r="L73" s="3117"/>
      <c r="O73" s="136" t="s">
        <v>1881</v>
      </c>
      <c r="P73" s="1897"/>
      <c r="Q73" s="1904"/>
    </row>
    <row r="74" spans="1:295" ht="10.5" customHeight="1">
      <c r="B74" s="98" t="s">
        <v>3778</v>
      </c>
      <c r="D74" s="98"/>
      <c r="E74" s="98"/>
      <c r="F74" s="98"/>
      <c r="G74" s="98"/>
      <c r="H74" s="41"/>
      <c r="I74" s="1589"/>
      <c r="J74" s="1589"/>
      <c r="K74" s="141" t="s">
        <v>1880</v>
      </c>
      <c r="L74" s="1585"/>
      <c r="M74" s="1585"/>
      <c r="N74" s="1585"/>
      <c r="O74" s="1585"/>
      <c r="P74" s="1585"/>
      <c r="Q74" s="955"/>
    </row>
    <row r="75" spans="1:295" ht="10.5" customHeight="1">
      <c r="A75" s="3112" t="s">
        <v>4620</v>
      </c>
      <c r="B75" s="3113"/>
      <c r="C75" s="3113"/>
      <c r="D75" s="3113"/>
      <c r="E75" s="3113"/>
      <c r="F75" s="3113"/>
      <c r="G75" s="3113"/>
      <c r="H75" s="3113"/>
      <c r="I75" s="3113"/>
      <c r="J75" s="311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3768</v>
      </c>
      <c r="D79" s="1003"/>
      <c r="E79" s="1003"/>
      <c r="F79" s="1003"/>
      <c r="G79" s="1003"/>
      <c r="H79" s="1003"/>
      <c r="I79" s="1003"/>
      <c r="K79" s="1003"/>
      <c r="L79" s="1003"/>
      <c r="M79" s="1004" t="s">
        <v>3722</v>
      </c>
      <c r="O79" s="147"/>
      <c r="P79" s="2999" t="s">
        <v>4635</v>
      </c>
    </row>
    <row r="80" spans="1:295" ht="10.5" customHeight="1">
      <c r="A80" s="48" t="s">
        <v>2001</v>
      </c>
      <c r="B80" s="956" t="s">
        <v>3767</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8" t="s">
        <v>4621</v>
      </c>
      <c r="K81" s="3119"/>
      <c r="L81" s="3119"/>
      <c r="M81" s="3119"/>
      <c r="N81" s="3119"/>
      <c r="O81" s="3119"/>
      <c r="P81" s="3119"/>
      <c r="Q81" s="3120"/>
    </row>
    <row r="82" spans="1:31" ht="10.9" customHeight="1">
      <c r="A82" s="148"/>
      <c r="B82" s="68" t="s">
        <v>1751</v>
      </c>
      <c r="C82" s="956" t="s">
        <v>3604</v>
      </c>
      <c r="E82" s="1594"/>
      <c r="F82" s="1594"/>
      <c r="G82" s="1594"/>
      <c r="H82" s="34"/>
      <c r="I82" s="37" t="s">
        <v>2723</v>
      </c>
      <c r="J82" s="3121"/>
      <c r="K82" s="3122"/>
      <c r="L82" s="3122"/>
      <c r="M82" s="3122"/>
      <c r="N82" s="3122"/>
      <c r="O82" s="3122"/>
      <c r="P82" s="3122"/>
      <c r="Q82" s="3123"/>
    </row>
    <row r="83" spans="1:31" ht="10.9" customHeight="1">
      <c r="A83" s="148"/>
      <c r="B83" s="68" t="s">
        <v>1752</v>
      </c>
      <c r="C83" s="956" t="s">
        <v>3605</v>
      </c>
      <c r="E83" s="1594"/>
      <c r="F83" s="1594"/>
      <c r="G83" s="1594"/>
      <c r="H83" s="34"/>
      <c r="I83" s="37" t="s">
        <v>2723</v>
      </c>
      <c r="J83" s="3121" t="s">
        <v>4622</v>
      </c>
      <c r="K83" s="3122"/>
      <c r="L83" s="3122"/>
      <c r="M83" s="3122"/>
      <c r="N83" s="3122"/>
      <c r="O83" s="3122"/>
      <c r="P83" s="3122"/>
      <c r="Q83" s="3123"/>
    </row>
    <row r="84" spans="1:31" ht="10.9" customHeight="1">
      <c r="A84" s="148"/>
      <c r="B84" s="484" t="s">
        <v>2381</v>
      </c>
      <c r="C84" s="956" t="s">
        <v>3931</v>
      </c>
      <c r="E84" s="1594"/>
      <c r="I84" s="37" t="s">
        <v>2723</v>
      </c>
      <c r="J84" s="3124" t="s">
        <v>4698</v>
      </c>
      <c r="K84" s="3125"/>
      <c r="L84" s="3125"/>
      <c r="M84" s="3125"/>
      <c r="N84" s="3125"/>
      <c r="O84" s="3125"/>
      <c r="P84" s="3125"/>
      <c r="Q84" s="3126"/>
    </row>
    <row r="85" spans="1:31" ht="10.9" customHeight="1">
      <c r="A85" s="48" t="s">
        <v>757</v>
      </c>
      <c r="B85" s="41" t="s">
        <v>3590</v>
      </c>
      <c r="D85" s="956"/>
      <c r="E85" s="1594"/>
      <c r="J85" s="37"/>
      <c r="K85" s="37"/>
      <c r="L85" s="37"/>
      <c r="M85" s="37"/>
      <c r="N85" s="37"/>
      <c r="O85" s="37"/>
      <c r="P85" s="37"/>
      <c r="Q85" s="37"/>
    </row>
    <row r="86" spans="1:31" ht="10.9" customHeight="1">
      <c r="A86" s="148"/>
      <c r="B86" s="56" t="s">
        <v>3922</v>
      </c>
      <c r="D86" s="138"/>
      <c r="E86" s="138"/>
      <c r="F86" s="138"/>
      <c r="G86" s="138"/>
      <c r="H86" s="138"/>
      <c r="I86" s="43"/>
      <c r="J86" s="43"/>
      <c r="K86" s="484" t="s">
        <v>757</v>
      </c>
      <c r="L86" s="3127"/>
      <c r="M86" s="3128"/>
      <c r="N86" s="3128"/>
      <c r="O86" s="3128"/>
      <c r="P86" s="3129"/>
      <c r="Q86" s="560"/>
    </row>
    <row r="87" spans="1:31" ht="10.5" customHeight="1">
      <c r="B87" s="98" t="s">
        <v>3778</v>
      </c>
      <c r="D87" s="98"/>
      <c r="E87" s="98"/>
      <c r="F87" s="98"/>
      <c r="G87" s="98"/>
      <c r="H87" s="41"/>
      <c r="I87" s="1589"/>
      <c r="J87" s="1589"/>
      <c r="K87" s="141" t="s">
        <v>1880</v>
      </c>
      <c r="L87" s="1585"/>
      <c r="M87" s="1585"/>
      <c r="N87" s="1585"/>
      <c r="O87" s="1585"/>
      <c r="P87" s="1585"/>
      <c r="Q87" s="955"/>
    </row>
    <row r="88" spans="1:31" ht="10.5" customHeight="1">
      <c r="A88" s="3112" t="s">
        <v>4628</v>
      </c>
      <c r="B88" s="3113"/>
      <c r="C88" s="3113"/>
      <c r="D88" s="3113"/>
      <c r="E88" s="3113"/>
      <c r="F88" s="3113"/>
      <c r="G88" s="3113"/>
      <c r="H88" s="3113"/>
      <c r="I88" s="3113"/>
      <c r="J88" s="311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0" t="s">
        <v>4670</v>
      </c>
      <c r="N92" s="3131"/>
      <c r="O92" s="3131"/>
      <c r="P92" s="3132"/>
      <c r="Q92" s="561"/>
    </row>
    <row r="93" spans="1:31" ht="10.5" customHeight="1">
      <c r="A93" s="48" t="s">
        <v>2001</v>
      </c>
      <c r="B93" s="53" t="s">
        <v>2052</v>
      </c>
      <c r="D93" s="138"/>
      <c r="E93" s="138"/>
      <c r="F93" s="138"/>
      <c r="L93" s="484" t="s">
        <v>2001</v>
      </c>
      <c r="M93" s="3133" t="s">
        <v>4671</v>
      </c>
      <c r="N93" s="3134"/>
      <c r="O93" s="3134"/>
      <c r="P93" s="3135"/>
      <c r="Q93" s="562"/>
    </row>
    <row r="94" spans="1:31" ht="10.5" customHeight="1">
      <c r="A94" s="48" t="s">
        <v>757</v>
      </c>
      <c r="B94" s="53" t="s">
        <v>2897</v>
      </c>
      <c r="D94" s="138"/>
      <c r="E94" s="138"/>
      <c r="F94" s="138"/>
      <c r="L94" s="484" t="s">
        <v>757</v>
      </c>
      <c r="M94" s="3136">
        <v>0.96199999999999997</v>
      </c>
      <c r="N94" s="3137"/>
      <c r="O94" s="3137"/>
      <c r="P94" s="3138"/>
      <c r="Q94" s="562"/>
    </row>
    <row r="95" spans="1:31" ht="10.5" customHeight="1">
      <c r="A95" s="48" t="s">
        <v>2131</v>
      </c>
      <c r="B95" s="53" t="s">
        <v>3924</v>
      </c>
      <c r="D95" s="138"/>
      <c r="E95" s="138"/>
      <c r="F95" s="138"/>
      <c r="L95" s="484" t="s">
        <v>3925</v>
      </c>
      <c r="M95" s="3139">
        <v>0.183</v>
      </c>
      <c r="N95" s="1205"/>
      <c r="O95" s="1206" t="s">
        <v>4175</v>
      </c>
      <c r="P95" s="3140">
        <v>0.02</v>
      </c>
      <c r="Q95" s="563"/>
    </row>
    <row r="96" spans="1:31" ht="10.5" customHeight="1">
      <c r="A96" s="146" t="s">
        <v>1748</v>
      </c>
      <c r="B96" s="144" t="s">
        <v>3923</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4594</v>
      </c>
      <c r="E98" s="3142" t="s">
        <v>4666</v>
      </c>
      <c r="F98" s="3142"/>
      <c r="G98" s="3142"/>
      <c r="H98" s="68" t="s">
        <v>1752</v>
      </c>
      <c r="I98" s="3141" t="s">
        <v>4691</v>
      </c>
      <c r="J98" s="3130" t="s">
        <v>4694</v>
      </c>
      <c r="K98" s="3131"/>
      <c r="L98" s="3143"/>
      <c r="M98" s="67" t="s">
        <v>1561</v>
      </c>
      <c r="N98" s="3141"/>
      <c r="O98" s="3142"/>
      <c r="P98" s="3142"/>
      <c r="Q98" s="3142"/>
    </row>
    <row r="99" spans="1:31" ht="10.5" customHeight="1">
      <c r="C99" s="68" t="s">
        <v>1751</v>
      </c>
      <c r="D99" s="3144" t="s">
        <v>4689</v>
      </c>
      <c r="E99" s="3145" t="s">
        <v>4690</v>
      </c>
      <c r="F99" s="3145"/>
      <c r="G99" s="3145"/>
      <c r="H99" s="484" t="s">
        <v>2381</v>
      </c>
      <c r="I99" s="3144" t="s">
        <v>4692</v>
      </c>
      <c r="J99" s="3145" t="s">
        <v>4693</v>
      </c>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3637</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3391</v>
      </c>
      <c r="B103" s="1942" t="s">
        <v>2748</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3638</v>
      </c>
      <c r="L105" s="452"/>
      <c r="N105" s="391"/>
      <c r="P105" s="67" t="s">
        <v>3392</v>
      </c>
      <c r="Q105" s="1282"/>
      <c r="R105" s="1355"/>
    </row>
    <row r="106" spans="1:31" ht="9.75" customHeight="1">
      <c r="B106" s="145" t="s">
        <v>3778</v>
      </c>
      <c r="D106" s="145"/>
      <c r="E106" s="145"/>
      <c r="F106" s="145"/>
      <c r="G106" s="145"/>
      <c r="H106" s="41"/>
      <c r="I106" s="1589"/>
      <c r="J106" s="1589"/>
      <c r="K106" s="1589"/>
      <c r="L106" s="1585"/>
      <c r="M106" s="1585"/>
      <c r="N106" s="1585"/>
      <c r="O106" s="1585"/>
      <c r="P106" s="1585"/>
      <c r="Q106" s="955"/>
    </row>
    <row r="107" spans="1:31" ht="43.5" customHeight="1">
      <c r="A107" s="3112" t="s">
        <v>4699</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3010</v>
      </c>
      <c r="Q112" s="561"/>
    </row>
    <row r="113" spans="1:32" ht="10.5" customHeight="1">
      <c r="A113" s="48" t="s">
        <v>2001</v>
      </c>
      <c r="B113" s="53" t="s">
        <v>1316</v>
      </c>
      <c r="C113" s="53"/>
      <c r="E113" s="53"/>
      <c r="F113" s="53"/>
      <c r="G113" s="53"/>
      <c r="H113" s="53"/>
      <c r="I113" s="53"/>
      <c r="J113" s="53"/>
      <c r="K113" s="53"/>
      <c r="L113" s="956"/>
      <c r="M113" s="956"/>
      <c r="O113" s="484" t="s">
        <v>2001</v>
      </c>
      <c r="P113" s="2927" t="s">
        <v>3010</v>
      </c>
      <c r="Q113" s="562"/>
    </row>
    <row r="114" spans="1:32" ht="10.5" customHeight="1">
      <c r="A114" s="37"/>
      <c r="C114" s="40" t="s">
        <v>559</v>
      </c>
      <c r="E114" s="43"/>
      <c r="F114" s="43"/>
      <c r="G114" s="43"/>
      <c r="H114" s="43"/>
      <c r="I114" s="43"/>
      <c r="L114" s="68" t="s">
        <v>560</v>
      </c>
      <c r="M114" s="3127" t="s">
        <v>4623</v>
      </c>
      <c r="N114" s="3128"/>
      <c r="O114" s="3128"/>
      <c r="P114" s="3146"/>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928" t="s">
        <v>3010</v>
      </c>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934" t="s">
        <v>3013</v>
      </c>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934" t="s">
        <v>3010</v>
      </c>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3010</v>
      </c>
      <c r="Q121" s="561"/>
    </row>
    <row r="122" spans="1:32" ht="10.5" customHeight="1">
      <c r="B122" s="68" t="s">
        <v>1751</v>
      </c>
      <c r="C122" s="53" t="s">
        <v>1442</v>
      </c>
      <c r="E122" s="53"/>
      <c r="F122" s="53"/>
      <c r="G122" s="53"/>
      <c r="H122" s="53"/>
      <c r="I122" s="53"/>
      <c r="J122" s="53"/>
      <c r="K122" s="53"/>
      <c r="L122" s="956"/>
      <c r="M122" s="956"/>
      <c r="O122" s="68" t="s">
        <v>1751</v>
      </c>
      <c r="P122" s="2934" t="s">
        <v>3013</v>
      </c>
      <c r="Q122" s="562"/>
    </row>
    <row r="123" spans="1:32" ht="10.5" customHeight="1">
      <c r="B123" s="68" t="s">
        <v>1752</v>
      </c>
      <c r="C123" s="53" t="s">
        <v>1443</v>
      </c>
      <c r="E123" s="53"/>
      <c r="F123" s="53"/>
      <c r="G123" s="53"/>
      <c r="H123" s="53"/>
      <c r="I123" s="53"/>
      <c r="J123" s="53"/>
      <c r="K123" s="53"/>
      <c r="L123" s="956"/>
      <c r="M123" s="956"/>
      <c r="O123" s="68" t="s">
        <v>1752</v>
      </c>
      <c r="P123" s="2927" t="s">
        <v>3010</v>
      </c>
      <c r="Q123" s="563"/>
    </row>
    <row r="124" spans="1:32" ht="10.5" customHeight="1">
      <c r="B124" s="145" t="s">
        <v>3778</v>
      </c>
      <c r="D124" s="145"/>
      <c r="E124" s="145"/>
      <c r="F124" s="145"/>
      <c r="G124" s="145"/>
      <c r="H124" s="41"/>
      <c r="I124" s="1589"/>
      <c r="J124" s="1589"/>
      <c r="K124" s="1589"/>
      <c r="L124" s="1585"/>
      <c r="M124" s="1585"/>
      <c r="N124" s="1585"/>
      <c r="O124" s="1585"/>
      <c r="P124" s="1585"/>
      <c r="Q124" s="955"/>
    </row>
    <row r="125" spans="1:32" ht="22.5" customHeight="1">
      <c r="A125" s="3112" t="s">
        <v>4703</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3661</v>
      </c>
      <c r="D130" s="138"/>
      <c r="E130" s="138"/>
      <c r="F130" s="138"/>
      <c r="G130" s="138"/>
      <c r="H130" s="138"/>
      <c r="I130" s="43"/>
      <c r="J130" s="43"/>
      <c r="K130" s="484" t="s">
        <v>1999</v>
      </c>
      <c r="L130" s="3148" t="s">
        <v>4709</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79" t="s">
        <v>3013</v>
      </c>
      <c r="Q131" s="1005"/>
    </row>
    <row r="132" spans="1:17" ht="12" customHeight="1">
      <c r="A132" s="48" t="s">
        <v>757</v>
      </c>
      <c r="B132" s="53" t="s">
        <v>152</v>
      </c>
      <c r="D132" s="138"/>
      <c r="E132" s="138"/>
      <c r="F132" s="138"/>
      <c r="G132" s="138"/>
      <c r="H132" s="138"/>
      <c r="I132" s="43"/>
      <c r="J132" s="43"/>
      <c r="K132" s="1594"/>
      <c r="L132" s="1594"/>
      <c r="O132" s="484" t="s">
        <v>757</v>
      </c>
      <c r="P132" s="2927" t="s">
        <v>3010</v>
      </c>
      <c r="Q132" s="962"/>
    </row>
    <row r="133" spans="1:17" ht="12" customHeight="1">
      <c r="A133" s="48"/>
      <c r="B133" s="67" t="s">
        <v>1750</v>
      </c>
      <c r="C133" s="53" t="s">
        <v>2705</v>
      </c>
      <c r="E133" s="138"/>
      <c r="F133" s="138"/>
      <c r="G133" s="138"/>
      <c r="H133" s="138"/>
      <c r="I133" s="43"/>
      <c r="J133" s="43"/>
      <c r="K133" s="68" t="s">
        <v>1750</v>
      </c>
      <c r="L133" s="3148" t="s">
        <v>4709</v>
      </c>
      <c r="M133" s="3148"/>
      <c r="N133" s="3148"/>
      <c r="O133" s="3148"/>
      <c r="P133" s="3148"/>
      <c r="Q133" s="560"/>
    </row>
    <row r="134" spans="1:17" ht="12" customHeight="1">
      <c r="A134" s="143"/>
      <c r="B134" s="68" t="s">
        <v>1751</v>
      </c>
      <c r="C134" s="37" t="s">
        <v>3495</v>
      </c>
      <c r="E134" s="43"/>
      <c r="F134" s="43"/>
      <c r="G134" s="43"/>
      <c r="H134" s="53"/>
      <c r="I134" s="43"/>
      <c r="J134" s="43"/>
      <c r="K134" s="138"/>
      <c r="L134" s="1594"/>
      <c r="M134" s="1594"/>
      <c r="O134" s="484" t="s">
        <v>1751</v>
      </c>
      <c r="P134" s="2977">
        <v>62.8</v>
      </c>
      <c r="Q134" s="566"/>
    </row>
    <row r="135" spans="1:17" ht="12" customHeight="1">
      <c r="A135" s="143"/>
      <c r="B135" s="484" t="s">
        <v>1752</v>
      </c>
      <c r="C135" s="53" t="s">
        <v>4162</v>
      </c>
      <c r="E135" s="43"/>
      <c r="F135" s="43"/>
      <c r="G135" s="43"/>
      <c r="H135" s="53"/>
      <c r="I135" s="43"/>
      <c r="J135" s="43"/>
      <c r="K135" s="138"/>
      <c r="L135" s="1594"/>
      <c r="M135" s="1594"/>
      <c r="N135" s="1594"/>
      <c r="O135" s="1594"/>
    </row>
    <row r="136" spans="1:17" ht="11.45" customHeight="1">
      <c r="A136" s="1585"/>
      <c r="B136" s="68"/>
      <c r="C136" s="3149" t="s">
        <v>4710</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0"/>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3010</v>
      </c>
      <c r="Q143" s="562"/>
    </row>
    <row r="144" spans="1:17" ht="12" customHeight="1">
      <c r="A144" s="48"/>
      <c r="B144" s="68"/>
      <c r="C144" s="53" t="s">
        <v>2649</v>
      </c>
      <c r="E144" s="484" t="s">
        <v>2451</v>
      </c>
      <c r="F144" s="53" t="s">
        <v>2653</v>
      </c>
      <c r="G144" s="43"/>
      <c r="H144" s="53"/>
      <c r="I144" s="43"/>
      <c r="J144" s="43"/>
      <c r="K144" s="138"/>
      <c r="L144" s="1594"/>
      <c r="O144" s="484" t="s">
        <v>2451</v>
      </c>
      <c r="P144" s="3150">
        <v>1.4999999999999999E-2</v>
      </c>
      <c r="Q144" s="909"/>
    </row>
    <row r="145" spans="1:18" ht="12" customHeight="1">
      <c r="A145" s="48"/>
      <c r="B145" s="68"/>
      <c r="E145" s="484" t="s">
        <v>2452</v>
      </c>
      <c r="F145" s="53" t="s">
        <v>2654</v>
      </c>
      <c r="G145" s="43"/>
      <c r="H145" s="53"/>
      <c r="I145" s="43"/>
      <c r="J145" s="43"/>
      <c r="O145" s="484" t="s">
        <v>2452</v>
      </c>
      <c r="P145" s="2934" t="s">
        <v>3013</v>
      </c>
      <c r="Q145" s="562"/>
    </row>
    <row r="146" spans="1:18" ht="12" customHeight="1">
      <c r="A146" s="48"/>
      <c r="B146" s="68"/>
      <c r="E146" s="484" t="s">
        <v>2453</v>
      </c>
      <c r="F146" s="53" t="s">
        <v>2652</v>
      </c>
      <c r="G146" s="43"/>
      <c r="H146" s="53"/>
      <c r="I146" s="43"/>
      <c r="J146" s="43"/>
      <c r="O146" s="484" t="s">
        <v>2453</v>
      </c>
      <c r="P146" s="2934" t="s">
        <v>3010</v>
      </c>
      <c r="Q146" s="562"/>
    </row>
    <row r="147" spans="1:18" ht="12" customHeight="1">
      <c r="A147" s="37"/>
      <c r="B147" s="68" t="s">
        <v>2381</v>
      </c>
      <c r="C147" s="53" t="s">
        <v>2655</v>
      </c>
      <c r="E147" s="138"/>
      <c r="F147" s="138"/>
      <c r="G147" s="138"/>
      <c r="H147" s="138"/>
      <c r="I147" s="43"/>
      <c r="J147" s="43"/>
      <c r="O147" s="68" t="s">
        <v>2381</v>
      </c>
      <c r="P147" s="2927" t="s">
        <v>3010</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3013</v>
      </c>
      <c r="G149" s="561"/>
      <c r="H149" s="68" t="s">
        <v>1561</v>
      </c>
      <c r="I149" s="56" t="s">
        <v>2657</v>
      </c>
      <c r="L149" s="2928" t="s">
        <v>3013</v>
      </c>
      <c r="M149" s="561"/>
      <c r="N149" s="484" t="s">
        <v>517</v>
      </c>
      <c r="O149" s="53" t="s">
        <v>1564</v>
      </c>
      <c r="P149" s="2928" t="s">
        <v>3013</v>
      </c>
      <c r="Q149" s="561"/>
    </row>
    <row r="150" spans="1:18" ht="12" customHeight="1">
      <c r="A150" s="37"/>
      <c r="B150" s="68" t="s">
        <v>1751</v>
      </c>
      <c r="C150" s="53" t="s">
        <v>2821</v>
      </c>
      <c r="E150" s="138"/>
      <c r="F150" s="2934" t="s">
        <v>3013</v>
      </c>
      <c r="G150" s="562"/>
      <c r="H150" s="68" t="s">
        <v>1562</v>
      </c>
      <c r="I150" s="56" t="s">
        <v>2658</v>
      </c>
      <c r="L150" s="2934" t="s">
        <v>3013</v>
      </c>
      <c r="M150" s="562"/>
      <c r="N150" s="484" t="s">
        <v>518</v>
      </c>
      <c r="O150" s="53" t="s">
        <v>1563</v>
      </c>
      <c r="P150" s="2934" t="s">
        <v>3013</v>
      </c>
      <c r="Q150" s="562"/>
    </row>
    <row r="151" spans="1:18" ht="12" customHeight="1">
      <c r="A151" s="37"/>
      <c r="B151" s="68" t="s">
        <v>1752</v>
      </c>
      <c r="C151" s="53" t="s">
        <v>2656</v>
      </c>
      <c r="E151" s="138"/>
      <c r="F151" s="2934" t="s">
        <v>3013</v>
      </c>
      <c r="G151" s="562"/>
      <c r="H151" s="484" t="s">
        <v>99</v>
      </c>
      <c r="I151" s="56" t="s">
        <v>3874</v>
      </c>
      <c r="L151" s="2934" t="s">
        <v>3013</v>
      </c>
      <c r="M151" s="562"/>
      <c r="N151" s="484" t="s">
        <v>2823</v>
      </c>
      <c r="O151" s="53" t="s">
        <v>1565</v>
      </c>
      <c r="P151" s="2927" t="s">
        <v>3013</v>
      </c>
      <c r="Q151" s="563"/>
    </row>
    <row r="152" spans="1:18" ht="12" customHeight="1">
      <c r="A152" s="37"/>
      <c r="B152" s="68" t="s">
        <v>2381</v>
      </c>
      <c r="C152" s="53" t="s">
        <v>2824</v>
      </c>
      <c r="E152" s="138"/>
      <c r="F152" s="2927" t="s">
        <v>3013</v>
      </c>
      <c r="G152" s="563"/>
      <c r="H152" s="484" t="s">
        <v>516</v>
      </c>
      <c r="I152" s="53" t="s">
        <v>2820</v>
      </c>
      <c r="L152" s="2927"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49" t="s">
        <v>4707</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c r="Q156" s="561"/>
    </row>
    <row r="157" spans="1:18" ht="12" customHeight="1">
      <c r="A157" s="1589"/>
      <c r="B157" s="68" t="s">
        <v>1751</v>
      </c>
      <c r="C157" s="53" t="s">
        <v>495</v>
      </c>
      <c r="E157" s="53"/>
      <c r="F157" s="53"/>
      <c r="G157" s="53"/>
      <c r="H157" s="53"/>
      <c r="I157" s="43"/>
      <c r="J157" s="43"/>
      <c r="K157" s="53"/>
      <c r="L157" s="53"/>
      <c r="M157" s="53"/>
      <c r="O157" s="68" t="s">
        <v>1751</v>
      </c>
      <c r="P157" s="2934"/>
      <c r="Q157" s="562"/>
    </row>
    <row r="158" spans="1:18" ht="12" customHeight="1">
      <c r="A158" s="1589"/>
      <c r="B158" s="68" t="s">
        <v>1752</v>
      </c>
      <c r="C158" s="53" t="s">
        <v>687</v>
      </c>
      <c r="E158" s="53"/>
      <c r="F158" s="53"/>
      <c r="G158" s="53"/>
      <c r="H158" s="53"/>
      <c r="I158" s="43"/>
      <c r="J158" s="43"/>
      <c r="K158" s="53"/>
      <c r="L158" s="53"/>
      <c r="M158" s="53"/>
      <c r="O158" s="68" t="s">
        <v>1752</v>
      </c>
      <c r="P158" s="2934"/>
      <c r="Q158" s="562"/>
    </row>
    <row r="159" spans="1:18" ht="12" customHeight="1">
      <c r="A159" s="48" t="s">
        <v>1962</v>
      </c>
      <c r="B159" s="53" t="s">
        <v>1766</v>
      </c>
      <c r="D159" s="138"/>
      <c r="E159" s="138"/>
      <c r="F159" s="138"/>
      <c r="G159" s="138"/>
      <c r="H159" s="138"/>
      <c r="I159" s="43"/>
      <c r="J159" s="43"/>
      <c r="K159" s="138"/>
      <c r="L159" s="138"/>
      <c r="M159" s="1594"/>
      <c r="O159" s="484" t="s">
        <v>1962</v>
      </c>
      <c r="P159" s="2927"/>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999"/>
      <c r="Q163" s="559"/>
      <c r="AE163" s="5"/>
      <c r="AF163" s="5"/>
    </row>
    <row r="164" spans="1:32" ht="11.25" customHeight="1">
      <c r="B164" s="145" t="s">
        <v>3778</v>
      </c>
      <c r="D164" s="145"/>
      <c r="E164" s="145"/>
      <c r="F164" s="145"/>
      <c r="G164" s="145"/>
      <c r="H164" s="41"/>
      <c r="I164" s="1589"/>
      <c r="J164" s="1589"/>
      <c r="K164" s="1589"/>
      <c r="L164" s="1585"/>
      <c r="M164" s="1585"/>
      <c r="N164" s="1585"/>
      <c r="O164" s="1585"/>
      <c r="P164" s="1585"/>
      <c r="Q164" s="955"/>
    </row>
    <row r="165" spans="1:32" ht="11.45" customHeight="1">
      <c r="A165" s="3112" t="s">
        <v>4708</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3932</v>
      </c>
      <c r="D171" s="53"/>
      <c r="E171" s="53"/>
      <c r="F171" s="53"/>
      <c r="G171" s="53"/>
      <c r="I171" s="53" t="s">
        <v>2725</v>
      </c>
      <c r="K171" s="3156">
        <v>43434</v>
      </c>
      <c r="L171" s="3157"/>
      <c r="N171" s="53"/>
      <c r="O171" s="484" t="s">
        <v>1999</v>
      </c>
      <c r="P171" s="2999" t="s">
        <v>3010</v>
      </c>
      <c r="Q171" s="559"/>
    </row>
    <row r="172" spans="1:32" ht="12" customHeight="1">
      <c r="A172" s="48" t="s">
        <v>2001</v>
      </c>
      <c r="B172" s="144" t="s">
        <v>151</v>
      </c>
      <c r="D172" s="144"/>
      <c r="E172" s="144"/>
      <c r="F172" s="144"/>
      <c r="G172" s="144"/>
      <c r="H172" s="144"/>
      <c r="M172" s="484" t="s">
        <v>2001</v>
      </c>
      <c r="N172" s="3158" t="s">
        <v>4624</v>
      </c>
      <c r="O172" s="3159"/>
      <c r="P172" s="1905" t="s">
        <v>1784</v>
      </c>
      <c r="Q172" s="1906"/>
    </row>
    <row r="173" spans="1:32" ht="12" customHeight="1">
      <c r="A173" s="48" t="s">
        <v>757</v>
      </c>
      <c r="B173" s="144" t="s">
        <v>688</v>
      </c>
      <c r="D173" s="144"/>
      <c r="E173" s="144"/>
      <c r="F173" s="144"/>
      <c r="G173" s="144"/>
      <c r="H173" s="144"/>
      <c r="J173" s="484" t="s">
        <v>757</v>
      </c>
      <c r="K173" s="3127" t="s">
        <v>4560</v>
      </c>
      <c r="L173" s="3128"/>
      <c r="M173" s="3128"/>
      <c r="N173" s="3128"/>
      <c r="O173" s="3128"/>
      <c r="P173" s="3129"/>
      <c r="Q173" s="559"/>
    </row>
    <row r="174" spans="1:32" ht="12" customHeight="1">
      <c r="A174" s="48" t="s">
        <v>2131</v>
      </c>
      <c r="B174" s="144" t="s">
        <v>2900</v>
      </c>
      <c r="D174" s="144"/>
      <c r="E174" s="144"/>
      <c r="F174" s="144"/>
      <c r="G174" s="144"/>
      <c r="H174" s="144"/>
      <c r="J174" s="484"/>
      <c r="K174" s="484"/>
      <c r="L174" s="484"/>
      <c r="M174" s="484"/>
      <c r="N174" s="484"/>
      <c r="O174" s="484" t="s">
        <v>2131</v>
      </c>
      <c r="P174" s="2999" t="s">
        <v>3010</v>
      </c>
      <c r="Q174" s="559"/>
    </row>
    <row r="175" spans="1:32" ht="12" customHeight="1">
      <c r="B175" s="145" t="s">
        <v>3778</v>
      </c>
      <c r="D175" s="145"/>
      <c r="E175" s="145"/>
      <c r="F175" s="145"/>
      <c r="G175" s="145"/>
      <c r="H175" s="41"/>
      <c r="I175" s="1589"/>
      <c r="J175" s="1589"/>
      <c r="K175" s="1589"/>
      <c r="L175" s="1585"/>
      <c r="M175" s="1585"/>
      <c r="N175" s="1585"/>
      <c r="O175" s="1585"/>
      <c r="P175" s="1585"/>
      <c r="Q175" s="955"/>
    </row>
    <row r="176" spans="1:32" ht="11.45" customHeight="1">
      <c r="A176" s="3112" t="s">
        <v>4625</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3769</v>
      </c>
      <c r="C181" s="1892"/>
      <c r="D181" s="1892"/>
      <c r="E181" s="1892"/>
      <c r="F181" s="1892"/>
      <c r="G181" s="1892"/>
      <c r="H181" s="1892"/>
      <c r="I181" s="1892"/>
      <c r="J181" s="1892"/>
      <c r="K181" s="1892"/>
      <c r="L181" s="1892"/>
      <c r="M181" s="1892"/>
      <c r="N181" s="1892"/>
      <c r="O181" s="166" t="s">
        <v>1999</v>
      </c>
      <c r="P181" s="3070" t="s">
        <v>3010</v>
      </c>
      <c r="Q181" s="1261"/>
    </row>
    <row r="182" spans="1:31" ht="22.15" customHeight="1">
      <c r="A182" s="146" t="s">
        <v>2001</v>
      </c>
      <c r="B182" s="1892" t="s">
        <v>3662</v>
      </c>
      <c r="C182" s="1892"/>
      <c r="D182" s="1892"/>
      <c r="E182" s="1892"/>
      <c r="F182" s="1892"/>
      <c r="G182" s="1892"/>
      <c r="H182" s="1892"/>
      <c r="I182" s="1892"/>
      <c r="J182" s="1892"/>
      <c r="K182" s="1892"/>
      <c r="L182" s="1892"/>
      <c r="M182" s="1892"/>
      <c r="N182" s="1892"/>
      <c r="O182" s="166" t="s">
        <v>2001</v>
      </c>
      <c r="P182" s="3147" t="s">
        <v>4722</v>
      </c>
      <c r="Q182" s="564"/>
    </row>
    <row r="183" spans="1:31" ht="22.15" customHeight="1">
      <c r="A183" s="146" t="s">
        <v>757</v>
      </c>
      <c r="B183" s="1892" t="s">
        <v>3770</v>
      </c>
      <c r="C183" s="1892"/>
      <c r="D183" s="1892"/>
      <c r="E183" s="1892"/>
      <c r="F183" s="1892"/>
      <c r="G183" s="1892"/>
      <c r="H183" s="1892"/>
      <c r="I183" s="1892"/>
      <c r="J183" s="1892"/>
      <c r="K183" s="1892"/>
      <c r="L183" s="1892"/>
      <c r="M183" s="1892"/>
      <c r="N183" s="1892"/>
      <c r="O183" s="166" t="s">
        <v>757</v>
      </c>
      <c r="P183" s="3147" t="s">
        <v>4722</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3" t="s">
        <v>4722</v>
      </c>
      <c r="Q184" s="1282"/>
    </row>
    <row r="185" spans="1:31" ht="12" customHeight="1">
      <c r="B185" s="145" t="s">
        <v>3778</v>
      </c>
      <c r="D185" s="145"/>
      <c r="E185" s="145"/>
      <c r="F185" s="145"/>
      <c r="G185" s="145"/>
      <c r="H185" s="41"/>
      <c r="I185" s="1589"/>
      <c r="J185" s="1589"/>
      <c r="K185" s="1589"/>
      <c r="L185" s="1585"/>
      <c r="M185" s="1585"/>
      <c r="N185" s="1585"/>
      <c r="O185" s="1585"/>
      <c r="P185" s="1585"/>
      <c r="Q185" s="955"/>
    </row>
    <row r="186" spans="1:31" ht="11.45" customHeight="1">
      <c r="A186" s="3112" t="s">
        <v>4626</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3010</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3010</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3010</v>
      </c>
      <c r="Q195" s="562"/>
    </row>
    <row r="196" spans="1:32" s="137" customFormat="1" ht="21.75" customHeight="1">
      <c r="A196" s="146"/>
      <c r="C196" s="932"/>
      <c r="D196" s="166" t="s">
        <v>1752</v>
      </c>
      <c r="E196" s="1892" t="s">
        <v>3771</v>
      </c>
      <c r="F196" s="1892"/>
      <c r="G196" s="1892"/>
      <c r="H196" s="1892"/>
      <c r="I196" s="1892"/>
      <c r="J196" s="1892"/>
      <c r="K196" s="1892"/>
      <c r="L196" s="1892"/>
      <c r="M196" s="1892"/>
      <c r="N196" s="1892"/>
      <c r="O196" s="166" t="s">
        <v>1752</v>
      </c>
      <c r="P196" s="3147"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3010</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7" t="s">
        <v>4722</v>
      </c>
      <c r="Q198" s="564"/>
      <c r="AE198" s="487"/>
      <c r="AF198" s="487"/>
    </row>
    <row r="199" spans="1:32" s="137" customFormat="1" ht="21.75" customHeight="1">
      <c r="A199" s="146"/>
      <c r="C199" s="932"/>
      <c r="D199" s="166" t="s">
        <v>1562</v>
      </c>
      <c r="E199" s="1892" t="s">
        <v>3926</v>
      </c>
      <c r="F199" s="1892"/>
      <c r="G199" s="1892"/>
      <c r="H199" s="1892"/>
      <c r="I199" s="1892"/>
      <c r="J199" s="1892"/>
      <c r="K199" s="1892"/>
      <c r="L199" s="1892"/>
      <c r="M199" s="1892"/>
      <c r="N199" s="1892"/>
      <c r="O199" s="166" t="s">
        <v>1562</v>
      </c>
      <c r="P199" s="3147" t="s">
        <v>4722</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7"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3010</v>
      </c>
      <c r="Q201" s="563"/>
    </row>
    <row r="202" spans="1:32" ht="12" customHeight="1">
      <c r="B202" s="145" t="s">
        <v>3778</v>
      </c>
      <c r="D202" s="145"/>
      <c r="E202" s="145"/>
      <c r="F202" s="145"/>
      <c r="G202" s="145"/>
      <c r="H202" s="41"/>
      <c r="I202" s="1589"/>
      <c r="J202" s="1589"/>
      <c r="K202" s="1589"/>
      <c r="L202" s="1585"/>
      <c r="M202" s="1585"/>
      <c r="N202" s="1585"/>
      <c r="O202" s="1585"/>
      <c r="P202" s="1585"/>
      <c r="Q202" s="955"/>
    </row>
    <row r="203" spans="1:32" ht="11.45" customHeight="1">
      <c r="A203" s="3112" t="s">
        <v>4627</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0" t="s">
        <v>3187</v>
      </c>
      <c r="K208" s="3131"/>
      <c r="L208" s="3131"/>
      <c r="M208" s="3131"/>
      <c r="N208" s="3143"/>
      <c r="O208" s="68" t="s">
        <v>1750</v>
      </c>
      <c r="P208" s="2928" t="s">
        <v>3013</v>
      </c>
      <c r="Q208" s="561"/>
    </row>
    <row r="209" spans="1:31" ht="11.25" customHeight="1">
      <c r="A209" s="143"/>
      <c r="B209" s="145" t="s">
        <v>3778</v>
      </c>
      <c r="C209" s="107"/>
      <c r="D209" s="107"/>
      <c r="E209" s="107"/>
      <c r="F209" s="107"/>
      <c r="H209" s="68" t="s">
        <v>1751</v>
      </c>
      <c r="I209" s="53" t="s">
        <v>1608</v>
      </c>
      <c r="J209" s="3160" t="s">
        <v>4629</v>
      </c>
      <c r="K209" s="3161"/>
      <c r="L209" s="3161"/>
      <c r="M209" s="3161"/>
      <c r="N209" s="3162"/>
      <c r="O209" s="68" t="s">
        <v>1751</v>
      </c>
      <c r="P209" s="2927" t="s">
        <v>3010</v>
      </c>
      <c r="Q209" s="563"/>
    </row>
    <row r="210" spans="1:31" ht="11.45" customHeight="1">
      <c r="A210" s="3112" t="s">
        <v>4700</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892" t="s">
        <v>1863</v>
      </c>
      <c r="C218" s="1892"/>
      <c r="D218" s="1892"/>
      <c r="E218" s="1892"/>
      <c r="F218" s="1892"/>
      <c r="G218" s="1892"/>
      <c r="H218" s="68" t="s">
        <v>1750</v>
      </c>
      <c r="I218" s="53" t="s">
        <v>641</v>
      </c>
      <c r="J218" s="3130" t="s">
        <v>4597</v>
      </c>
      <c r="K218" s="3131"/>
      <c r="L218" s="3131"/>
      <c r="M218" s="3131"/>
      <c r="N218" s="3143"/>
      <c r="O218" s="68" t="s">
        <v>1458</v>
      </c>
      <c r="P218" s="2934" t="s">
        <v>3010</v>
      </c>
      <c r="Q218" s="562"/>
    </row>
    <row r="219" spans="1:31" ht="11.45" customHeight="1">
      <c r="A219" s="155"/>
      <c r="B219" s="1892"/>
      <c r="C219" s="1892"/>
      <c r="D219" s="1892"/>
      <c r="E219" s="1892"/>
      <c r="F219" s="1892"/>
      <c r="G219" s="1892"/>
      <c r="H219" s="68" t="s">
        <v>1751</v>
      </c>
      <c r="I219" s="53" t="s">
        <v>117</v>
      </c>
      <c r="J219" s="3160" t="s">
        <v>4597</v>
      </c>
      <c r="K219" s="3161"/>
      <c r="L219" s="3161"/>
      <c r="M219" s="3161"/>
      <c r="N219" s="3162"/>
      <c r="O219" s="68" t="s">
        <v>1751</v>
      </c>
      <c r="P219" s="2934" t="s">
        <v>3010</v>
      </c>
      <c r="Q219" s="562"/>
    </row>
    <row r="220" spans="1:31" ht="12" customHeight="1">
      <c r="A220" s="48" t="s">
        <v>757</v>
      </c>
      <c r="B220" s="53" t="s">
        <v>3933</v>
      </c>
      <c r="D220" s="53"/>
      <c r="E220" s="53"/>
      <c r="F220" s="53"/>
      <c r="G220" s="53"/>
      <c r="H220" s="53"/>
      <c r="I220" s="53"/>
      <c r="J220" s="53"/>
      <c r="K220" s="43"/>
      <c r="L220" s="53"/>
      <c r="M220" s="53"/>
      <c r="O220" s="484" t="s">
        <v>757</v>
      </c>
      <c r="P220" s="2934" t="s">
        <v>3013</v>
      </c>
      <c r="Q220" s="562"/>
    </row>
    <row r="221" spans="1:31" ht="12" customHeight="1">
      <c r="A221" s="48" t="s">
        <v>2131</v>
      </c>
      <c r="B221" s="53" t="s">
        <v>3934</v>
      </c>
      <c r="D221" s="53"/>
      <c r="E221" s="53"/>
      <c r="F221" s="53"/>
      <c r="G221" s="53"/>
      <c r="H221" s="53"/>
      <c r="I221" s="53"/>
      <c r="J221" s="53"/>
      <c r="K221" s="43"/>
      <c r="L221" s="53"/>
      <c r="M221" s="53"/>
      <c r="O221" s="484" t="s">
        <v>2131</v>
      </c>
      <c r="P221" s="2927" t="s">
        <v>3013</v>
      </c>
      <c r="Q221" s="563"/>
    </row>
    <row r="222" spans="1:31" ht="11.25" customHeight="1">
      <c r="B222" s="145" t="s">
        <v>3778</v>
      </c>
      <c r="D222" s="145"/>
      <c r="E222" s="145"/>
      <c r="F222" s="145"/>
      <c r="G222" s="145"/>
      <c r="H222" s="41"/>
      <c r="I222" s="1589"/>
      <c r="J222" s="1589"/>
      <c r="K222" s="1589"/>
      <c r="L222" s="1585"/>
      <c r="M222" s="1585"/>
      <c r="N222" s="1585"/>
      <c r="O222" s="1585"/>
      <c r="P222" s="1585"/>
      <c r="Q222" s="955"/>
    </row>
    <row r="223" spans="1:31" ht="11.45" customHeight="1">
      <c r="A223" s="3112" t="s">
        <v>4630</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999" t="s">
        <v>3013</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2999" t="s">
        <v>4635</v>
      </c>
      <c r="Q229" s="561"/>
    </row>
    <row r="230" spans="1:32" ht="11.45" customHeight="1">
      <c r="A230" s="48"/>
      <c r="B230" s="68" t="s">
        <v>1750</v>
      </c>
      <c r="C230" s="53" t="s">
        <v>1946</v>
      </c>
      <c r="E230" s="53"/>
      <c r="F230" s="53"/>
      <c r="G230" s="53"/>
      <c r="H230" s="53"/>
      <c r="I230" s="43"/>
      <c r="J230" s="68" t="s">
        <v>1498</v>
      </c>
      <c r="K230" s="3130" t="s">
        <v>4631</v>
      </c>
      <c r="L230" s="3143"/>
      <c r="Q230" s="562"/>
    </row>
    <row r="231" spans="1:32" ht="11.45" customHeight="1">
      <c r="A231" s="48"/>
      <c r="B231" s="68" t="s">
        <v>1751</v>
      </c>
      <c r="C231" s="956" t="s">
        <v>2741</v>
      </c>
      <c r="E231" s="956"/>
      <c r="F231" s="956"/>
      <c r="G231" s="956"/>
      <c r="H231" s="956"/>
      <c r="I231" s="43"/>
      <c r="J231" s="68" t="s">
        <v>1499</v>
      </c>
      <c r="K231" s="3163" t="s">
        <v>4632</v>
      </c>
      <c r="L231" s="3164"/>
      <c r="M231" s="3165" t="s">
        <v>2742</v>
      </c>
      <c r="N231" s="3166"/>
      <c r="O231" s="3166"/>
      <c r="P231" s="3167"/>
      <c r="Q231" s="562"/>
    </row>
    <row r="232" spans="1:32" ht="11.45" customHeight="1">
      <c r="A232" s="48"/>
      <c r="B232" s="68" t="s">
        <v>1752</v>
      </c>
      <c r="C232" s="956" t="s">
        <v>563</v>
      </c>
      <c r="E232" s="956"/>
      <c r="F232" s="956"/>
      <c r="G232" s="956"/>
      <c r="H232" s="956"/>
      <c r="I232" s="43"/>
      <c r="J232" s="68" t="s">
        <v>1500</v>
      </c>
      <c r="K232" s="3160" t="s">
        <v>4633</v>
      </c>
      <c r="L232" s="3161"/>
      <c r="M232" s="316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4635</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8" t="s">
        <v>4634</v>
      </c>
      <c r="D236" s="3169"/>
      <c r="E236" s="3169"/>
      <c r="F236" s="3169"/>
      <c r="G236" s="3170"/>
      <c r="H236" s="568"/>
      <c r="I236" s="569"/>
      <c r="J236" s="68" t="s">
        <v>1752</v>
      </c>
      <c r="K236" s="3168" t="s">
        <v>4229</v>
      </c>
      <c r="L236" s="3169"/>
      <c r="M236" s="3169"/>
      <c r="N236" s="3169"/>
      <c r="O236" s="3170"/>
      <c r="P236" s="561"/>
      <c r="Q236" s="569"/>
      <c r="AE236" s="55"/>
      <c r="AF236" s="55"/>
    </row>
    <row r="237" spans="1:32" s="44" customFormat="1" ht="11.45" customHeight="1">
      <c r="A237" s="52"/>
      <c r="B237" s="68" t="s">
        <v>1751</v>
      </c>
      <c r="C237" s="3171" t="s">
        <v>2119</v>
      </c>
      <c r="D237" s="3172"/>
      <c r="E237" s="3172"/>
      <c r="F237" s="3172"/>
      <c r="G237" s="3173"/>
      <c r="H237" s="570"/>
      <c r="I237" s="571"/>
      <c r="J237" s="68" t="s">
        <v>2381</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4635</v>
      </c>
      <c r="Q238" s="561"/>
    </row>
    <row r="239" spans="1:32" ht="11.45" customHeight="1">
      <c r="A239" s="48"/>
      <c r="B239" s="68" t="s">
        <v>1750</v>
      </c>
      <c r="C239" s="53" t="s">
        <v>3487</v>
      </c>
      <c r="E239" s="53"/>
      <c r="F239" s="53"/>
      <c r="L239" s="34"/>
      <c r="M239" s="34"/>
      <c r="O239" s="68" t="s">
        <v>1750</v>
      </c>
      <c r="P239" s="2934" t="s">
        <v>3010</v>
      </c>
      <c r="Q239" s="562"/>
    </row>
    <row r="240" spans="1:32" ht="11.45" customHeight="1">
      <c r="B240" s="68" t="s">
        <v>1751</v>
      </c>
      <c r="C240" s="956" t="s">
        <v>2826</v>
      </c>
      <c r="E240" s="956"/>
      <c r="F240" s="956"/>
      <c r="L240" s="34"/>
      <c r="M240" s="34"/>
      <c r="O240" s="68" t="s">
        <v>1751</v>
      </c>
      <c r="P240" s="2934" t="s">
        <v>3010</v>
      </c>
      <c r="Q240" s="562"/>
    </row>
    <row r="241" spans="1:31" ht="11.45" customHeight="1">
      <c r="B241" s="68" t="s">
        <v>1752</v>
      </c>
      <c r="C241" s="956" t="s">
        <v>2827</v>
      </c>
      <c r="E241" s="956"/>
      <c r="F241" s="956"/>
      <c r="G241" s="956"/>
      <c r="H241" s="956"/>
      <c r="I241" s="43"/>
      <c r="J241" s="34"/>
      <c r="K241" s="43"/>
      <c r="L241" s="34"/>
      <c r="M241" s="34"/>
      <c r="O241" s="68" t="s">
        <v>1752</v>
      </c>
      <c r="P241" s="2934" t="s">
        <v>3010</v>
      </c>
      <c r="Q241" s="562"/>
    </row>
    <row r="242" spans="1:31" ht="11.45" customHeight="1">
      <c r="A242" s="48"/>
      <c r="B242" s="68" t="s">
        <v>2381</v>
      </c>
      <c r="C242" s="956" t="s">
        <v>2828</v>
      </c>
      <c r="E242" s="956"/>
      <c r="F242" s="956"/>
      <c r="G242" s="956"/>
      <c r="H242" s="956"/>
      <c r="I242" s="43"/>
      <c r="J242" s="34"/>
      <c r="K242" s="43"/>
      <c r="L242" s="34"/>
      <c r="M242" s="34"/>
      <c r="O242" s="68" t="s">
        <v>2381</v>
      </c>
      <c r="P242" s="2934" t="s">
        <v>3010</v>
      </c>
      <c r="Q242" s="562"/>
    </row>
    <row r="243" spans="1:31" ht="11.45" customHeight="1">
      <c r="A243" s="48"/>
      <c r="B243" s="68" t="s">
        <v>1561</v>
      </c>
      <c r="C243" s="956" t="s">
        <v>2829</v>
      </c>
      <c r="E243" s="956"/>
      <c r="F243" s="956"/>
      <c r="G243" s="956"/>
      <c r="H243" s="956"/>
      <c r="I243" s="43"/>
      <c r="J243" s="34"/>
      <c r="K243" s="43"/>
      <c r="L243" s="34"/>
      <c r="M243" s="34"/>
      <c r="O243" s="68" t="s">
        <v>1561</v>
      </c>
      <c r="P243" s="2934" t="s">
        <v>3010</v>
      </c>
      <c r="Q243" s="562"/>
    </row>
    <row r="244" spans="1:31" ht="11.45" customHeight="1">
      <c r="A244" s="48"/>
      <c r="B244" s="484" t="s">
        <v>1562</v>
      </c>
      <c r="C244" s="53" t="s">
        <v>783</v>
      </c>
      <c r="E244" s="53"/>
      <c r="F244" s="53"/>
      <c r="G244" s="53"/>
      <c r="H244" s="53"/>
      <c r="I244" s="43"/>
      <c r="J244" s="34"/>
      <c r="K244" s="43"/>
      <c r="L244" s="34"/>
      <c r="M244" s="34"/>
      <c r="O244" s="484" t="s">
        <v>2817</v>
      </c>
      <c r="P244" s="2934" t="s">
        <v>3010</v>
      </c>
      <c r="Q244" s="562"/>
    </row>
    <row r="245" spans="1:31" ht="11.45" customHeight="1">
      <c r="A245" s="48"/>
      <c r="B245" s="68"/>
      <c r="C245" s="53" t="s">
        <v>1501</v>
      </c>
      <c r="E245" s="53"/>
      <c r="F245" s="53"/>
      <c r="G245" s="53"/>
      <c r="H245" s="53"/>
      <c r="I245" s="43"/>
      <c r="J245" s="34"/>
      <c r="K245" s="43"/>
      <c r="L245" s="34"/>
      <c r="M245" s="34"/>
      <c r="O245" s="484" t="s">
        <v>2818</v>
      </c>
      <c r="P245" s="2927"/>
      <c r="Q245" s="563"/>
    </row>
    <row r="246" spans="1:31" ht="12" customHeight="1">
      <c r="A246" s="48" t="s">
        <v>2131</v>
      </c>
      <c r="B246" s="53" t="s">
        <v>3687</v>
      </c>
      <c r="C246" s="53"/>
      <c r="E246" s="53"/>
      <c r="F246" s="53"/>
      <c r="G246" s="53"/>
      <c r="H246" s="53"/>
      <c r="I246" s="53"/>
      <c r="J246" s="53"/>
      <c r="K246" s="43"/>
      <c r="L246" s="53"/>
      <c r="M246" s="53"/>
      <c r="O246" s="484" t="s">
        <v>2131</v>
      </c>
      <c r="P246" s="2928" t="s">
        <v>4635</v>
      </c>
      <c r="Q246" s="561"/>
    </row>
    <row r="247" spans="1:31" ht="11.45" customHeight="1">
      <c r="B247" s="68" t="s">
        <v>1750</v>
      </c>
      <c r="C247" s="40" t="s">
        <v>1267</v>
      </c>
      <c r="E247" s="43"/>
      <c r="F247" s="43"/>
      <c r="G247" s="40"/>
      <c r="H247" s="956"/>
      <c r="I247" s="43"/>
      <c r="J247" s="956"/>
      <c r="K247" s="43"/>
      <c r="L247" s="956"/>
      <c r="M247" s="956"/>
      <c r="O247" s="68" t="s">
        <v>1750</v>
      </c>
      <c r="P247" s="2934" t="s">
        <v>3010</v>
      </c>
      <c r="Q247" s="562"/>
    </row>
    <row r="248" spans="1:31" ht="11.45" customHeight="1">
      <c r="B248" s="68" t="s">
        <v>1751</v>
      </c>
      <c r="C248" s="37" t="s">
        <v>3935</v>
      </c>
      <c r="E248" s="43"/>
      <c r="F248" s="43"/>
      <c r="G248" s="956"/>
      <c r="H248" s="956"/>
      <c r="I248" s="43"/>
      <c r="J248" s="956"/>
      <c r="K248" s="43"/>
      <c r="L248" s="956"/>
      <c r="M248" s="956"/>
      <c r="O248" s="68" t="s">
        <v>1751</v>
      </c>
      <c r="P248" s="2927" t="s">
        <v>3010</v>
      </c>
      <c r="Q248" s="563"/>
    </row>
    <row r="249" spans="1:31" ht="11.25" customHeight="1">
      <c r="B249" s="145" t="s">
        <v>3778</v>
      </c>
      <c r="D249" s="145"/>
      <c r="E249" s="145"/>
      <c r="F249" s="145"/>
      <c r="G249" s="145"/>
      <c r="H249" s="41"/>
      <c r="I249" s="1589"/>
      <c r="J249" s="1589"/>
      <c r="K249" s="1589"/>
      <c r="L249" s="1585"/>
      <c r="M249" s="1585"/>
      <c r="N249" s="1585"/>
      <c r="O249" s="1585"/>
      <c r="P249" s="1585"/>
      <c r="Q249" s="955"/>
    </row>
    <row r="250" spans="1:31" ht="11.45" customHeight="1">
      <c r="A250" s="3112" t="s">
        <v>4636</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7" t="s">
        <v>1784</v>
      </c>
      <c r="L256" s="3128"/>
      <c r="M256" s="3128"/>
      <c r="N256" s="3128"/>
      <c r="O256" s="3129"/>
      <c r="P256" s="1933" t="s">
        <v>1784</v>
      </c>
      <c r="Q256" s="1934"/>
    </row>
    <row r="257" spans="1:32" ht="11.45" customHeight="1">
      <c r="A257" s="48" t="s">
        <v>2001</v>
      </c>
      <c r="B257" s="53" t="s">
        <v>2830</v>
      </c>
      <c r="D257" s="53"/>
      <c r="E257" s="53"/>
      <c r="F257" s="53"/>
      <c r="J257" s="484" t="s">
        <v>2001</v>
      </c>
      <c r="K257" s="3174"/>
      <c r="L257" s="3175"/>
      <c r="M257" s="3175"/>
      <c r="N257" s="3175"/>
      <c r="O257" s="3176"/>
      <c r="P257" s="1935"/>
      <c r="Q257" s="1936"/>
    </row>
    <row r="258" spans="1:32" s="152" customFormat="1" ht="11.45" customHeight="1">
      <c r="A258" s="48"/>
      <c r="B258" s="53" t="s">
        <v>1960</v>
      </c>
      <c r="D258" s="53"/>
      <c r="E258" s="53"/>
      <c r="F258" s="53"/>
      <c r="K258" s="3160"/>
      <c r="L258" s="3161"/>
      <c r="M258" s="3161"/>
      <c r="N258" s="3161"/>
      <c r="O258" s="3162"/>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3785</v>
      </c>
      <c r="D260" s="53"/>
      <c r="E260" s="53"/>
      <c r="F260" s="53"/>
      <c r="M260" s="37"/>
      <c r="N260" s="1091"/>
      <c r="O260" s="484" t="s">
        <v>757</v>
      </c>
      <c r="P260" s="2928"/>
      <c r="Q260" s="561"/>
      <c r="AE260" s="488"/>
      <c r="AF260" s="488"/>
    </row>
    <row r="261" spans="1:32" s="152" customFormat="1" ht="11.45" customHeight="1">
      <c r="A261" s="48"/>
      <c r="B261" s="53" t="s">
        <v>3784</v>
      </c>
      <c r="D261" s="53"/>
      <c r="E261" s="53"/>
      <c r="F261" s="53"/>
      <c r="K261" s="3127"/>
      <c r="L261" s="3128"/>
      <c r="M261" s="3128"/>
      <c r="N261" s="3128"/>
      <c r="O261" s="3129"/>
      <c r="P261" s="1931"/>
      <c r="Q261" s="1932"/>
      <c r="AE261" s="488"/>
      <c r="AF261" s="488"/>
    </row>
    <row r="262" spans="1:32" s="152" customFormat="1" ht="11.45" customHeight="1">
      <c r="A262" s="48" t="s">
        <v>2131</v>
      </c>
      <c r="B262" s="53" t="s">
        <v>3936</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892" t="s">
        <v>3786</v>
      </c>
      <c r="C263" s="1892"/>
      <c r="D263" s="1892"/>
      <c r="E263" s="1892"/>
      <c r="F263" s="1892"/>
      <c r="G263" s="1892"/>
      <c r="H263" s="446" t="s">
        <v>4163</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4164</v>
      </c>
      <c r="K264" s="97"/>
      <c r="M264" s="37"/>
      <c r="N264" s="1091"/>
      <c r="O264" s="68" t="s">
        <v>1751</v>
      </c>
      <c r="P264" s="2934"/>
      <c r="Q264" s="562"/>
      <c r="AE264" s="488"/>
      <c r="AF264" s="488"/>
    </row>
    <row r="265" spans="1:32" s="152" customFormat="1" ht="11.45" customHeight="1">
      <c r="A265" s="48"/>
      <c r="B265" s="53"/>
      <c r="D265" s="53"/>
      <c r="E265" s="53"/>
      <c r="F265" s="53"/>
      <c r="G265" s="53"/>
      <c r="H265" s="56" t="s">
        <v>4165</v>
      </c>
      <c r="K265" s="97"/>
      <c r="M265" s="37"/>
      <c r="N265" s="1091"/>
      <c r="O265" s="68" t="s">
        <v>1752</v>
      </c>
      <c r="P265" s="2934"/>
      <c r="Q265" s="562"/>
      <c r="AE265" s="488"/>
      <c r="AF265" s="488"/>
    </row>
    <row r="266" spans="1:32" s="152" customFormat="1" ht="11.45" customHeight="1">
      <c r="A266" s="48"/>
      <c r="B266" s="53"/>
      <c r="D266" s="53"/>
      <c r="E266" s="53"/>
      <c r="F266" s="53"/>
      <c r="G266" s="53"/>
      <c r="H266" s="56" t="s">
        <v>4166</v>
      </c>
      <c r="K266" s="97"/>
      <c r="M266" s="37"/>
      <c r="N266" s="1091"/>
      <c r="O266" s="484" t="s">
        <v>2381</v>
      </c>
      <c r="P266" s="2927"/>
      <c r="Q266" s="563"/>
      <c r="AE266" s="488"/>
      <c r="AF266" s="488"/>
    </row>
    <row r="267" spans="1:32" s="152" customFormat="1" ht="22.15" customHeight="1">
      <c r="A267" s="146" t="s">
        <v>1748</v>
      </c>
      <c r="B267" s="1892" t="s">
        <v>3937</v>
      </c>
      <c r="C267" s="1892"/>
      <c r="D267" s="1892"/>
      <c r="E267" s="1892"/>
      <c r="F267" s="1892"/>
      <c r="G267" s="1892"/>
      <c r="H267" s="1892"/>
      <c r="I267" s="1892"/>
      <c r="J267" s="1892"/>
      <c r="K267" s="1892"/>
      <c r="L267" s="1892"/>
      <c r="M267" s="1892"/>
      <c r="N267" s="1892"/>
      <c r="O267" s="166" t="s">
        <v>1748</v>
      </c>
      <c r="P267" s="3177"/>
      <c r="Q267" s="1346"/>
      <c r="T267" s="488"/>
      <c r="AE267" s="488"/>
      <c r="AF267" s="488"/>
    </row>
    <row r="268" spans="1:32" ht="11.25" customHeight="1">
      <c r="B268" s="145" t="s">
        <v>3778</v>
      </c>
      <c r="D268" s="145"/>
      <c r="E268" s="145"/>
      <c r="F268" s="145"/>
      <c r="G268" s="145"/>
      <c r="H268" s="41"/>
      <c r="I268" s="1589"/>
      <c r="J268" s="1589"/>
      <c r="K268" s="1589"/>
      <c r="L268" s="1585"/>
      <c r="M268" s="1585"/>
      <c r="N268" s="1585"/>
      <c r="O268" s="1585"/>
      <c r="P268" s="1585"/>
      <c r="Q268" s="955"/>
    </row>
    <row r="269" spans="1:32" ht="13.15" customHeight="1">
      <c r="A269" s="3112" t="s">
        <v>4637</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3938</v>
      </c>
      <c r="C275" s="1892"/>
      <c r="D275" s="1892"/>
      <c r="E275" s="1892"/>
      <c r="F275" s="1892"/>
      <c r="G275" s="1892"/>
      <c r="H275" s="1892"/>
      <c r="I275" s="1892"/>
      <c r="J275" s="1892"/>
      <c r="K275" s="1892"/>
      <c r="L275" s="1892"/>
      <c r="M275" s="1892"/>
      <c r="N275" s="1892"/>
      <c r="O275" s="166" t="s">
        <v>1999</v>
      </c>
      <c r="P275" s="3070" t="s">
        <v>3010</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2001</v>
      </c>
      <c r="B277" s="53" t="s">
        <v>3782</v>
      </c>
      <c r="D277" s="53"/>
      <c r="E277" s="53"/>
      <c r="F277" s="53"/>
      <c r="G277" s="53"/>
      <c r="H277" s="53"/>
      <c r="I277" s="53"/>
      <c r="J277" s="53"/>
      <c r="K277" s="53"/>
      <c r="L277" s="53"/>
      <c r="M277" s="53"/>
      <c r="O277" s="484" t="s">
        <v>2001</v>
      </c>
      <c r="P277" s="2927" t="s">
        <v>3010</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928" t="s">
        <v>3010</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2131</v>
      </c>
      <c r="B280" s="53" t="s">
        <v>4168</v>
      </c>
      <c r="D280" s="53"/>
      <c r="E280" s="53"/>
      <c r="F280" s="53"/>
      <c r="G280" s="53"/>
      <c r="H280" s="53"/>
      <c r="I280" s="53"/>
      <c r="J280" s="53"/>
      <c r="K280" s="53"/>
      <c r="L280" s="53"/>
      <c r="M280" s="53"/>
      <c r="O280" s="484" t="s">
        <v>2131</v>
      </c>
      <c r="P280" s="2927" t="s">
        <v>3010</v>
      </c>
      <c r="Q280" s="563"/>
      <c r="AE280" s="488"/>
      <c r="AF280" s="488"/>
    </row>
    <row r="281" spans="1:32" ht="11.25" customHeight="1">
      <c r="B281" s="145" t="s">
        <v>3778</v>
      </c>
      <c r="D281" s="145"/>
      <c r="E281" s="145"/>
      <c r="F281" s="145"/>
      <c r="G281" s="145"/>
      <c r="H281" s="41"/>
      <c r="I281" s="1589"/>
      <c r="J281" s="1589"/>
      <c r="K281" s="1589"/>
      <c r="L281" s="1585"/>
      <c r="M281" s="1585"/>
      <c r="N281" s="1585"/>
      <c r="O281" s="1585"/>
      <c r="P281" s="1585"/>
      <c r="Q281" s="955"/>
    </row>
    <row r="282" spans="1:32" ht="13.15" customHeight="1">
      <c r="A282" s="3112" t="s">
        <v>4638</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4149</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0" t="s">
        <v>4635</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3" t="s">
        <v>4635</v>
      </c>
      <c r="Q288" s="1282"/>
      <c r="AE288" s="489"/>
      <c r="AF288" s="489"/>
    </row>
    <row r="289" spans="1:33" ht="11.25" customHeight="1">
      <c r="B289" s="145" t="s">
        <v>3778</v>
      </c>
      <c r="D289" s="145"/>
      <c r="E289" s="145"/>
      <c r="F289" s="145"/>
      <c r="G289" s="145"/>
      <c r="H289" s="41"/>
      <c r="I289" s="1589"/>
      <c r="J289" s="1589"/>
      <c r="K289" s="1589"/>
      <c r="L289" s="1585"/>
      <c r="M289" s="1585"/>
      <c r="N289" s="1585"/>
      <c r="O289" s="1585"/>
      <c r="P289" s="1585"/>
      <c r="Q289" s="955"/>
    </row>
    <row r="290" spans="1:33" ht="13.15" customHeight="1">
      <c r="A290" s="3112" t="s">
        <v>4639</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4150</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4169</v>
      </c>
    </row>
    <row r="295" spans="1:33" s="152" customFormat="1" ht="44.25" customHeight="1">
      <c r="A295" s="146"/>
      <c r="B295" s="154" t="s">
        <v>1750</v>
      </c>
      <c r="C295" s="1892" t="s">
        <v>3940</v>
      </c>
      <c r="D295" s="1892"/>
      <c r="E295" s="1892"/>
      <c r="F295" s="1892"/>
      <c r="G295" s="1892"/>
      <c r="H295" s="1892"/>
      <c r="I295" s="1892"/>
      <c r="J295" s="1892"/>
      <c r="K295" s="1892"/>
      <c r="L295" s="1892"/>
      <c r="M295" s="1892"/>
      <c r="N295" s="1892"/>
      <c r="O295" s="166" t="s">
        <v>2744</v>
      </c>
      <c r="P295" s="3070" t="s">
        <v>3010</v>
      </c>
      <c r="Q295" s="1261"/>
      <c r="AE295" s="488"/>
      <c r="AF295" s="488"/>
    </row>
    <row r="296" spans="1:33" s="429" customFormat="1" ht="12" customHeight="1">
      <c r="A296" s="146"/>
      <c r="B296" s="154" t="s">
        <v>1751</v>
      </c>
      <c r="C296" s="1892" t="s">
        <v>3941</v>
      </c>
      <c r="D296" s="1892"/>
      <c r="E296" s="1892"/>
      <c r="F296" s="1892"/>
      <c r="G296" s="1892"/>
      <c r="H296" s="1892"/>
      <c r="I296" s="1892"/>
      <c r="J296" s="1892"/>
      <c r="K296" s="1892"/>
      <c r="L296" s="1892"/>
      <c r="M296" s="1892"/>
      <c r="N296" s="1892"/>
      <c r="O296" s="154" t="s">
        <v>1751</v>
      </c>
      <c r="P296" s="3147" t="s">
        <v>3010</v>
      </c>
      <c r="Q296" s="564"/>
      <c r="AE296" s="489"/>
      <c r="AF296" s="489"/>
    </row>
    <row r="297" spans="1:33" s="429" customFormat="1" ht="21.75" customHeight="1">
      <c r="A297" s="146"/>
      <c r="B297" s="166" t="s">
        <v>1752</v>
      </c>
      <c r="C297" s="1892" t="s">
        <v>3939</v>
      </c>
      <c r="D297" s="1892"/>
      <c r="E297" s="1892"/>
      <c r="F297" s="1892"/>
      <c r="G297" s="1892"/>
      <c r="H297" s="1892"/>
      <c r="I297" s="1892"/>
      <c r="J297" s="1892"/>
      <c r="K297" s="1892"/>
      <c r="L297" s="1892"/>
      <c r="M297" s="1892"/>
      <c r="N297" s="1892"/>
      <c r="O297" s="166" t="s">
        <v>1752</v>
      </c>
      <c r="P297" s="3093" t="s">
        <v>3010</v>
      </c>
      <c r="Q297" s="1282"/>
      <c r="AE297" s="489"/>
      <c r="AF297" s="489"/>
    </row>
    <row r="298" spans="1:33" s="97" customFormat="1" ht="12.75" customHeight="1">
      <c r="A298" s="15" t="s">
        <v>2001</v>
      </c>
      <c r="B298" s="1586" t="s">
        <v>3906</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3775</v>
      </c>
      <c r="D299" s="1892"/>
      <c r="E299" s="1892"/>
      <c r="F299" s="1892"/>
      <c r="G299" s="1892"/>
      <c r="H299" s="1892"/>
      <c r="I299" s="144"/>
      <c r="J299" s="1901" t="s">
        <v>3821</v>
      </c>
      <c r="K299" s="1902"/>
      <c r="L299" s="1902"/>
      <c r="M299" s="1903" t="s">
        <v>3788</v>
      </c>
      <c r="N299" s="1903"/>
      <c r="AE299" s="490"/>
      <c r="AF299" s="490"/>
    </row>
    <row r="300" spans="1:33" s="305" customFormat="1" ht="10.5" customHeight="1">
      <c r="A300" s="317"/>
      <c r="C300" s="1892"/>
      <c r="D300" s="1892"/>
      <c r="E300" s="1892"/>
      <c r="F300" s="1892"/>
      <c r="G300" s="1892"/>
      <c r="H300" s="1892"/>
      <c r="I300" s="1571"/>
      <c r="J300" s="1902"/>
      <c r="K300" s="1902"/>
      <c r="L300" s="1902"/>
      <c r="M300" s="37" t="s">
        <v>3789</v>
      </c>
      <c r="N300" s="1589" t="s">
        <v>3820</v>
      </c>
      <c r="P300" s="315"/>
    </row>
    <row r="301" spans="1:33" s="305" customFormat="1" ht="13.15" customHeight="1">
      <c r="A301" s="317"/>
      <c r="C301" s="1892"/>
      <c r="D301" s="1892"/>
      <c r="E301" s="1892"/>
      <c r="F301" s="1892"/>
      <c r="G301" s="1892"/>
      <c r="H301" s="1892"/>
      <c r="I301" s="53" t="s">
        <v>4170</v>
      </c>
      <c r="K301" s="3178">
        <v>4</v>
      </c>
      <c r="L301" s="1086" t="str">
        <f>IF(K301&lt;M301,"Check!!!","")</f>
        <v/>
      </c>
      <c r="M301" s="1087">
        <f>ROUNDUP('Part VI-Revenues &amp; Expenses'!$O$62*'Part VIII-Threshold Criteria'!N301,0)</f>
        <v>4</v>
      </c>
      <c r="N301" s="1092">
        <f>'DCA Underwriting Assumptions'!$Q$136</f>
        <v>0.05</v>
      </c>
      <c r="O301" s="484" t="s">
        <v>3663</v>
      </c>
      <c r="P301" s="2998"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3776</v>
      </c>
      <c r="D303" s="1892"/>
      <c r="E303" s="1892"/>
      <c r="F303" s="1892"/>
      <c r="G303" s="1892"/>
      <c r="H303" s="1892"/>
      <c r="I303" s="938" t="s">
        <v>4171</v>
      </c>
      <c r="J303" s="305"/>
      <c r="K303" s="3178">
        <v>2</v>
      </c>
      <c r="L303" s="1086" t="str">
        <f>IF(K303&lt;M303,"Check!!!","")</f>
        <v/>
      </c>
      <c r="M303" s="1087">
        <f>ROUNDUP(K301*'Part VIII-Threshold Criteria'!N303,0)</f>
        <v>2</v>
      </c>
      <c r="N303" s="1092">
        <f>'DCA Underwriting Assumptions'!$Q$137</f>
        <v>0.4</v>
      </c>
      <c r="O303" s="484" t="s">
        <v>2133</v>
      </c>
      <c r="P303" s="2998"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3777</v>
      </c>
      <c r="D305" s="1892"/>
      <c r="E305" s="1892"/>
      <c r="F305" s="1892"/>
      <c r="G305" s="1892"/>
      <c r="H305" s="1892"/>
      <c r="I305" s="53" t="s">
        <v>4172</v>
      </c>
      <c r="J305" s="305"/>
      <c r="K305" s="3178">
        <v>2</v>
      </c>
      <c r="L305" s="1086" t="str">
        <f>IF(K305&lt;M305,"Check!!!","")</f>
        <v/>
      </c>
      <c r="M305" s="1087">
        <f>ROUNDUP('Part VI-Revenues &amp; Expenses'!$O$62*'Part VIII-Threshold Criteria'!N305,0)</f>
        <v>2</v>
      </c>
      <c r="N305" s="1092">
        <f>'DCA Underwriting Assumptions'!$Q$138</f>
        <v>0.02</v>
      </c>
      <c r="O305" s="484" t="s">
        <v>1751</v>
      </c>
      <c r="P305" s="2998"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3907</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3066" t="s">
        <v>3010</v>
      </c>
      <c r="Q309" s="1262"/>
      <c r="AE309" s="490"/>
      <c r="AF309" s="490"/>
    </row>
    <row r="310" spans="1:33" s="97" customFormat="1" ht="11.25" customHeight="1">
      <c r="B310" s="405" t="s">
        <v>3666</v>
      </c>
      <c r="D310" s="405"/>
      <c r="E310" s="405"/>
      <c r="F310" s="405"/>
      <c r="G310" s="405"/>
      <c r="H310" s="405"/>
      <c r="I310" s="405" t="s">
        <v>3787</v>
      </c>
      <c r="J310" s="405"/>
      <c r="K310" s="405"/>
      <c r="L310" s="3179" t="s">
        <v>4640</v>
      </c>
      <c r="M310" s="3180"/>
      <c r="N310" s="3181"/>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3070" t="s">
        <v>3010</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3147" t="s">
        <v>3010</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3147" t="s">
        <v>3010</v>
      </c>
      <c r="Q313" s="564"/>
      <c r="AE313" s="489"/>
      <c r="AF313" s="489"/>
    </row>
    <row r="314" spans="1:33" s="429" customFormat="1" ht="32.25" customHeight="1">
      <c r="B314" s="166" t="s">
        <v>2381</v>
      </c>
      <c r="C314" s="1892" t="s">
        <v>3668</v>
      </c>
      <c r="D314" s="1892"/>
      <c r="E314" s="1892"/>
      <c r="F314" s="1892"/>
      <c r="G314" s="1892"/>
      <c r="H314" s="1892"/>
      <c r="I314" s="1892"/>
      <c r="J314" s="1892"/>
      <c r="K314" s="1892"/>
      <c r="L314" s="1892"/>
      <c r="M314" s="1892"/>
      <c r="N314" s="1892"/>
      <c r="O314" s="166" t="s">
        <v>3672</v>
      </c>
      <c r="P314" s="3093" t="s">
        <v>3010</v>
      </c>
      <c r="Q314" s="1282"/>
      <c r="AE314" s="489"/>
      <c r="AF314" s="489"/>
    </row>
    <row r="315" spans="1:33" ht="11.25" customHeight="1">
      <c r="B315" s="145" t="s">
        <v>3778</v>
      </c>
      <c r="D315" s="145"/>
      <c r="E315" s="145"/>
      <c r="F315" s="145"/>
      <c r="G315" s="145"/>
      <c r="H315" s="41"/>
      <c r="I315" s="1589"/>
      <c r="J315" s="1589"/>
      <c r="K315" s="1589"/>
      <c r="L315" s="1585"/>
      <c r="M315" s="1585"/>
      <c r="N315" s="1585"/>
      <c r="O315" s="1585"/>
      <c r="P315" s="1585"/>
      <c r="Q315" s="955"/>
    </row>
    <row r="316" spans="1:33" ht="32.25" customHeight="1">
      <c r="A316" s="3112" t="s">
        <v>4641</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4148</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8" t="s">
        <v>3013</v>
      </c>
      <c r="Q320" s="561"/>
    </row>
    <row r="321" spans="1:256 1523:1523" ht="12" customHeight="1">
      <c r="B321" s="932" t="s">
        <v>2227</v>
      </c>
      <c r="C321" s="932"/>
      <c r="D321" s="932"/>
      <c r="E321" s="932"/>
      <c r="F321" s="932"/>
      <c r="G321" s="932"/>
      <c r="H321" s="932"/>
      <c r="I321" s="932"/>
      <c r="J321" s="932"/>
      <c r="K321" s="932"/>
      <c r="L321" s="932"/>
      <c r="P321" s="2927"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3182"/>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3" t="s">
        <v>3943</v>
      </c>
      <c r="H325" s="3184"/>
      <c r="I325" s="3184"/>
      <c r="J325" s="3184"/>
      <c r="K325" s="3184"/>
      <c r="L325" s="3184"/>
      <c r="M325" s="3184"/>
      <c r="N325" s="3185"/>
      <c r="O325" s="224" t="s">
        <v>1750</v>
      </c>
      <c r="P325" s="3070" t="s">
        <v>3010</v>
      </c>
      <c r="Q325" s="1261"/>
      <c r="BFO325" s="152" t="s">
        <v>2745</v>
      </c>
    </row>
    <row r="326" spans="1:256 1523:1523" ht="23.25" customHeight="1">
      <c r="B326" s="220" t="s">
        <v>1751</v>
      </c>
      <c r="C326" s="1892" t="s">
        <v>1142</v>
      </c>
      <c r="D326" s="1892"/>
      <c r="E326" s="1892"/>
      <c r="F326" s="1899"/>
      <c r="G326" s="3171" t="s">
        <v>3790</v>
      </c>
      <c r="H326" s="3186"/>
      <c r="I326" s="3186"/>
      <c r="J326" s="3186"/>
      <c r="K326" s="3186"/>
      <c r="L326" s="3186"/>
      <c r="M326" s="3186"/>
      <c r="N326" s="3187"/>
      <c r="O326" s="224" t="s">
        <v>1751</v>
      </c>
      <c r="P326" s="3093"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8"/>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3778</v>
      </c>
      <c r="D332" s="145"/>
      <c r="E332" s="145"/>
      <c r="F332" s="145"/>
      <c r="G332" s="145"/>
      <c r="H332" s="41"/>
      <c r="I332" s="1589"/>
      <c r="J332" s="1589"/>
      <c r="K332" s="1589"/>
      <c r="L332" s="1585"/>
      <c r="M332" s="1585"/>
      <c r="N332" s="1585"/>
      <c r="O332" s="1585"/>
      <c r="P332" s="1585"/>
      <c r="Q332" s="955"/>
    </row>
    <row r="333" spans="1:256 1523:1523" ht="11.45" customHeight="1">
      <c r="A333" s="3112" t="s">
        <v>4642</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4151</v>
      </c>
      <c r="B336" s="1586" t="s">
        <v>4190</v>
      </c>
      <c r="C336" s="1586"/>
      <c r="D336" s="1592"/>
      <c r="E336" s="1592"/>
      <c r="F336" s="1592"/>
      <c r="G336" s="1592"/>
      <c r="H336" s="1592"/>
      <c r="O336" s="136" t="s">
        <v>1881</v>
      </c>
      <c r="P336" s="1897"/>
      <c r="Q336" s="1904"/>
    </row>
    <row r="337" spans="1:31" ht="11.45" customHeight="1">
      <c r="A337" s="48" t="s">
        <v>1999</v>
      </c>
      <c r="B337" s="56" t="s">
        <v>3945</v>
      </c>
      <c r="O337" s="166" t="s">
        <v>1999</v>
      </c>
      <c r="P337" s="2998" t="s">
        <v>3010</v>
      </c>
      <c r="Q337" s="560"/>
    </row>
    <row r="338" spans="1:31" ht="11.45" customHeight="1">
      <c r="A338" s="146" t="s">
        <v>2001</v>
      </c>
      <c r="B338" s="56" t="s">
        <v>4135</v>
      </c>
      <c r="O338" s="166" t="s">
        <v>2001</v>
      </c>
      <c r="P338" s="2928" t="s">
        <v>3010</v>
      </c>
      <c r="Q338" s="561"/>
    </row>
    <row r="339" spans="1:31" ht="11.45" customHeight="1">
      <c r="A339" s="146" t="s">
        <v>757</v>
      </c>
      <c r="B339" s="149" t="s">
        <v>2366</v>
      </c>
      <c r="O339" s="166" t="s">
        <v>757</v>
      </c>
      <c r="P339" s="2934" t="s">
        <v>3013</v>
      </c>
      <c r="Q339" s="562"/>
    </row>
    <row r="340" spans="1:31" ht="11.45" customHeight="1">
      <c r="A340" s="48" t="s">
        <v>2131</v>
      </c>
      <c r="B340" s="56" t="s">
        <v>3870</v>
      </c>
      <c r="O340" s="484" t="s">
        <v>2131</v>
      </c>
      <c r="P340" s="2927" t="s">
        <v>3013</v>
      </c>
      <c r="Q340" s="563"/>
    </row>
    <row r="341" spans="1:31" ht="11.45" customHeight="1">
      <c r="A341" s="146" t="s">
        <v>1748</v>
      </c>
      <c r="B341" s="56" t="s">
        <v>2902</v>
      </c>
      <c r="N341" s="166" t="s">
        <v>1748</v>
      </c>
      <c r="O341" s="3188" t="s">
        <v>3864</v>
      </c>
      <c r="P341" s="3189"/>
      <c r="Q341" s="3190"/>
    </row>
    <row r="342" spans="1:31" ht="11.45" customHeight="1">
      <c r="A342" s="146" t="s">
        <v>1749</v>
      </c>
      <c r="B342" s="425" t="s">
        <v>2367</v>
      </c>
      <c r="N342" s="166" t="s">
        <v>1749</v>
      </c>
      <c r="O342" s="1923" t="s">
        <v>2903</v>
      </c>
      <c r="P342" s="1924"/>
      <c r="Q342" s="1925"/>
    </row>
    <row r="343" spans="1:31" ht="11.25" customHeight="1">
      <c r="B343" s="145" t="s">
        <v>3778</v>
      </c>
      <c r="D343" s="145"/>
      <c r="E343" s="145"/>
      <c r="F343" s="145"/>
      <c r="G343" s="145"/>
      <c r="H343" s="41"/>
      <c r="I343" s="1589"/>
      <c r="J343" s="1589"/>
      <c r="K343" s="1589"/>
      <c r="L343" s="1585"/>
      <c r="M343" s="1585"/>
      <c r="N343" s="1585"/>
      <c r="O343" s="1585"/>
      <c r="P343" s="1585"/>
      <c r="Q343" s="955"/>
    </row>
    <row r="344" spans="1:31" ht="13.15" customHeight="1">
      <c r="A344" s="3112" t="s">
        <v>4643</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4152</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3681</v>
      </c>
      <c r="D348" s="144"/>
      <c r="E348" s="144"/>
      <c r="F348" s="144"/>
      <c r="G348" s="144"/>
      <c r="H348" s="144"/>
      <c r="I348" s="144"/>
      <c r="J348" s="144"/>
      <c r="K348" s="144"/>
      <c r="L348" s="144"/>
      <c r="M348" s="144"/>
      <c r="N348" s="144"/>
      <c r="O348" s="166" t="s">
        <v>1999</v>
      </c>
      <c r="P348" s="2928" t="s">
        <v>3010</v>
      </c>
      <c r="Q348" s="561"/>
    </row>
    <row r="349" spans="1:31" ht="12.75" customHeight="1">
      <c r="A349" s="146" t="s">
        <v>2001</v>
      </c>
      <c r="B349" s="144" t="s">
        <v>3879</v>
      </c>
      <c r="D349" s="144"/>
      <c r="E349" s="144"/>
      <c r="F349" s="144"/>
      <c r="G349" s="144"/>
      <c r="H349" s="144"/>
      <c r="I349" s="144"/>
      <c r="J349" s="144"/>
      <c r="K349" s="144"/>
      <c r="L349" s="144"/>
      <c r="M349" s="144"/>
      <c r="N349" s="144"/>
      <c r="O349" s="166" t="s">
        <v>2001</v>
      </c>
      <c r="P349" s="2934" t="s">
        <v>3013</v>
      </c>
      <c r="Q349" s="562"/>
    </row>
    <row r="350" spans="1:31" ht="22.5" customHeight="1">
      <c r="A350" s="146" t="s">
        <v>757</v>
      </c>
      <c r="B350" s="1892" t="s">
        <v>4136</v>
      </c>
      <c r="C350" s="1892"/>
      <c r="D350" s="1892"/>
      <c r="E350" s="1892"/>
      <c r="F350" s="1892"/>
      <c r="G350" s="1892"/>
      <c r="H350" s="1892"/>
      <c r="I350" s="1892"/>
      <c r="J350" s="1892"/>
      <c r="K350" s="1892"/>
      <c r="L350" s="1892"/>
      <c r="M350" s="1892"/>
      <c r="N350" s="1892"/>
      <c r="O350" s="166" t="s">
        <v>757</v>
      </c>
      <c r="P350" s="2927" t="s">
        <v>3010</v>
      </c>
      <c r="Q350" s="563"/>
    </row>
    <row r="351" spans="1:31" ht="11.25" customHeight="1">
      <c r="B351" s="145" t="s">
        <v>3778</v>
      </c>
      <c r="D351" s="145"/>
      <c r="E351" s="145"/>
      <c r="F351" s="145"/>
      <c r="G351" s="145"/>
      <c r="H351" s="41"/>
      <c r="I351" s="1589"/>
      <c r="J351" s="1589"/>
      <c r="K351" s="1589"/>
      <c r="L351" s="1585"/>
      <c r="M351" s="1585"/>
      <c r="N351" s="1585"/>
      <c r="O351" s="1585"/>
      <c r="P351" s="1585"/>
      <c r="Q351" s="955"/>
    </row>
    <row r="352" spans="1:31" ht="11.45" customHeight="1">
      <c r="A352" s="3112" t="s">
        <v>4644</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4155</v>
      </c>
      <c r="B356" s="4" t="s">
        <v>4122</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4123</v>
      </c>
      <c r="D357" s="155"/>
      <c r="E357" s="155"/>
      <c r="F357" s="155"/>
      <c r="G357" s="155"/>
      <c r="H357" s="484" t="s">
        <v>1999</v>
      </c>
      <c r="I357" s="3127" t="s">
        <v>4560</v>
      </c>
      <c r="J357" s="3128"/>
      <c r="K357" s="3128"/>
      <c r="L357" s="3128"/>
      <c r="M357" s="3128"/>
      <c r="N357" s="3128"/>
      <c r="O357" s="3128"/>
      <c r="P357" s="3129"/>
      <c r="Q357" s="559"/>
    </row>
    <row r="358" spans="1:32" ht="10.5" customHeight="1">
      <c r="A358" s="146" t="s">
        <v>2001</v>
      </c>
      <c r="B358" s="139" t="s">
        <v>4124</v>
      </c>
      <c r="D358" s="155"/>
      <c r="E358" s="155"/>
      <c r="F358" s="155"/>
      <c r="G358" s="155"/>
      <c r="H358" s="166" t="s">
        <v>2001</v>
      </c>
      <c r="I358" s="3127" t="s">
        <v>4554</v>
      </c>
      <c r="J358" s="3128"/>
      <c r="K358" s="3128"/>
      <c r="L358" s="3128"/>
      <c r="M358" s="3128"/>
      <c r="N358" s="3128"/>
      <c r="O358" s="3128"/>
      <c r="P358" s="3129"/>
      <c r="Q358" s="559"/>
    </row>
    <row r="359" spans="1:32" ht="21.75" customHeight="1">
      <c r="A359" s="146" t="s">
        <v>757</v>
      </c>
      <c r="B359" s="1920" t="s">
        <v>4114</v>
      </c>
      <c r="C359" s="1920"/>
      <c r="D359" s="1920"/>
      <c r="E359" s="1920"/>
      <c r="F359" s="1920"/>
      <c r="G359" s="1920"/>
      <c r="H359" s="1920"/>
      <c r="I359" s="1920"/>
      <c r="J359" s="1920"/>
      <c r="K359" s="1920"/>
      <c r="L359" s="1920"/>
      <c r="M359" s="1920"/>
      <c r="N359" s="1920"/>
      <c r="O359" s="166" t="s">
        <v>757</v>
      </c>
      <c r="P359" s="3101" t="s">
        <v>3010</v>
      </c>
      <c r="Q359" s="1261"/>
    </row>
    <row r="360" spans="1:32" ht="21.75" customHeight="1">
      <c r="A360" s="146" t="s">
        <v>2131</v>
      </c>
      <c r="B360" s="1892" t="s">
        <v>4115</v>
      </c>
      <c r="C360" s="1892"/>
      <c r="D360" s="1892"/>
      <c r="E360" s="1892"/>
      <c r="F360" s="1892"/>
      <c r="G360" s="1892"/>
      <c r="H360" s="1892"/>
      <c r="I360" s="1892"/>
      <c r="J360" s="1892"/>
      <c r="K360" s="1892"/>
      <c r="L360" s="1892"/>
      <c r="M360" s="1892"/>
      <c r="N360" s="1892"/>
      <c r="O360" s="484" t="s">
        <v>2131</v>
      </c>
      <c r="P360" s="3147" t="s">
        <v>3010</v>
      </c>
      <c r="Q360" s="564"/>
    </row>
    <row r="361" spans="1:32" ht="10.5" customHeight="1">
      <c r="A361" s="146" t="s">
        <v>1748</v>
      </c>
      <c r="B361" s="53" t="s">
        <v>4116</v>
      </c>
      <c r="D361" s="53"/>
      <c r="E361" s="53"/>
      <c r="F361" s="53"/>
      <c r="G361" s="53"/>
      <c r="H361" s="53"/>
      <c r="I361" s="53"/>
      <c r="J361" s="53"/>
      <c r="K361" s="53"/>
      <c r="L361" s="53"/>
      <c r="M361" s="53"/>
      <c r="O361" s="166" t="s">
        <v>1748</v>
      </c>
      <c r="P361" s="2934" t="s">
        <v>3010</v>
      </c>
      <c r="Q361" s="562"/>
    </row>
    <row r="362" spans="1:32" s="137" customFormat="1" ht="21.75" customHeight="1">
      <c r="A362" s="146" t="s">
        <v>1749</v>
      </c>
      <c r="B362" s="1892" t="s">
        <v>4117</v>
      </c>
      <c r="C362" s="1892"/>
      <c r="D362" s="1892"/>
      <c r="E362" s="1892"/>
      <c r="F362" s="1892"/>
      <c r="G362" s="1892"/>
      <c r="H362" s="1892"/>
      <c r="I362" s="1892"/>
      <c r="J362" s="1892"/>
      <c r="K362" s="1892"/>
      <c r="L362" s="1892"/>
      <c r="M362" s="1892"/>
      <c r="N362" s="1892"/>
      <c r="O362" s="166" t="s">
        <v>1749</v>
      </c>
      <c r="P362" s="3191" t="s">
        <v>3010</v>
      </c>
      <c r="Q362" s="933"/>
      <c r="AE362" s="487"/>
      <c r="AF362" s="487"/>
    </row>
    <row r="363" spans="1:32" s="137" customFormat="1" ht="10.5" customHeight="1">
      <c r="A363" s="146" t="s">
        <v>1962</v>
      </c>
      <c r="B363" s="144" t="s">
        <v>4118</v>
      </c>
      <c r="D363" s="957"/>
      <c r="E363" s="957"/>
      <c r="F363" s="957"/>
      <c r="G363" s="957"/>
      <c r="H363" s="957"/>
      <c r="I363" s="957"/>
      <c r="J363" s="957"/>
      <c r="K363" s="957"/>
      <c r="L363" s="957"/>
      <c r="M363" s="957"/>
      <c r="N363" s="957"/>
      <c r="O363" s="166" t="s">
        <v>1962</v>
      </c>
      <c r="P363" s="3070" t="s">
        <v>3010</v>
      </c>
      <c r="Q363" s="1261"/>
      <c r="AE363" s="487"/>
      <c r="AF363" s="487"/>
    </row>
    <row r="364" spans="1:32" s="137" customFormat="1" ht="10.5" customHeight="1">
      <c r="C364" s="932" t="s">
        <v>3859</v>
      </c>
      <c r="E364" s="1592"/>
      <c r="F364" s="1592"/>
      <c r="G364" s="1592"/>
      <c r="H364" s="1592"/>
      <c r="I364" s="1592"/>
      <c r="J364" s="1592"/>
      <c r="K364" s="1592"/>
      <c r="L364" s="1592"/>
      <c r="M364" s="1592"/>
      <c r="N364" s="1592"/>
      <c r="P364" s="3093" t="s">
        <v>3013</v>
      </c>
      <c r="Q364" s="1282"/>
      <c r="AE364" s="487"/>
      <c r="AF364" s="487"/>
    </row>
    <row r="365" spans="1:32" ht="21.75" customHeight="1">
      <c r="A365" s="146" t="s">
        <v>3391</v>
      </c>
      <c r="B365" s="1892" t="s">
        <v>4119</v>
      </c>
      <c r="C365" s="1892"/>
      <c r="D365" s="1892"/>
      <c r="E365" s="1892"/>
      <c r="F365" s="1892"/>
      <c r="G365" s="1892"/>
      <c r="H365" s="1892"/>
      <c r="I365" s="1892"/>
      <c r="J365" s="1892"/>
      <c r="K365" s="1892"/>
      <c r="L365" s="1892"/>
      <c r="M365" s="1892"/>
      <c r="N365" s="1892"/>
      <c r="O365" s="166" t="s">
        <v>3391</v>
      </c>
      <c r="P365" s="3070" t="s">
        <v>3013</v>
      </c>
      <c r="Q365" s="1261"/>
    </row>
    <row r="366" spans="1:32" ht="33" customHeight="1">
      <c r="A366" s="146" t="s">
        <v>622</v>
      </c>
      <c r="B366" s="1892" t="s">
        <v>4120</v>
      </c>
      <c r="C366" s="1892"/>
      <c r="D366" s="1892"/>
      <c r="E366" s="1892"/>
      <c r="F366" s="1892"/>
      <c r="G366" s="1892"/>
      <c r="H366" s="1892"/>
      <c r="I366" s="1892"/>
      <c r="J366" s="1892"/>
      <c r="K366" s="1892"/>
      <c r="L366" s="1892"/>
      <c r="M366" s="1892"/>
      <c r="N366" s="1892"/>
      <c r="O366" s="166" t="s">
        <v>622</v>
      </c>
      <c r="P366" s="3093" t="s">
        <v>3010</v>
      </c>
      <c r="Q366" s="1282"/>
    </row>
    <row r="367" spans="1:32" ht="10.5" customHeight="1">
      <c r="B367" s="145" t="s">
        <v>3778</v>
      </c>
      <c r="D367" s="145"/>
      <c r="E367" s="145"/>
      <c r="F367" s="145"/>
      <c r="G367" s="145"/>
      <c r="H367" s="41"/>
      <c r="I367" s="1589"/>
      <c r="J367" s="1589"/>
      <c r="K367" s="1589"/>
      <c r="L367" s="1585"/>
      <c r="M367" s="1585"/>
      <c r="N367" s="1585"/>
      <c r="O367" s="1585"/>
      <c r="P367" s="1585"/>
      <c r="Q367" s="955"/>
    </row>
    <row r="368" spans="1:32" ht="31.5" customHeight="1">
      <c r="A368" s="3112" t="s">
        <v>4645</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4156</v>
      </c>
      <c r="B372" s="4" t="s">
        <v>3946</v>
      </c>
      <c r="C372" s="4"/>
      <c r="D372" s="4"/>
      <c r="E372" s="4"/>
      <c r="F372" s="4"/>
      <c r="G372" s="4"/>
      <c r="H372" s="1592"/>
      <c r="I372" s="1592"/>
      <c r="J372" s="1592"/>
      <c r="O372" s="136" t="s">
        <v>1881</v>
      </c>
      <c r="P372" s="1897"/>
      <c r="Q372" s="1904"/>
    </row>
    <row r="373" spans="1:32" s="43" customFormat="1" ht="10.5" customHeight="1">
      <c r="A373" s="48" t="s">
        <v>1999</v>
      </c>
      <c r="B373" s="656" t="s">
        <v>3948</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4173</v>
      </c>
      <c r="D374" s="1921"/>
      <c r="E374" s="1921"/>
      <c r="F374" s="1922"/>
      <c r="G374" s="3127"/>
      <c r="H374" s="3128"/>
      <c r="I374" s="3129"/>
      <c r="J374" s="1589" t="s">
        <v>3955</v>
      </c>
      <c r="K374" s="3127"/>
      <c r="L374" s="3128"/>
      <c r="M374" s="3129"/>
      <c r="N374" s="1907" t="s">
        <v>3947</v>
      </c>
      <c r="O374" s="1908"/>
      <c r="P374" s="3192"/>
      <c r="Q374" s="3193"/>
      <c r="AE374" s="51"/>
      <c r="AF374" s="51"/>
    </row>
    <row r="375" spans="1:32" s="43" customFormat="1" ht="10.5" customHeight="1">
      <c r="B375" s="37" t="s">
        <v>1751</v>
      </c>
      <c r="C375" s="53" t="s">
        <v>3949</v>
      </c>
      <c r="I375" s="484" t="s">
        <v>1751</v>
      </c>
      <c r="J375" s="3194"/>
      <c r="K375" s="3195"/>
      <c r="AE375" s="51"/>
      <c r="AF375" s="51"/>
    </row>
    <row r="376" spans="1:32" s="43" customFormat="1" ht="10.5" customHeight="1">
      <c r="A376" s="48"/>
      <c r="B376" s="37" t="s">
        <v>1752</v>
      </c>
      <c r="C376" s="53" t="s">
        <v>3950</v>
      </c>
      <c r="D376" s="47"/>
      <c r="E376" s="138"/>
      <c r="F376" s="1911" t="str">
        <f>'Part I-Project Information'!K40</f>
        <v>Urban</v>
      </c>
      <c r="G376" s="1912"/>
      <c r="H376" s="1594" t="s">
        <v>3951</v>
      </c>
      <c r="I376" s="138"/>
      <c r="J376" s="138"/>
      <c r="K376" s="138"/>
      <c r="L376" s="138"/>
      <c r="M376" s="138"/>
      <c r="N376" s="138"/>
      <c r="O376" s="484" t="s">
        <v>1752</v>
      </c>
      <c r="P376" s="2928"/>
      <c r="Q376" s="561"/>
      <c r="AE376" s="51"/>
      <c r="AF376" s="51"/>
    </row>
    <row r="377" spans="1:32" s="43" customFormat="1" ht="10.5" customHeight="1">
      <c r="A377" s="48"/>
      <c r="B377" s="37" t="s">
        <v>2381</v>
      </c>
      <c r="C377" s="53" t="s">
        <v>3952</v>
      </c>
      <c r="E377" s="138"/>
      <c r="F377" s="138"/>
      <c r="G377" s="138"/>
      <c r="H377" s="138"/>
      <c r="I377" s="138"/>
      <c r="J377" s="3196"/>
      <c r="K377" s="3197"/>
      <c r="L377" s="1913"/>
      <c r="M377" s="1914"/>
      <c r="N377" s="53" t="s">
        <v>3962</v>
      </c>
      <c r="O377" s="484"/>
      <c r="P377" s="2934"/>
      <c r="Q377" s="562"/>
      <c r="AE377" s="51"/>
      <c r="AF377" s="51"/>
    </row>
    <row r="378" spans="1:32" s="43" customFormat="1" ht="10.5" customHeight="1">
      <c r="A378" s="48"/>
      <c r="B378" s="37" t="s">
        <v>1561</v>
      </c>
      <c r="C378" s="53" t="s">
        <v>3953</v>
      </c>
      <c r="E378" s="53"/>
      <c r="F378" s="1909">
        <f>'Part IV-A-Uses of Funds'!J173</f>
        <v>825000</v>
      </c>
      <c r="G378" s="1910"/>
      <c r="H378" s="53" t="s">
        <v>3954</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3956</v>
      </c>
      <c r="E379" s="53"/>
      <c r="F379" s="53"/>
      <c r="G379" s="53"/>
      <c r="H379" s="53" t="s">
        <v>3617</v>
      </c>
      <c r="I379" s="53"/>
      <c r="J379" s="3196"/>
      <c r="K379" s="3197"/>
      <c r="L379" s="53" t="s">
        <v>3957</v>
      </c>
      <c r="M379" s="1913"/>
      <c r="N379" s="1914"/>
      <c r="AE379" s="51"/>
      <c r="AF379" s="51"/>
    </row>
    <row r="380" spans="1:32" s="43" customFormat="1" ht="10.5" customHeight="1">
      <c r="B380" s="37" t="s">
        <v>99</v>
      </c>
      <c r="C380" s="53" t="s">
        <v>3958</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3959</v>
      </c>
      <c r="D382" s="138"/>
      <c r="E382" s="138"/>
      <c r="F382" s="138"/>
      <c r="G382" s="138"/>
      <c r="H382" s="138"/>
      <c r="J382" s="1919" t="s">
        <v>3964</v>
      </c>
      <c r="K382" s="1919"/>
      <c r="L382" s="1919"/>
      <c r="M382" s="1919"/>
      <c r="N382" s="1917" t="s">
        <v>3961</v>
      </c>
      <c r="O382" s="1917"/>
      <c r="P382" s="138"/>
      <c r="Q382" s="138"/>
      <c r="R382" s="138"/>
      <c r="AE382" s="51"/>
      <c r="AF382" s="51"/>
    </row>
    <row r="383" spans="1:32" s="43" customFormat="1" ht="10.5" customHeight="1">
      <c r="B383" s="37" t="s">
        <v>1750</v>
      </c>
      <c r="C383" s="956" t="s">
        <v>3960</v>
      </c>
      <c r="E383" s="1594"/>
      <c r="F383" s="1594"/>
      <c r="G383" s="1594"/>
      <c r="H383" s="1594"/>
      <c r="J383" s="3198"/>
      <c r="K383" s="3199"/>
      <c r="L383" s="1915"/>
      <c r="M383" s="1916"/>
      <c r="N383" s="1208" t="str">
        <f>IF(J383="","",J377/J383)</f>
        <v/>
      </c>
      <c r="O383" s="1209" t="str">
        <f>IF(L383="","",L377/L383)</f>
        <v/>
      </c>
      <c r="P383" s="2928"/>
      <c r="Q383" s="561"/>
      <c r="AE383" s="51"/>
      <c r="AF383" s="51"/>
    </row>
    <row r="384" spans="1:32" s="43" customFormat="1" ht="10.5" customHeight="1">
      <c r="B384" s="37" t="s">
        <v>1751</v>
      </c>
      <c r="C384" s="53" t="s">
        <v>3963</v>
      </c>
      <c r="E384" s="138"/>
      <c r="F384" s="138"/>
      <c r="G384" s="138"/>
      <c r="H384" s="138"/>
      <c r="N384" s="138"/>
      <c r="O384" s="484" t="s">
        <v>1751</v>
      </c>
      <c r="P384" s="3200"/>
      <c r="Q384" s="1454"/>
      <c r="AE384" s="51"/>
      <c r="AF384" s="51"/>
    </row>
    <row r="385" spans="1:32" s="43" customFormat="1" ht="10.5" customHeight="1">
      <c r="B385" s="37" t="s">
        <v>1752</v>
      </c>
      <c r="C385" s="53" t="s">
        <v>3965</v>
      </c>
      <c r="E385" s="138"/>
      <c r="F385" s="138"/>
      <c r="G385" s="138"/>
      <c r="H385" s="138"/>
      <c r="M385" s="138"/>
      <c r="N385" s="138"/>
      <c r="O385" s="484" t="s">
        <v>1752</v>
      </c>
      <c r="P385" s="2927"/>
      <c r="Q385" s="563"/>
      <c r="AE385" s="51"/>
      <c r="AF385" s="51"/>
    </row>
    <row r="386" spans="1:32" ht="10.5" customHeight="1">
      <c r="B386" s="145" t="s">
        <v>3778</v>
      </c>
      <c r="D386" s="145"/>
      <c r="E386" s="145"/>
      <c r="F386" s="145"/>
      <c r="G386" s="145"/>
      <c r="H386" s="41"/>
      <c r="I386" s="1589"/>
      <c r="J386" s="1589"/>
      <c r="K386" s="1589"/>
      <c r="L386" s="1585"/>
      <c r="M386" s="1585"/>
      <c r="N386" s="1585"/>
      <c r="O386" s="1585"/>
      <c r="P386" s="1585"/>
      <c r="Q386" s="955"/>
    </row>
    <row r="387" spans="1:32" ht="31.5" customHeight="1">
      <c r="A387" s="3112" t="s">
        <v>4646</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4157</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1"/>
      <c r="F393" s="3202"/>
      <c r="G393" s="3202"/>
      <c r="H393" s="3202"/>
      <c r="I393" s="3203"/>
      <c r="J393" s="1907" t="s">
        <v>2688</v>
      </c>
      <c r="K393" s="1986"/>
      <c r="L393" s="1908"/>
      <c r="M393" s="3201"/>
      <c r="N393" s="3202"/>
      <c r="O393" s="3202"/>
      <c r="P393" s="3202"/>
      <c r="Q393" s="3203"/>
    </row>
    <row r="394" spans="1:32" ht="11.45" customHeight="1">
      <c r="A394" s="48" t="s">
        <v>2001</v>
      </c>
      <c r="B394" s="53" t="s">
        <v>3486</v>
      </c>
      <c r="D394" s="53"/>
      <c r="E394" s="53"/>
      <c r="F394" s="53"/>
      <c r="G394" s="53"/>
      <c r="H394" s="53"/>
      <c r="I394" s="53"/>
      <c r="J394" s="53"/>
      <c r="K394" s="53"/>
      <c r="L394" s="956"/>
      <c r="M394" s="956"/>
      <c r="O394" s="484" t="s">
        <v>2001</v>
      </c>
      <c r="P394" s="2928"/>
      <c r="Q394" s="561"/>
    </row>
    <row r="395" spans="1:32" ht="22.5" customHeight="1">
      <c r="A395" s="146" t="s">
        <v>757</v>
      </c>
      <c r="B395" s="1892" t="s">
        <v>3496</v>
      </c>
      <c r="C395" s="1892"/>
      <c r="D395" s="1892"/>
      <c r="E395" s="1892"/>
      <c r="F395" s="1892"/>
      <c r="G395" s="1892"/>
      <c r="H395" s="1892"/>
      <c r="I395" s="1892"/>
      <c r="J395" s="1892"/>
      <c r="K395" s="1892"/>
      <c r="L395" s="1892"/>
      <c r="M395" s="1892"/>
      <c r="N395" s="1892"/>
      <c r="O395" s="166" t="s">
        <v>757</v>
      </c>
      <c r="P395" s="3147"/>
      <c r="Q395" s="564"/>
    </row>
    <row r="396" spans="1:32">
      <c r="A396" s="48" t="s">
        <v>2131</v>
      </c>
      <c r="B396" s="56" t="s">
        <v>3724</v>
      </c>
      <c r="G396" s="1594"/>
      <c r="H396" s="1594"/>
      <c r="I396" s="1594"/>
      <c r="J396" s="956" t="s">
        <v>3725</v>
      </c>
      <c r="L396" s="1594"/>
      <c r="M396" s="1987">
        <f>'Part III-Sources of Funds'!E11</f>
        <v>0</v>
      </c>
      <c r="N396" s="1988"/>
      <c r="O396" s="484" t="s">
        <v>2131</v>
      </c>
      <c r="P396" s="2927"/>
      <c r="Q396" s="563"/>
    </row>
    <row r="397" spans="1:32" ht="11.25" customHeight="1">
      <c r="B397" s="145" t="s">
        <v>3778</v>
      </c>
      <c r="D397" s="145"/>
      <c r="E397" s="145"/>
      <c r="F397" s="145"/>
      <c r="G397" s="145"/>
      <c r="H397" s="41"/>
      <c r="I397" s="1589"/>
      <c r="J397" s="1589"/>
      <c r="K397" s="1589"/>
      <c r="L397" s="1585"/>
      <c r="M397" s="1585"/>
      <c r="N397" s="1585"/>
      <c r="O397" s="1585"/>
      <c r="P397" s="1585"/>
      <c r="Q397" s="955"/>
    </row>
    <row r="398" spans="1:32" ht="11.45" customHeight="1">
      <c r="A398" s="3112" t="s">
        <v>4647</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4158</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c r="Q403" s="561"/>
    </row>
    <row r="404" spans="1:31" ht="12" customHeight="1">
      <c r="A404" s="48" t="s">
        <v>2001</v>
      </c>
      <c r="B404" s="53" t="s">
        <v>3607</v>
      </c>
      <c r="D404" s="957"/>
      <c r="E404" s="957"/>
      <c r="O404" s="484" t="s">
        <v>2001</v>
      </c>
      <c r="P404" s="2934"/>
      <c r="Q404" s="562"/>
    </row>
    <row r="405" spans="1:31" ht="12" customHeight="1">
      <c r="A405" s="48" t="s">
        <v>757</v>
      </c>
      <c r="B405" s="53" t="s">
        <v>4121</v>
      </c>
      <c r="D405" s="957"/>
      <c r="E405" s="957"/>
      <c r="O405" s="484" t="s">
        <v>757</v>
      </c>
      <c r="P405" s="2934" t="s">
        <v>3010</v>
      </c>
      <c r="Q405" s="562"/>
    </row>
    <row r="406" spans="1:31" ht="12" customHeight="1">
      <c r="A406" s="48" t="s">
        <v>2131</v>
      </c>
      <c r="B406" s="53" t="s">
        <v>3608</v>
      </c>
      <c r="E406" s="144"/>
      <c r="O406" s="484" t="s">
        <v>2131</v>
      </c>
      <c r="P406" s="2934"/>
      <c r="Q406" s="562"/>
    </row>
    <row r="407" spans="1:31" ht="12" customHeight="1">
      <c r="A407" s="48" t="s">
        <v>1748</v>
      </c>
      <c r="B407" s="53" t="s">
        <v>2095</v>
      </c>
      <c r="E407" s="144"/>
      <c r="G407" s="484" t="s">
        <v>1748</v>
      </c>
      <c r="H407" s="3204"/>
      <c r="I407" s="3205"/>
      <c r="J407" s="3205"/>
      <c r="K407" s="3205"/>
      <c r="L407" s="3205"/>
      <c r="M407" s="3205"/>
      <c r="N407" s="3205"/>
      <c r="O407" s="3206"/>
      <c r="P407" s="2927"/>
      <c r="Q407" s="563"/>
    </row>
    <row r="408" spans="1:31" ht="11.25" customHeight="1">
      <c r="B408" s="145" t="s">
        <v>3778</v>
      </c>
      <c r="D408" s="145"/>
      <c r="E408" s="145"/>
      <c r="F408" s="145"/>
      <c r="G408" s="145"/>
      <c r="H408" s="41"/>
      <c r="I408" s="1589"/>
      <c r="J408" s="1589"/>
      <c r="K408" s="1589"/>
      <c r="L408" s="1585"/>
      <c r="M408" s="1585"/>
      <c r="N408" s="1585"/>
      <c r="O408" s="1585"/>
      <c r="P408" s="1585"/>
      <c r="Q408" s="955"/>
    </row>
    <row r="409" spans="1:31" ht="11.45" customHeight="1">
      <c r="A409" s="3112" t="s">
        <v>4648</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4159</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927" t="s">
        <v>3013</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8"/>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3778</v>
      </c>
      <c r="D427" s="145"/>
      <c r="E427" s="145"/>
      <c r="F427" s="145"/>
      <c r="G427" s="145"/>
      <c r="H427" s="41"/>
      <c r="I427" s="1589"/>
      <c r="J427" s="1589"/>
      <c r="K427" s="1589"/>
      <c r="P427" s="1585"/>
      <c r="Q427" s="955"/>
    </row>
    <row r="428" spans="1:32" ht="12" customHeight="1">
      <c r="A428" s="3112" t="s">
        <v>4649</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4160</v>
      </c>
      <c r="B432" s="4" t="s">
        <v>2834</v>
      </c>
      <c r="C432" s="4"/>
      <c r="D432" s="89"/>
      <c r="E432" s="1592"/>
      <c r="F432" s="1592"/>
      <c r="G432" s="1592"/>
      <c r="H432" s="1592"/>
      <c r="O432" s="136" t="s">
        <v>1881</v>
      </c>
      <c r="P432" s="1897"/>
      <c r="Q432" s="1904"/>
    </row>
    <row r="433" spans="1:32" ht="13.9" customHeight="1">
      <c r="B433" s="89" t="s">
        <v>3966</v>
      </c>
      <c r="C433" s="4"/>
      <c r="D433" s="89"/>
      <c r="E433" s="1592"/>
      <c r="F433" s="1592"/>
      <c r="G433" s="1592"/>
      <c r="H433" s="1592"/>
    </row>
    <row r="434" spans="1:32" s="137" customFormat="1" ht="21.75" customHeight="1">
      <c r="A434" s="146" t="s">
        <v>1999</v>
      </c>
      <c r="B434" s="1893" t="s">
        <v>3969</v>
      </c>
      <c r="C434" s="1893"/>
      <c r="D434" s="1893"/>
      <c r="E434" s="1893"/>
      <c r="F434" s="1893"/>
      <c r="G434" s="1893"/>
      <c r="H434" s="1893"/>
      <c r="I434" s="1893"/>
      <c r="J434" s="1893"/>
      <c r="K434" s="1893"/>
      <c r="L434" s="1893"/>
      <c r="M434" s="1893"/>
      <c r="N434" s="1893"/>
      <c r="O434" s="166" t="s">
        <v>1999</v>
      </c>
      <c r="P434" s="3070" t="s">
        <v>4635</v>
      </c>
      <c r="Q434" s="1261"/>
      <c r="AE434" s="487"/>
      <c r="AF434" s="487"/>
    </row>
    <row r="435" spans="1:32" s="137" customFormat="1" ht="22.5" customHeight="1">
      <c r="A435" s="146" t="s">
        <v>2001</v>
      </c>
      <c r="B435" s="1893" t="s">
        <v>3967</v>
      </c>
      <c r="C435" s="1893"/>
      <c r="D435" s="1893"/>
      <c r="E435" s="1893"/>
      <c r="F435" s="1893"/>
      <c r="G435" s="1893"/>
      <c r="H435" s="1893"/>
      <c r="I435" s="1893"/>
      <c r="J435" s="1893"/>
      <c r="K435" s="1893"/>
      <c r="L435" s="1893"/>
      <c r="M435" s="1893"/>
      <c r="N435" s="1893"/>
      <c r="O435" s="166" t="s">
        <v>2001</v>
      </c>
      <c r="P435" s="3147" t="s">
        <v>4635</v>
      </c>
      <c r="Q435" s="564"/>
      <c r="AE435" s="487"/>
      <c r="AF435" s="487"/>
    </row>
    <row r="436" spans="1:32" s="137" customFormat="1" ht="22.5" customHeight="1">
      <c r="B436" s="1893" t="s">
        <v>3968</v>
      </c>
      <c r="C436" s="1893"/>
      <c r="D436" s="1893"/>
      <c r="E436" s="1893"/>
      <c r="F436" s="1893"/>
      <c r="G436" s="1893"/>
      <c r="H436" s="1893"/>
      <c r="I436" s="1893"/>
      <c r="J436" s="1893"/>
      <c r="K436" s="1893"/>
      <c r="L436" s="1893"/>
      <c r="M436" s="1893"/>
      <c r="N436" s="1893"/>
      <c r="O436" s="166" t="s">
        <v>1750</v>
      </c>
      <c r="P436" s="3147" t="s">
        <v>4635</v>
      </c>
      <c r="Q436" s="564"/>
      <c r="AE436" s="487"/>
      <c r="AF436" s="487"/>
    </row>
    <row r="437" spans="1:32" s="137" customFormat="1" ht="12" customHeight="1">
      <c r="B437" s="405" t="s">
        <v>3970</v>
      </c>
      <c r="D437" s="622"/>
      <c r="E437" s="622"/>
      <c r="F437" s="622"/>
      <c r="G437" s="622"/>
      <c r="H437" s="622"/>
      <c r="I437" s="622"/>
      <c r="J437" s="622"/>
      <c r="K437" s="622"/>
      <c r="L437" s="622"/>
      <c r="M437" s="622"/>
      <c r="N437" s="622"/>
      <c r="O437" s="166" t="s">
        <v>1751</v>
      </c>
      <c r="P437" s="3147" t="s">
        <v>4635</v>
      </c>
      <c r="Q437" s="564"/>
      <c r="AE437" s="487"/>
      <c r="AF437" s="487"/>
    </row>
    <row r="438" spans="1:32" s="137" customFormat="1" ht="36" customHeight="1">
      <c r="B438" s="1893" t="s">
        <v>3971</v>
      </c>
      <c r="C438" s="1893"/>
      <c r="D438" s="1893"/>
      <c r="E438" s="1893"/>
      <c r="F438" s="1893"/>
      <c r="G438" s="1893"/>
      <c r="H438" s="1893"/>
      <c r="I438" s="1893"/>
      <c r="J438" s="1893"/>
      <c r="K438" s="1893"/>
      <c r="L438" s="1893"/>
      <c r="M438" s="1893"/>
      <c r="N438" s="1893"/>
      <c r="O438" s="166" t="s">
        <v>1752</v>
      </c>
      <c r="P438" s="3147" t="s">
        <v>4635</v>
      </c>
      <c r="Q438" s="564"/>
      <c r="AE438" s="487"/>
      <c r="AF438" s="487"/>
    </row>
    <row r="439" spans="1:32" s="137" customFormat="1" ht="22.5" customHeight="1">
      <c r="B439" s="1893" t="s">
        <v>3972</v>
      </c>
      <c r="C439" s="1893"/>
      <c r="D439" s="1893"/>
      <c r="E439" s="1893"/>
      <c r="F439" s="1893"/>
      <c r="G439" s="1893"/>
      <c r="H439" s="1893"/>
      <c r="I439" s="1893"/>
      <c r="J439" s="1893"/>
      <c r="K439" s="1893"/>
      <c r="L439" s="1893"/>
      <c r="M439" s="1893"/>
      <c r="N439" s="1893"/>
      <c r="O439" s="166" t="s">
        <v>2381</v>
      </c>
      <c r="P439" s="3147" t="s">
        <v>4635</v>
      </c>
      <c r="Q439" s="564"/>
      <c r="AE439" s="487"/>
      <c r="AF439" s="487"/>
    </row>
    <row r="440" spans="1:32" s="137" customFormat="1" ht="22.5" customHeight="1">
      <c r="A440" s="146" t="s">
        <v>757</v>
      </c>
      <c r="B440" s="1893" t="s">
        <v>3973</v>
      </c>
      <c r="C440" s="1893"/>
      <c r="D440" s="1893"/>
      <c r="E440" s="1893"/>
      <c r="F440" s="1893"/>
      <c r="G440" s="1893"/>
      <c r="H440" s="1893"/>
      <c r="I440" s="1893"/>
      <c r="J440" s="1893"/>
      <c r="K440" s="1893"/>
      <c r="L440" s="1893"/>
      <c r="M440" s="1893"/>
      <c r="N440" s="1893"/>
      <c r="O440" s="166" t="s">
        <v>757</v>
      </c>
      <c r="P440" s="3147" t="s">
        <v>4635</v>
      </c>
      <c r="Q440" s="564"/>
      <c r="AE440" s="487"/>
      <c r="AF440" s="487"/>
    </row>
    <row r="441" spans="1:32" s="137" customFormat="1" ht="22.5" customHeight="1">
      <c r="A441" s="146" t="s">
        <v>2131</v>
      </c>
      <c r="B441" s="1893" t="s">
        <v>3974</v>
      </c>
      <c r="C441" s="1893"/>
      <c r="D441" s="1893"/>
      <c r="E441" s="1893"/>
      <c r="F441" s="1893"/>
      <c r="G441" s="1893"/>
      <c r="H441" s="1893"/>
      <c r="I441" s="1893"/>
      <c r="J441" s="1893"/>
      <c r="K441" s="1893"/>
      <c r="L441" s="1893"/>
      <c r="M441" s="1893"/>
      <c r="N441" s="1893"/>
      <c r="O441" s="166" t="s">
        <v>2131</v>
      </c>
      <c r="P441" s="3147" t="s">
        <v>4635</v>
      </c>
      <c r="Q441" s="564"/>
      <c r="AE441" s="487"/>
      <c r="AF441" s="487"/>
    </row>
    <row r="442" spans="1:32" s="137" customFormat="1" ht="21.75" customHeight="1">
      <c r="A442" s="146" t="s">
        <v>1748</v>
      </c>
      <c r="B442" s="1893" t="s">
        <v>3975</v>
      </c>
      <c r="C442" s="1893"/>
      <c r="D442" s="1893"/>
      <c r="E442" s="1893"/>
      <c r="F442" s="1893"/>
      <c r="G442" s="1893"/>
      <c r="H442" s="1893"/>
      <c r="I442" s="1893"/>
      <c r="J442" s="1893"/>
      <c r="K442" s="1893"/>
      <c r="L442" s="1893"/>
      <c r="M442" s="1893"/>
      <c r="N442" s="1893"/>
      <c r="O442" s="166" t="s">
        <v>1748</v>
      </c>
      <c r="P442" s="3147" t="s">
        <v>4635</v>
      </c>
      <c r="Q442" s="564"/>
      <c r="AE442" s="487"/>
      <c r="AF442" s="487"/>
    </row>
    <row r="443" spans="1:32" s="429" customFormat="1" ht="21.75" customHeight="1">
      <c r="A443" s="146" t="s">
        <v>1749</v>
      </c>
      <c r="B443" s="1893" t="s">
        <v>3499</v>
      </c>
      <c r="C443" s="1893"/>
      <c r="D443" s="1893"/>
      <c r="E443" s="1893"/>
      <c r="F443" s="1893"/>
      <c r="G443" s="1893"/>
      <c r="H443" s="1893"/>
      <c r="I443" s="1893"/>
      <c r="J443" s="1893"/>
      <c r="K443" s="1893"/>
      <c r="L443" s="1893"/>
      <c r="M443" s="1893"/>
      <c r="N443" s="1893"/>
      <c r="O443" s="166" t="s">
        <v>1749</v>
      </c>
      <c r="P443" s="3093" t="s">
        <v>4635</v>
      </c>
      <c r="Q443" s="1282"/>
      <c r="AE443" s="489"/>
      <c r="AF443" s="489"/>
    </row>
    <row r="444" spans="1:32" ht="11.25" customHeight="1">
      <c r="B444" s="145" t="s">
        <v>3778</v>
      </c>
      <c r="D444" s="145"/>
      <c r="E444" s="145"/>
      <c r="F444" s="145"/>
      <c r="G444" s="145"/>
      <c r="H444" s="41"/>
      <c r="I444" s="1589"/>
      <c r="J444" s="1589"/>
      <c r="K444" s="1589"/>
      <c r="L444" s="1585"/>
      <c r="M444" s="1585"/>
      <c r="N444" s="1585"/>
      <c r="O444" s="1585"/>
      <c r="P444" s="1585"/>
      <c r="Q444" s="955"/>
    </row>
    <row r="445" spans="1:32" ht="22.5" customHeight="1">
      <c r="A445" s="3112" t="s">
        <v>4650</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4161</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3778</v>
      </c>
      <c r="D450" s="145"/>
      <c r="E450" s="145"/>
      <c r="F450" s="145"/>
      <c r="G450" s="145"/>
      <c r="H450" s="41"/>
      <c r="I450" s="1589"/>
      <c r="J450" s="1589"/>
      <c r="K450" s="1589"/>
      <c r="L450" s="1585"/>
      <c r="M450" s="1585"/>
      <c r="N450" s="1585"/>
      <c r="O450" s="1585"/>
      <c r="P450" s="1585"/>
      <c r="Q450" s="955"/>
    </row>
    <row r="451" spans="1:32" ht="22.5" customHeight="1">
      <c r="A451" s="3112" t="s">
        <v>4651</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3894</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3943</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3942</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3944</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rg5sqZNxg98EbO1Zbora3xgnw3xF2PEckc82OwntIafz9ffVwru/6y66kIw9QkeUKLX/9Xm20ELKTMVkCdw7+w==" saltValue="w4gVHKcFEkCq6Km4bTODv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2018-037 Myrtle Terraces Phase 2, Gainesville, Hall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4137</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4192</v>
      </c>
      <c r="D13" s="53"/>
      <c r="E13" s="53"/>
      <c r="F13" s="53"/>
      <c r="G13" s="69"/>
      <c r="H13" s="179" t="s">
        <v>2747</v>
      </c>
      <c r="I13" s="69"/>
      <c r="J13" s="69"/>
      <c r="K13" s="69"/>
      <c r="L13" s="69"/>
      <c r="M13" s="69"/>
      <c r="N13" s="69"/>
      <c r="O13" s="2923"/>
      <c r="P13" s="1255">
        <f>+O29</f>
        <v>0</v>
      </c>
      <c r="R13" s="463"/>
      <c r="S13" s="163"/>
    </row>
    <row r="14" spans="1:22" s="43" customFormat="1" ht="10.9" customHeight="1">
      <c r="A14" s="2163" t="s">
        <v>3871</v>
      </c>
      <c r="B14" s="2163"/>
      <c r="C14" s="2163"/>
      <c r="D14" s="2163"/>
      <c r="E14" s="2163"/>
      <c r="F14" s="1589" t="s">
        <v>4195</v>
      </c>
      <c r="J14" s="1589" t="s">
        <v>4195</v>
      </c>
      <c r="K14" s="1589"/>
      <c r="O14" s="2167" t="s">
        <v>4195</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3393</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2924</v>
      </c>
      <c r="K18" s="2123">
        <v>3</v>
      </c>
      <c r="L18" s="2124"/>
      <c r="M18" s="2124"/>
      <c r="N18" s="2124"/>
      <c r="O18" s="2174" t="s">
        <v>2924</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2924</v>
      </c>
      <c r="P19" s="2175"/>
      <c r="Q19" s="462"/>
      <c r="R19" s="163"/>
    </row>
    <row r="20" spans="1:19" s="43" customFormat="1" ht="24.75" customHeight="1">
      <c r="A20" s="2143">
        <v>5</v>
      </c>
      <c r="B20" s="2144"/>
      <c r="C20" s="2144"/>
      <c r="D20" s="2144"/>
      <c r="E20" s="2145"/>
      <c r="F20" s="936"/>
      <c r="G20" s="2143">
        <v>5</v>
      </c>
      <c r="H20" s="2144"/>
      <c r="I20" s="2145"/>
      <c r="J20" s="1313"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4226</v>
      </c>
      <c r="F28" s="2148" t="s">
        <v>4538</v>
      </c>
      <c r="G28" s="2148"/>
      <c r="H28" s="2148"/>
      <c r="I28" s="2148"/>
      <c r="J28" s="2148"/>
      <c r="K28" s="2148"/>
      <c r="L28" s="2148"/>
      <c r="M28" s="2148"/>
      <c r="N28" s="2148"/>
      <c r="O28" s="2148"/>
      <c r="P28" s="2148"/>
      <c r="Q28" s="112"/>
      <c r="R28" s="391"/>
    </row>
    <row r="29" spans="1:19" s="43" customFormat="1" ht="10.5" customHeight="1">
      <c r="A29" s="303" t="s">
        <v>4196</v>
      </c>
      <c r="B29" s="1316" t="s">
        <v>4197</v>
      </c>
      <c r="C29" s="1316"/>
      <c r="D29" s="1316"/>
      <c r="E29" s="2147"/>
      <c r="F29" s="2149" t="s">
        <v>4225</v>
      </c>
      <c r="G29" s="2149"/>
      <c r="H29" s="2149"/>
      <c r="I29" s="2149"/>
      <c r="J29" s="2149"/>
      <c r="K29" s="2149"/>
      <c r="L29" s="2149"/>
      <c r="M29" s="2149"/>
      <c r="N29" s="2150"/>
      <c r="O29" s="2136">
        <f>SUM(O30:O41)</f>
        <v>0</v>
      </c>
      <c r="P29" s="2137"/>
      <c r="Q29" s="463"/>
      <c r="R29" s="163"/>
    </row>
    <row r="30" spans="1:19" s="43" customFormat="1" ht="10.5" customHeight="1">
      <c r="A30" s="1299" t="s">
        <v>750</v>
      </c>
      <c r="B30" s="1300" t="s">
        <v>4198</v>
      </c>
      <c r="C30" s="1301"/>
      <c r="D30" s="1302"/>
      <c r="E30" s="1358">
        <f>$O$57</f>
        <v>10</v>
      </c>
      <c r="F30" s="2094" t="str">
        <f>$A$63</f>
        <v>Applicant has noted that our community is close to every amenity that Gainesville, GA has to offer, and since the construction of Phase 1, we welcomed the largest Kroger in the Southeastern US.</v>
      </c>
      <c r="G30" s="2095"/>
      <c r="H30" s="2095"/>
      <c r="I30" s="2095"/>
      <c r="J30" s="2095"/>
      <c r="K30" s="2095"/>
      <c r="L30" s="2095"/>
      <c r="M30" s="2095"/>
      <c r="N30" s="2096"/>
      <c r="O30" s="2172" t="s">
        <v>1746</v>
      </c>
      <c r="P30" s="2173"/>
      <c r="Q30" s="461"/>
      <c r="R30" s="163"/>
    </row>
    <row r="31" spans="1:19" s="43" customFormat="1" ht="10.5" customHeight="1">
      <c r="A31" s="1303" t="s">
        <v>1807</v>
      </c>
      <c r="B31" s="1033" t="s">
        <v>4199</v>
      </c>
      <c r="C31" s="1188"/>
      <c r="D31" s="1304"/>
      <c r="E31" s="1359">
        <f>$O$94</f>
        <v>3</v>
      </c>
      <c r="F31" s="2097" t="str">
        <f>$A$107</f>
        <v>Our consultants at SK Collerbative have been helpful in obtaining the the Enterprise Foundation Green Communities.  Noted above, the score of 45 is the Exceptional score, the base being 35 with 10 additional points.</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4200</v>
      </c>
      <c r="C32" s="1188"/>
      <c r="D32" s="1304"/>
      <c r="E32" s="1359">
        <f>$O$153</f>
        <v>3</v>
      </c>
      <c r="F32" s="2097" t="str">
        <f>$A$185</f>
        <v>Gainesville High School is the only high school in the City of Gainesville and scores for points.  Also, Gainesville has abundent jobs that help maximize points for the jobs criteria.</v>
      </c>
      <c r="G32" s="2098"/>
      <c r="H32" s="2098"/>
      <c r="I32" s="2098"/>
      <c r="J32" s="2098"/>
      <c r="K32" s="2098"/>
      <c r="L32" s="2098"/>
      <c r="M32" s="2098"/>
      <c r="N32" s="2099"/>
      <c r="O32" s="2134" t="s">
        <v>2924</v>
      </c>
      <c r="P32" s="2135"/>
      <c r="Q32" s="2204"/>
      <c r="R32" s="2205"/>
      <c r="S32" s="2205"/>
    </row>
    <row r="33" spans="1:19" s="43" customFormat="1" ht="10.5" customHeight="1">
      <c r="A33" s="1303" t="s">
        <v>294</v>
      </c>
      <c r="B33" s="1033" t="s">
        <v>4201</v>
      </c>
      <c r="C33" s="1188"/>
      <c r="D33" s="1304"/>
      <c r="E33" s="1432">
        <f>$O$189</f>
        <v>5</v>
      </c>
      <c r="F33" s="2102" t="str">
        <f>$A$224</f>
        <v>The 2014 Action Plan which includes a timeline through 2018 has seen tremendous success in improving the targeted areas.  As noted in our letters from the Greater Hall Chamber of Commerce and Gateway Domestic Abuse Shelter, among others, have been actively working over the years to make the 2014 Action Plan a reality.</v>
      </c>
      <c r="G33" s="2103"/>
      <c r="H33" s="2103"/>
      <c r="I33" s="2103"/>
      <c r="J33" s="2103"/>
      <c r="K33" s="2103"/>
      <c r="L33" s="2103"/>
      <c r="M33" s="2103"/>
      <c r="N33" s="2104"/>
      <c r="O33" s="2134" t="s">
        <v>2924</v>
      </c>
      <c r="P33" s="2135"/>
      <c r="Q33" s="2204"/>
      <c r="R33" s="2205"/>
      <c r="S33" s="2205"/>
    </row>
    <row r="34" spans="1:19" s="43" customFormat="1" ht="10.5" customHeight="1">
      <c r="A34" s="1309" t="s">
        <v>428</v>
      </c>
      <c r="B34" s="1310" t="s">
        <v>4202</v>
      </c>
      <c r="C34" s="1311"/>
      <c r="D34" s="1312"/>
      <c r="E34" s="1360" t="s">
        <v>1746</v>
      </c>
      <c r="F34" s="2131" t="str">
        <f>$A$266</f>
        <v>Applicant is not requesting points in this section.</v>
      </c>
      <c r="G34" s="2132"/>
      <c r="H34" s="2132"/>
      <c r="I34" s="2132"/>
      <c r="J34" s="2132"/>
      <c r="K34" s="2132"/>
      <c r="L34" s="2132"/>
      <c r="M34" s="2132"/>
      <c r="N34" s="2133"/>
      <c r="O34" s="2127"/>
      <c r="P34" s="2128"/>
      <c r="Q34" s="2204"/>
      <c r="R34" s="2205"/>
      <c r="S34" s="2205"/>
    </row>
    <row r="35" spans="1:19" s="43" customFormat="1" ht="10.5" customHeight="1">
      <c r="A35" s="1303" t="s">
        <v>365</v>
      </c>
      <c r="B35" s="1033" t="s">
        <v>3817</v>
      </c>
      <c r="C35" s="1188"/>
      <c r="D35" s="1304"/>
      <c r="E35" s="1359">
        <f>$O$286</f>
        <v>0</v>
      </c>
      <c r="F35" s="2097" t="str">
        <f>$A$290</f>
        <v>Applicant is not requesting points in this section.</v>
      </c>
      <c r="G35" s="2098"/>
      <c r="H35" s="2098"/>
      <c r="I35" s="2098"/>
      <c r="J35" s="2098"/>
      <c r="K35" s="2098"/>
      <c r="L35" s="2098"/>
      <c r="M35" s="2098"/>
      <c r="N35" s="2099"/>
      <c r="O35" s="2127"/>
      <c r="P35" s="2128"/>
      <c r="Q35" s="2204"/>
      <c r="R35" s="2205"/>
      <c r="S35" s="2205"/>
    </row>
    <row r="36" spans="1:19" s="43" customFormat="1" ht="10.5" customHeight="1">
      <c r="A36" s="1303" t="s">
        <v>2267</v>
      </c>
      <c r="B36" s="1033" t="s">
        <v>4203</v>
      </c>
      <c r="C36" s="1188"/>
      <c r="D36" s="1304"/>
      <c r="E36" s="1360">
        <f>$O$337</f>
        <v>1</v>
      </c>
      <c r="F36" s="2097" t="str">
        <f>$A$342</f>
        <v>We have selected Myrtle 2 to get our priority point.</v>
      </c>
      <c r="G36" s="2098"/>
      <c r="H36" s="2098"/>
      <c r="I36" s="2098"/>
      <c r="J36" s="2098"/>
      <c r="K36" s="2098"/>
      <c r="L36" s="2098"/>
      <c r="M36" s="2098"/>
      <c r="N36" s="2099"/>
      <c r="O36" s="2127"/>
      <c r="P36" s="2128"/>
      <c r="Q36" s="2204"/>
      <c r="R36" s="2205"/>
      <c r="S36" s="2205"/>
    </row>
    <row r="37" spans="1:19" s="43" customFormat="1" ht="10.5" customHeight="1">
      <c r="A37" s="1303" t="s">
        <v>4514</v>
      </c>
      <c r="B37" s="1033" t="s">
        <v>4515</v>
      </c>
      <c r="C37" s="1188"/>
      <c r="D37" s="1304"/>
      <c r="E37" s="1360">
        <f>$O$294</f>
        <v>3</v>
      </c>
      <c r="F37" s="2102" t="str">
        <f>$A$312</f>
        <v>Applicant has noted that we are noting that this is the second phase of a phased development, eligible for 3 points and notes that on our original application submitted we noted on a site plan a future phase.  As a back-up applicant also notes that there has not been a funded tax credit deal within 1 mile over the last 4 years either.</v>
      </c>
      <c r="G37" s="2103"/>
      <c r="H37" s="2103"/>
      <c r="I37" s="2103"/>
      <c r="J37" s="2103"/>
      <c r="K37" s="2103"/>
      <c r="L37" s="2103"/>
      <c r="M37" s="2103"/>
      <c r="N37" s="2104"/>
      <c r="O37" s="2127"/>
      <c r="P37" s="2128"/>
      <c r="Q37" s="2204"/>
      <c r="R37" s="2205"/>
      <c r="S37" s="2205"/>
    </row>
    <row r="38" spans="1:19" s="43" customFormat="1" ht="10.5" customHeight="1">
      <c r="A38" s="1309" t="s">
        <v>4149</v>
      </c>
      <c r="B38" s="1310" t="s">
        <v>4204</v>
      </c>
      <c r="C38" s="1311"/>
      <c r="D38" s="1312"/>
      <c r="E38" s="1431">
        <f>$O$346</f>
        <v>1</v>
      </c>
      <c r="F38" s="2131" t="str">
        <f>$A$358</f>
        <v>Our GICH letter has been executed by the mayor of Gainesville.</v>
      </c>
      <c r="G38" s="2132"/>
      <c r="H38" s="2132"/>
      <c r="I38" s="2132"/>
      <c r="J38" s="2132"/>
      <c r="K38" s="2132"/>
      <c r="L38" s="2132"/>
      <c r="M38" s="2132"/>
      <c r="N38" s="2133"/>
      <c r="O38" s="2127"/>
      <c r="P38" s="2128"/>
      <c r="Q38" s="2204"/>
      <c r="R38" s="2205"/>
      <c r="S38" s="2205"/>
    </row>
    <row r="39" spans="1:19" s="43" customFormat="1" ht="10.5" customHeight="1">
      <c r="A39" s="1303" t="s">
        <v>4150</v>
      </c>
      <c r="B39" s="1033" t="s">
        <v>4205</v>
      </c>
      <c r="C39" s="1188"/>
      <c r="D39" s="1304"/>
      <c r="E39" s="1359">
        <f>$O$362</f>
        <v>0</v>
      </c>
      <c r="F39" s="2097" t="str">
        <f>$A$392</f>
        <v>Applicant is not requesting points in this section.</v>
      </c>
      <c r="G39" s="2098"/>
      <c r="H39" s="2098"/>
      <c r="I39" s="2098"/>
      <c r="J39" s="2098"/>
      <c r="K39" s="2098"/>
      <c r="L39" s="2098"/>
      <c r="M39" s="2098"/>
      <c r="N39" s="2099"/>
      <c r="O39" s="2127"/>
      <c r="P39" s="2128"/>
      <c r="Q39" s="2204"/>
      <c r="R39" s="2205"/>
      <c r="S39" s="2205"/>
    </row>
    <row r="40" spans="1:19" s="43" customFormat="1" ht="10.5" customHeight="1">
      <c r="A40" s="1303" t="s">
        <v>4148</v>
      </c>
      <c r="B40" s="1033" t="s">
        <v>4206</v>
      </c>
      <c r="C40" s="1188"/>
      <c r="D40" s="1304"/>
      <c r="E40" s="1359">
        <f>$O$396</f>
        <v>2</v>
      </c>
      <c r="F40" s="2097" t="str">
        <f>$A$410</f>
        <v>The applicant agrees to accept Section 811 PBRA or other DCA-offerd RA for up to 10% of the units for the purpose of providing Integrated Supportive Housing opportunities</v>
      </c>
      <c r="G40" s="2098"/>
      <c r="H40" s="2098"/>
      <c r="I40" s="2098"/>
      <c r="J40" s="2098"/>
      <c r="K40" s="2098"/>
      <c r="L40" s="2098"/>
      <c r="M40" s="2098"/>
      <c r="N40" s="2099"/>
      <c r="O40" s="2127"/>
      <c r="P40" s="2128"/>
      <c r="Q40" s="2204"/>
      <c r="R40" s="2205"/>
      <c r="S40" s="2205"/>
    </row>
    <row r="41" spans="1:19" s="43" customFormat="1" ht="10.5" customHeight="1">
      <c r="A41" s="1305" t="s">
        <v>4151</v>
      </c>
      <c r="B41" s="1306" t="s">
        <v>4207</v>
      </c>
      <c r="C41" s="1307"/>
      <c r="D41" s="1308"/>
      <c r="E41" s="1361">
        <f>$O$414</f>
        <v>0</v>
      </c>
      <c r="F41" s="2138" t="str">
        <f>$A$429</f>
        <v>Applicant is not requesting points in this section.</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3615</v>
      </c>
      <c r="I45" s="2100"/>
      <c r="J45" s="966">
        <f>'Part VI-Revenues &amp; Expenses'!$O$60</f>
        <v>76</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3395</v>
      </c>
      <c r="L46" s="1919"/>
      <c r="M46" s="941"/>
      <c r="N46" s="7"/>
      <c r="Q46" s="7"/>
      <c r="R46" s="391"/>
    </row>
    <row r="47" spans="1:19" s="105" customFormat="1" ht="13.5" customHeight="1">
      <c r="B47" s="2101"/>
      <c r="C47" s="2101"/>
      <c r="D47" s="2101"/>
      <c r="E47" s="2101"/>
      <c r="F47" s="2101"/>
      <c r="G47" s="1917" t="s">
        <v>3741</v>
      </c>
      <c r="H47" s="1917"/>
      <c r="I47" s="1917"/>
      <c r="J47" s="1917"/>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5">
        <v>16</v>
      </c>
      <c r="I49" s="1348"/>
      <c r="K49" s="1094">
        <f>IF(OR('Part VI-Revenues &amp; Expenses'!$O$60="", 'Part VI-Revenues &amp; Expenses'!$O$60=0),0,H49/'Part VI-Revenues &amp; Expenses'!$O$60)</f>
        <v>0.21052631578947367</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7" t="s">
        <v>3677</v>
      </c>
      <c r="I51" s="1917"/>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3990</v>
      </c>
      <c r="E53" s="1006"/>
      <c r="F53" s="938"/>
      <c r="I53" s="970"/>
      <c r="J53" s="970"/>
      <c r="K53" s="970"/>
      <c r="L53" s="970"/>
      <c r="M53" s="970"/>
      <c r="N53" s="404" t="s">
        <v>2004</v>
      </c>
      <c r="O53" s="2927" t="s">
        <v>4723</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4144</v>
      </c>
      <c r="D57" s="42"/>
      <c r="I57" s="1866" t="s">
        <v>3794</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3883</v>
      </c>
      <c r="D59" s="34"/>
      <c r="N59" s="484"/>
      <c r="O59" s="2928" t="s">
        <v>3010</v>
      </c>
      <c r="P59" s="561"/>
    </row>
    <row r="60" spans="1:18" s="44" customFormat="1" ht="12" customHeight="1">
      <c r="A60" s="143" t="s">
        <v>1999</v>
      </c>
      <c r="B60" s="172" t="s">
        <v>1888</v>
      </c>
      <c r="C60" s="4"/>
      <c r="D60" s="4"/>
      <c r="F60" s="307"/>
      <c r="G60" s="179" t="s">
        <v>2736</v>
      </c>
      <c r="I60" s="2125" t="s">
        <v>4228</v>
      </c>
      <c r="J60" s="2125"/>
      <c r="K60" s="2125"/>
      <c r="L60" s="2125"/>
      <c r="M60" s="75">
        <v>10</v>
      </c>
      <c r="N60" s="181" t="s">
        <v>1999</v>
      </c>
      <c r="O60" s="2929">
        <v>10</v>
      </c>
      <c r="P60" s="1076"/>
      <c r="Q60" s="1090" t="str">
        <f>IF(OR($O60=$M60,$O60=0,$O60=""),"","*CHECK!*")</f>
        <v/>
      </c>
      <c r="R60" s="1244" t="s">
        <v>2724</v>
      </c>
    </row>
    <row r="61" spans="1:18" s="44" customFormat="1" ht="12.6" customHeight="1">
      <c r="A61" s="143" t="s">
        <v>2001</v>
      </c>
      <c r="B61" s="172" t="s">
        <v>3872</v>
      </c>
      <c r="D61" s="42"/>
      <c r="F61" s="407"/>
      <c r="G61" s="179" t="s">
        <v>4022</v>
      </c>
      <c r="I61" s="2125"/>
      <c r="J61" s="2125"/>
      <c r="K61" s="2125"/>
      <c r="L61" s="2125"/>
      <c r="M61" s="1589" t="s">
        <v>1250</v>
      </c>
      <c r="N61" s="484" t="s">
        <v>2001</v>
      </c>
      <c r="O61" s="2930">
        <v>0</v>
      </c>
      <c r="P61" s="1218"/>
      <c r="R61" s="1244" t="s">
        <v>2724</v>
      </c>
    </row>
    <row r="62" spans="1:18" s="44" customFormat="1" ht="11.25" customHeight="1" thickBot="1">
      <c r="A62" s="43"/>
      <c r="B62" s="1332" t="s">
        <v>3779</v>
      </c>
      <c r="C62" s="43"/>
      <c r="D62" s="49"/>
      <c r="E62" s="49"/>
      <c r="F62" s="49"/>
      <c r="G62" s="49"/>
      <c r="H62" s="37"/>
      <c r="I62" s="2126"/>
      <c r="J62" s="2126"/>
      <c r="K62" s="2126"/>
      <c r="L62" s="2126"/>
      <c r="M62" s="47"/>
      <c r="N62" s="63"/>
      <c r="O62" s="3"/>
      <c r="P62" s="1587"/>
    </row>
    <row r="63" spans="1:18" s="44" customFormat="1" ht="21.75" customHeight="1" thickTop="1" thickBot="1">
      <c r="A63" s="2931" t="s">
        <v>4652</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3</v>
      </c>
      <c r="P67" s="1194">
        <f>IF($J$68="Flexible",MIN($M67,MAX(P80,P84)),IF(AND($J$68="Rural",P89&gt;0),MIN($M89,P89),0))</f>
        <v>0</v>
      </c>
      <c r="Q67" s="112" t="s">
        <v>443</v>
      </c>
      <c r="R67" s="1985" t="s">
        <v>4134</v>
      </c>
      <c r="S67" s="1985"/>
      <c r="T67" s="1985"/>
      <c r="U67" s="1985"/>
    </row>
    <row r="68" spans="1:21" s="44" customFormat="1" ht="17.25" customHeight="1">
      <c r="A68" s="158"/>
      <c r="B68" s="113" t="s">
        <v>3993</v>
      </c>
      <c r="D68" s="42"/>
      <c r="H68" s="172" t="s">
        <v>2812</v>
      </c>
      <c r="I68" s="539"/>
      <c r="J68" s="537" t="str">
        <f>'Part I-Project Information'!$H$100</f>
        <v>Flexible</v>
      </c>
      <c r="K68" s="49"/>
      <c r="M68" s="1584"/>
      <c r="N68" s="484"/>
      <c r="O68" s="1085" t="s">
        <v>3620</v>
      </c>
      <c r="P68" s="1085" t="s">
        <v>3621</v>
      </c>
      <c r="Q68" s="112"/>
      <c r="R68" s="1985"/>
      <c r="S68" s="1985"/>
      <c r="T68" s="1985"/>
      <c r="U68" s="1985"/>
    </row>
    <row r="69" spans="1:21" s="44" customFormat="1" ht="11.25" customHeight="1">
      <c r="A69" s="158"/>
      <c r="B69" s="499" t="s">
        <v>2002</v>
      </c>
      <c r="C69" s="56" t="s">
        <v>3619</v>
      </c>
      <c r="D69" s="42"/>
      <c r="H69" s="46"/>
      <c r="I69" s="50"/>
      <c r="J69" s="49"/>
      <c r="K69" s="49"/>
      <c r="M69" s="1584"/>
      <c r="N69" s="484"/>
      <c r="O69" s="2928" t="s">
        <v>3010</v>
      </c>
      <c r="P69" s="561"/>
      <c r="Q69" s="112"/>
      <c r="R69" s="1985"/>
      <c r="S69" s="1985"/>
      <c r="T69" s="1985"/>
      <c r="U69" s="1985"/>
    </row>
    <row r="70" spans="1:21" s="44" customFormat="1" ht="11.25" customHeight="1">
      <c r="A70" s="158"/>
      <c r="B70" s="499" t="s">
        <v>2004</v>
      </c>
      <c r="C70" s="56" t="s">
        <v>3991</v>
      </c>
      <c r="D70" s="42"/>
      <c r="H70" s="46"/>
      <c r="I70" s="50"/>
      <c r="J70" s="49"/>
      <c r="K70" s="49"/>
      <c r="N70" s="484"/>
      <c r="O70" s="2934" t="s">
        <v>3010</v>
      </c>
      <c r="P70" s="562"/>
      <c r="Q70" s="112"/>
      <c r="R70" s="1985"/>
      <c r="S70" s="1985"/>
      <c r="T70" s="1985"/>
      <c r="U70" s="1985"/>
    </row>
    <row r="71" spans="1:21" s="44" customFormat="1" ht="11.25" customHeight="1">
      <c r="A71" s="158"/>
      <c r="B71" s="499" t="s">
        <v>2551</v>
      </c>
      <c r="C71" s="56" t="s">
        <v>3992</v>
      </c>
      <c r="D71" s="42"/>
      <c r="H71" s="46"/>
      <c r="I71" s="50"/>
      <c r="J71" s="49"/>
      <c r="K71" s="49"/>
      <c r="N71" s="484"/>
      <c r="O71" s="2927" t="s">
        <v>3010</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4000</v>
      </c>
      <c r="D73" s="42"/>
      <c r="F73" s="2191" t="s">
        <v>3742</v>
      </c>
      <c r="G73" s="2191"/>
      <c r="H73" s="2191"/>
      <c r="I73" s="2191"/>
      <c r="J73" s="2191" t="s">
        <v>3743</v>
      </c>
      <c r="K73" s="2191"/>
      <c r="L73" s="2191"/>
      <c r="M73" s="2191"/>
      <c r="N73" s="484"/>
      <c r="O73" s="2199" t="s">
        <v>4141</v>
      </c>
      <c r="P73" s="2200"/>
      <c r="Q73" s="112"/>
      <c r="R73" s="1985"/>
      <c r="S73" s="1985"/>
      <c r="T73" s="1985"/>
      <c r="U73" s="1985"/>
    </row>
    <row r="74" spans="1:21" s="44" customFormat="1" ht="12.75" customHeight="1">
      <c r="A74" s="158"/>
      <c r="C74" s="512" t="s">
        <v>3999</v>
      </c>
      <c r="D74" s="649"/>
      <c r="E74" s="278"/>
      <c r="F74" s="2935">
        <v>34.300818</v>
      </c>
      <c r="G74" s="2936"/>
      <c r="H74" s="2202"/>
      <c r="I74" s="2203"/>
      <c r="J74" s="2935">
        <v>-83.807621999999995</v>
      </c>
      <c r="K74" s="2936"/>
      <c r="L74" s="2202"/>
      <c r="M74" s="2203"/>
      <c r="N74" s="484"/>
      <c r="Q74" s="112"/>
      <c r="R74" s="1985"/>
      <c r="S74" s="1985"/>
      <c r="T74" s="1985"/>
      <c r="U74" s="1985"/>
    </row>
    <row r="75" spans="1:21" s="44" customFormat="1" ht="12.75" customHeight="1">
      <c r="B75" s="1187"/>
      <c r="D75" s="1272" t="s">
        <v>4001</v>
      </c>
      <c r="E75" s="278"/>
      <c r="F75" s="2937">
        <v>34.301380000000002</v>
      </c>
      <c r="G75" s="2938"/>
      <c r="H75" s="2111"/>
      <c r="I75" s="2112"/>
      <c r="J75" s="2937">
        <v>-83.807608000000002</v>
      </c>
      <c r="K75" s="2938"/>
      <c r="L75" s="2111"/>
      <c r="M75" s="2112"/>
      <c r="N75" s="484"/>
      <c r="O75" s="2939">
        <v>0.05</v>
      </c>
      <c r="P75" s="1281"/>
      <c r="Q75" s="112"/>
      <c r="R75" s="1985"/>
      <c r="S75" s="1985"/>
      <c r="T75" s="1985"/>
      <c r="U75" s="1985"/>
    </row>
    <row r="76" spans="1:21" s="44" customFormat="1" ht="12.75" customHeight="1">
      <c r="A76" s="2206" t="s">
        <v>4191</v>
      </c>
      <c r="B76" s="2206"/>
      <c r="C76" s="512" t="s">
        <v>4142</v>
      </c>
      <c r="D76" s="649"/>
      <c r="E76" s="278"/>
      <c r="F76" s="2940"/>
      <c r="G76" s="2941"/>
      <c r="H76" s="2113"/>
      <c r="I76" s="2114"/>
      <c r="J76" s="2940"/>
      <c r="K76" s="2941"/>
      <c r="L76" s="2113"/>
      <c r="M76" s="2114"/>
      <c r="N76" s="484"/>
      <c r="O76" s="2942"/>
      <c r="P76" s="1280"/>
      <c r="Q76" s="112"/>
      <c r="R76" s="1985"/>
      <c r="S76" s="1985"/>
      <c r="T76" s="1985"/>
      <c r="U76" s="1985"/>
    </row>
    <row r="77" spans="1:21" s="44" customFormat="1" ht="12.75" customHeight="1">
      <c r="A77" s="2206"/>
      <c r="B77" s="2206"/>
      <c r="D77" s="1272" t="s">
        <v>4140</v>
      </c>
      <c r="E77" s="278"/>
      <c r="F77" s="2943"/>
      <c r="G77" s="2944"/>
      <c r="H77" s="2189"/>
      <c r="I77" s="2190"/>
      <c r="J77" s="2943"/>
      <c r="K77" s="2944"/>
      <c r="L77" s="2189"/>
      <c r="M77" s="2190"/>
      <c r="N77" s="484"/>
      <c r="O77" s="294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3780</v>
      </c>
      <c r="M79" s="1584"/>
      <c r="N79" s="1584"/>
      <c r="O79" s="1584"/>
      <c r="P79" s="1584"/>
      <c r="Q79" s="112"/>
      <c r="R79" s="1219"/>
      <c r="S79" s="1219"/>
      <c r="T79" s="1219"/>
      <c r="U79" s="1219"/>
    </row>
    <row r="80" spans="1:21" s="44" customFormat="1" ht="12.6" customHeight="1">
      <c r="A80" s="148" t="s">
        <v>1999</v>
      </c>
      <c r="B80" s="172" t="s">
        <v>3772</v>
      </c>
      <c r="D80" s="42"/>
      <c r="F80" s="46" t="s">
        <v>3885</v>
      </c>
      <c r="I80" s="2201" t="s">
        <v>4138</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3994</v>
      </c>
      <c r="D81" s="1893"/>
      <c r="E81" s="1893"/>
      <c r="F81" s="1893"/>
      <c r="G81" s="1893"/>
      <c r="H81" s="1893"/>
      <c r="I81" s="2201"/>
      <c r="J81" s="2201"/>
      <c r="K81" s="2201"/>
      <c r="L81" s="2201"/>
      <c r="M81" s="534">
        <v>5</v>
      </c>
      <c r="N81" s="499" t="s">
        <v>2002</v>
      </c>
      <c r="O81" s="2946"/>
      <c r="P81" s="913"/>
      <c r="Q81" s="1090" t="str">
        <f>IF(OR($O81=$M81,$O81=0,$O81=""),"","*CHECK!*")</f>
        <v/>
      </c>
      <c r="R81" s="1244" t="s">
        <v>2724</v>
      </c>
    </row>
    <row r="82" spans="1:18" s="427" customFormat="1" ht="12" customHeight="1">
      <c r="A82" s="619" t="s">
        <v>1365</v>
      </c>
      <c r="B82" s="456" t="s">
        <v>2004</v>
      </c>
      <c r="C82" s="405" t="s">
        <v>3995</v>
      </c>
      <c r="D82" s="405"/>
      <c r="E82" s="405"/>
      <c r="F82" s="405"/>
      <c r="G82" s="405"/>
      <c r="H82" s="405"/>
      <c r="I82" s="2201"/>
      <c r="J82" s="2201"/>
      <c r="K82" s="2201"/>
      <c r="L82" s="2201"/>
      <c r="M82" s="534">
        <v>4</v>
      </c>
      <c r="N82" s="499" t="s">
        <v>2004</v>
      </c>
      <c r="O82" s="2929"/>
      <c r="P82" s="1076"/>
      <c r="Q82" s="1090" t="str">
        <f>IF(OR($O82=$M82,$O82=0,$O82=""),"","*CHECK!*")</f>
        <v/>
      </c>
      <c r="R82" s="1244" t="s">
        <v>2724</v>
      </c>
    </row>
    <row r="83" spans="1:18" s="427" customFormat="1" ht="12" customHeight="1">
      <c r="B83" s="456" t="s">
        <v>2551</v>
      </c>
      <c r="C83" s="405" t="s">
        <v>3773</v>
      </c>
      <c r="D83" s="405"/>
      <c r="E83" s="405"/>
      <c r="F83" s="405"/>
      <c r="G83" s="484" t="s">
        <v>4139</v>
      </c>
      <c r="H83" s="1278" t="str">
        <f>'Part I-Project Information'!$H$78</f>
        <v>HFOP</v>
      </c>
      <c r="I83" s="2947" t="s">
        <v>4653</v>
      </c>
      <c r="J83" s="2948"/>
      <c r="K83" s="2948"/>
      <c r="L83" s="2949" t="s">
        <v>4654</v>
      </c>
      <c r="M83" s="534">
        <v>1</v>
      </c>
      <c r="N83" s="499" t="s">
        <v>2551</v>
      </c>
      <c r="O83" s="2930"/>
      <c r="P83" s="1218"/>
      <c r="Q83" s="1090" t="str">
        <f>IF(OR($O83=$M83,$O83=0,$O83=""),"","*CHECK!*")</f>
        <v/>
      </c>
      <c r="R83" s="1244" t="s">
        <v>2724</v>
      </c>
    </row>
    <row r="84" spans="1:18" s="427" customFormat="1" ht="12" customHeight="1">
      <c r="A84" s="148" t="s">
        <v>2001</v>
      </c>
      <c r="B84" s="1243" t="s">
        <v>3774</v>
      </c>
      <c r="C84" s="677"/>
      <c r="D84" s="677"/>
      <c r="E84" s="677"/>
      <c r="F84" s="1213" t="s">
        <v>3884</v>
      </c>
      <c r="I84" s="2950"/>
      <c r="J84" s="2951"/>
      <c r="K84" s="2951"/>
      <c r="L84" s="2952"/>
      <c r="M84" s="1034">
        <v>3</v>
      </c>
      <c r="N84" s="166" t="s">
        <v>2001</v>
      </c>
      <c r="O84" s="1088">
        <f>IF($J$68="Flexible",MIN($M84,O85+O86+O87),0)</f>
        <v>3</v>
      </c>
      <c r="P84" s="1088">
        <f>IF($J$68="Flexible",MIN($M84,P85+P86+P87),0)</f>
        <v>0</v>
      </c>
      <c r="Q84" s="535"/>
      <c r="R84" s="403"/>
    </row>
    <row r="85" spans="1:18" s="427" customFormat="1" ht="12" customHeight="1">
      <c r="A85" s="143"/>
      <c r="B85" s="456" t="s">
        <v>2002</v>
      </c>
      <c r="C85" s="2064" t="s">
        <v>3996</v>
      </c>
      <c r="D85" s="2064"/>
      <c r="E85" s="2064"/>
      <c r="F85" s="2064"/>
      <c r="G85" s="2064"/>
      <c r="H85" s="2185"/>
      <c r="I85" s="2953" t="s">
        <v>4655</v>
      </c>
      <c r="J85" s="2954"/>
      <c r="K85" s="2954"/>
      <c r="L85" s="2955"/>
      <c r="M85" s="534">
        <v>3</v>
      </c>
      <c r="N85" s="499" t="s">
        <v>2002</v>
      </c>
      <c r="O85" s="2946">
        <v>3</v>
      </c>
      <c r="P85" s="913"/>
      <c r="Q85" s="1090" t="str">
        <f>IF(OR($O85=$M85,$O85=0,$O85=""),"","*CHECK!*")</f>
        <v/>
      </c>
      <c r="R85" s="1244" t="s">
        <v>2724</v>
      </c>
    </row>
    <row r="86" spans="1:18" s="44" customFormat="1" ht="12" customHeight="1">
      <c r="A86" s="1214" t="s">
        <v>1365</v>
      </c>
      <c r="B86" s="456" t="s">
        <v>2004</v>
      </c>
      <c r="C86" s="2064" t="s">
        <v>3997</v>
      </c>
      <c r="D86" s="2064"/>
      <c r="E86" s="2064"/>
      <c r="F86" s="2064"/>
      <c r="G86" s="2064"/>
      <c r="H86" s="2185"/>
      <c r="I86" s="2956"/>
      <c r="J86" s="2957"/>
      <c r="K86" s="2957"/>
      <c r="L86" s="2958"/>
      <c r="M86" s="534">
        <v>2</v>
      </c>
      <c r="N86" s="499" t="s">
        <v>2004</v>
      </c>
      <c r="O86" s="2929"/>
      <c r="P86" s="1076"/>
      <c r="Q86" s="1090" t="str">
        <f>IF(OR($O86=$M86,$O86=0,$O86=""),"","*CHECK!*")</f>
        <v/>
      </c>
      <c r="R86" s="1244" t="s">
        <v>2724</v>
      </c>
    </row>
    <row r="87" spans="1:18" s="44" customFormat="1" ht="14.25" customHeight="1">
      <c r="A87" s="1214" t="s">
        <v>1365</v>
      </c>
      <c r="B87" s="456" t="s">
        <v>2551</v>
      </c>
      <c r="C87" s="1893" t="s">
        <v>3998</v>
      </c>
      <c r="D87" s="1893"/>
      <c r="E87" s="1893"/>
      <c r="F87" s="1893"/>
      <c r="G87" s="1893"/>
      <c r="H87" s="1899"/>
      <c r="I87" s="2953" t="s">
        <v>4656</v>
      </c>
      <c r="J87" s="2954"/>
      <c r="K87" s="2954"/>
      <c r="L87" s="2955"/>
      <c r="M87" s="534">
        <v>1</v>
      </c>
      <c r="N87" s="499" t="s">
        <v>2551</v>
      </c>
      <c r="O87" s="2930"/>
      <c r="P87" s="1218"/>
      <c r="Q87" s="1090" t="str">
        <f>IF(OR($O87=$M87,$O87=0,$O87=""),"","*CHECK!*")</f>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2"/>
      <c r="P89" s="911"/>
      <c r="Q89" s="1090" t="str">
        <f>IF(OR($O89=$M89,$O89=0,$O89=""),"","*CHECK!*")</f>
        <v/>
      </c>
      <c r="R89" s="1244" t="s">
        <v>2724</v>
      </c>
    </row>
    <row r="90" spans="1:18" s="44" customFormat="1" ht="12.6" customHeight="1">
      <c r="A90" s="37" t="s">
        <v>4143</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3" t="s">
        <v>4006</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4012</v>
      </c>
      <c r="J96" s="2964"/>
      <c r="K96" s="2964"/>
      <c r="L96" s="2965"/>
      <c r="O96" s="2120"/>
      <c r="P96" s="2120"/>
    </row>
    <row r="97" spans="1:18" s="44" customFormat="1" ht="13.5" customHeight="1">
      <c r="B97" s="172" t="s">
        <v>2812</v>
      </c>
      <c r="G97" s="42"/>
      <c r="H97" s="42"/>
      <c r="I97" s="1215" t="str">
        <f>'Part I-Project Information'!$H$100</f>
        <v>Flexible</v>
      </c>
      <c r="K97" s="28"/>
      <c r="M97" s="1584"/>
      <c r="N97" s="410"/>
      <c r="O97" s="2120"/>
      <c r="P97" s="2120"/>
    </row>
    <row r="98" spans="1:18" s="44" customFormat="1" ht="13.5" customHeight="1">
      <c r="B98" s="172" t="s">
        <v>4003</v>
      </c>
      <c r="G98" s="42"/>
      <c r="H98" s="42"/>
      <c r="I98" s="654"/>
      <c r="K98" s="28"/>
      <c r="M98" s="1584"/>
      <c r="N98" s="410"/>
      <c r="O98" s="2120"/>
      <c r="P98" s="2120"/>
    </row>
    <row r="99" spans="1:18" s="1190" customFormat="1" ht="13.5" customHeight="1">
      <c r="C99" s="1186" t="s">
        <v>4008</v>
      </c>
      <c r="I99" s="2966">
        <v>45</v>
      </c>
      <c r="J99" s="555"/>
      <c r="K99" s="403"/>
      <c r="O99" s="2120"/>
      <c r="P99" s="2120"/>
    </row>
    <row r="100" spans="1:18" s="1190" customFormat="1" ht="13.5" customHeight="1">
      <c r="C100" s="1186" t="s">
        <v>4009</v>
      </c>
      <c r="I100" s="2967">
        <v>64</v>
      </c>
      <c r="J100" s="557"/>
      <c r="K100" s="403"/>
      <c r="O100" s="2186" t="s">
        <v>4017</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3901</v>
      </c>
      <c r="D102" s="34"/>
      <c r="K102" s="2187" t="str">
        <f>IF(OR(AND(O102&gt;0,O103&gt;0),AND(O103&gt;0,O104&gt;0),AND(O102&gt;0,O104&gt;0)),"Choose A, B, or C.  See instructions.",IF(AND(O104&gt;0,O105&gt;0),"Choose A or B when choosing D.  See instructions.",""))</f>
        <v/>
      </c>
      <c r="L102" s="2187"/>
      <c r="M102" s="534">
        <v>2</v>
      </c>
      <c r="N102" s="484" t="s">
        <v>1999</v>
      </c>
      <c r="O102" s="2946"/>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929"/>
      <c r="P103" s="1076"/>
      <c r="Q103" s="1090" t="str">
        <f>IF(OR($O103=$M103,$O103=0,$O103=""),"","*CHECK!*")</f>
        <v/>
      </c>
      <c r="R103" s="1244" t="s">
        <v>2724</v>
      </c>
    </row>
    <row r="104" spans="1:18" ht="11.45" customHeight="1">
      <c r="A104" s="143" t="s">
        <v>757</v>
      </c>
      <c r="B104" s="184" t="s">
        <v>3902</v>
      </c>
      <c r="D104" s="34"/>
      <c r="E104" s="34"/>
      <c r="F104" s="34"/>
      <c r="K104" s="2187"/>
      <c r="L104" s="2187"/>
      <c r="M104" s="534">
        <v>3</v>
      </c>
      <c r="N104" s="484" t="s">
        <v>757</v>
      </c>
      <c r="O104" s="2929">
        <v>3</v>
      </c>
      <c r="P104" s="1076"/>
      <c r="Q104" s="1090" t="str">
        <f>IF(OR($O104=$M104,$O104=0,$O104=""),"","*CHECK!*")</f>
        <v/>
      </c>
      <c r="R104" s="1244" t="s">
        <v>2724</v>
      </c>
    </row>
    <row r="105" spans="1:18" ht="11.45" customHeight="1">
      <c r="A105" s="143" t="s">
        <v>2131</v>
      </c>
      <c r="B105" s="184" t="s">
        <v>3803</v>
      </c>
      <c r="D105" s="34"/>
      <c r="E105" s="34"/>
      <c r="F105" s="139" t="s">
        <v>4019</v>
      </c>
      <c r="J105" s="2968" t="s">
        <v>4018</v>
      </c>
      <c r="K105" s="2187"/>
      <c r="L105" s="2187"/>
      <c r="M105" s="534">
        <v>1</v>
      </c>
      <c r="N105" s="484" t="s">
        <v>2131</v>
      </c>
      <c r="O105" s="2930"/>
      <c r="P105" s="1218"/>
      <c r="Q105" s="1090" t="str">
        <f>IF(OR($O105=$M105,$O105=0,$O105=""),"","*CHECK!*")</f>
        <v/>
      </c>
      <c r="R105" s="1244" t="s">
        <v>2724</v>
      </c>
    </row>
    <row r="106" spans="1:18" s="105" customFormat="1" ht="11.45" customHeight="1" thickBot="1">
      <c r="A106" s="43"/>
      <c r="B106" s="1332" t="s">
        <v>3779</v>
      </c>
      <c r="C106" s="43"/>
      <c r="D106" s="49"/>
      <c r="E106" s="49"/>
      <c r="F106" s="49"/>
      <c r="G106" s="49"/>
      <c r="K106" s="37"/>
      <c r="M106" s="47"/>
      <c r="N106" s="6"/>
      <c r="O106" s="3"/>
      <c r="P106" s="1584"/>
    </row>
    <row r="107" spans="1:18" s="44" customFormat="1" ht="21.75" customHeight="1" thickTop="1" thickBot="1">
      <c r="A107" s="2969" t="s">
        <v>4704</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4020</v>
      </c>
      <c r="D111" s="40"/>
      <c r="E111" s="37"/>
      <c r="F111" s="941"/>
      <c r="G111" s="941"/>
      <c r="H111" s="941"/>
      <c r="I111" s="62" t="s">
        <v>3780</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4021</v>
      </c>
      <c r="C113" s="95"/>
      <c r="D113" s="119"/>
      <c r="E113" s="430" t="s">
        <v>4146</v>
      </c>
      <c r="G113" s="116"/>
      <c r="I113" s="484" t="s">
        <v>4139</v>
      </c>
      <c r="J113" s="1278" t="str">
        <f>'Part I-Project Information'!$H$78</f>
        <v>HFOP</v>
      </c>
      <c r="K113" s="42"/>
      <c r="L113" s="391" t="str">
        <f>IF(OR($O113=$M113,$O113=0,$O113=""),"","* * Check Score! * *")</f>
        <v/>
      </c>
      <c r="M113" s="75">
        <v>3</v>
      </c>
      <c r="N113" s="484" t="s">
        <v>1999</v>
      </c>
      <c r="O113" s="297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4023</v>
      </c>
      <c r="C115" s="95"/>
      <c r="D115" s="1191"/>
      <c r="E115" s="1430" t="s">
        <v>4254</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4176</v>
      </c>
      <c r="C116" s="956"/>
      <c r="D116" s="1352"/>
      <c r="E116" s="1352"/>
      <c r="F116" s="1352"/>
      <c r="H116" s="2973" t="s">
        <v>4657</v>
      </c>
      <c r="I116" s="1352"/>
      <c r="J116" s="1352"/>
      <c r="K116" s="1352"/>
      <c r="L116" s="1352"/>
      <c r="M116" s="1593"/>
      <c r="N116" s="181"/>
      <c r="Q116" s="1169"/>
      <c r="R116" s="1169"/>
      <c r="S116" s="1169"/>
      <c r="T116" s="1169"/>
    </row>
    <row r="117" spans="1:20" s="37" customFormat="1" ht="10.5" customHeight="1">
      <c r="A117" s="65"/>
      <c r="C117" s="1291" t="s">
        <v>4177</v>
      </c>
      <c r="D117" s="2974" t="s">
        <v>4712</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4024</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977" t="s">
        <v>3010</v>
      </c>
      <c r="P120" s="566"/>
      <c r="Q120" s="1169"/>
      <c r="R120" s="1169"/>
      <c r="S120" s="1169"/>
      <c r="T120" s="1169"/>
    </row>
    <row r="121" spans="1:20" s="105" customFormat="1" ht="10.5" customHeight="1">
      <c r="A121" s="185"/>
      <c r="B121" s="942"/>
      <c r="C121" s="53" t="s">
        <v>4026</v>
      </c>
      <c r="D121" s="179" t="s">
        <v>4147</v>
      </c>
      <c r="F121" s="53"/>
      <c r="G121" s="53"/>
      <c r="H121" s="2978" t="s">
        <v>4682</v>
      </c>
      <c r="I121" s="2978"/>
      <c r="J121" s="2978"/>
      <c r="K121" s="2978"/>
      <c r="L121" s="2978"/>
      <c r="M121" s="2978"/>
      <c r="N121" s="2978"/>
      <c r="O121" s="2978"/>
      <c r="P121" s="2978"/>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3808</v>
      </c>
      <c r="O122" s="2979" t="s">
        <v>3010</v>
      </c>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593"/>
      <c r="N123" s="401" t="s">
        <v>3809</v>
      </c>
      <c r="O123" s="2927" t="s">
        <v>3010</v>
      </c>
      <c r="P123" s="563"/>
      <c r="Q123" s="1169"/>
      <c r="R123" s="1169"/>
      <c r="S123" s="1169"/>
      <c r="T123" s="1169"/>
    </row>
    <row r="124" spans="1:20" s="56" customFormat="1" ht="10.5" customHeight="1">
      <c r="A124" s="65"/>
      <c r="C124" s="56" t="s">
        <v>4174</v>
      </c>
      <c r="D124" s="430"/>
      <c r="E124" s="53"/>
      <c r="F124" s="53"/>
      <c r="G124" s="53"/>
      <c r="H124" s="430"/>
      <c r="J124" s="430"/>
      <c r="L124" s="1902" t="s">
        <v>3845</v>
      </c>
      <c r="M124" s="1902"/>
      <c r="N124" s="1902"/>
      <c r="O124" s="2192" t="s">
        <v>3844</v>
      </c>
      <c r="P124" s="2192"/>
      <c r="Q124" s="53"/>
    </row>
    <row r="125" spans="1:20" s="56" customFormat="1" ht="10.5" customHeight="1">
      <c r="A125" s="65"/>
      <c r="B125" s="390"/>
      <c r="C125" s="2980" t="s">
        <v>4684</v>
      </c>
      <c r="D125" s="2981"/>
      <c r="E125" s="2981"/>
      <c r="F125" s="2981"/>
      <c r="G125" s="2981"/>
      <c r="H125" s="2981"/>
      <c r="I125" s="2981"/>
      <c r="J125" s="2981"/>
      <c r="K125" s="2982"/>
      <c r="L125" s="2983" t="s">
        <v>4683</v>
      </c>
      <c r="M125" s="2983"/>
      <c r="N125" s="2983"/>
      <c r="O125" s="2984">
        <v>0</v>
      </c>
      <c r="P125" s="2984"/>
      <c r="Q125" s="1207" t="str">
        <f>IF(O125&gt;15, "Too much!","")</f>
        <v/>
      </c>
    </row>
    <row r="126" spans="1:20" s="56" customFormat="1" ht="10.5" customHeight="1">
      <c r="A126" s="65"/>
      <c r="B126" s="402"/>
      <c r="C126" s="2985" t="s">
        <v>4685</v>
      </c>
      <c r="D126" s="2986"/>
      <c r="E126" s="2986"/>
      <c r="F126" s="2986"/>
      <c r="G126" s="2986"/>
      <c r="H126" s="2986"/>
      <c r="I126" s="2986"/>
      <c r="J126" s="2986"/>
      <c r="K126" s="2987"/>
      <c r="L126" s="2988" t="s">
        <v>4683</v>
      </c>
      <c r="M126" s="2988"/>
      <c r="N126" s="2988"/>
      <c r="O126" s="2989">
        <v>0</v>
      </c>
      <c r="P126" s="2989"/>
      <c r="Q126" s="1207" t="str">
        <f>IF(O126&gt;15, "Too much!","")</f>
        <v/>
      </c>
    </row>
    <row r="127" spans="1:20" s="56" customFormat="1" ht="10.5" customHeight="1">
      <c r="A127" s="65"/>
      <c r="B127" s="390"/>
      <c r="C127" s="2985" t="s">
        <v>4686</v>
      </c>
      <c r="D127" s="2986"/>
      <c r="E127" s="2986"/>
      <c r="F127" s="2986"/>
      <c r="G127" s="2986"/>
      <c r="H127" s="2986"/>
      <c r="I127" s="2986"/>
      <c r="J127" s="2986"/>
      <c r="K127" s="2987"/>
      <c r="L127" s="2988" t="s">
        <v>4683</v>
      </c>
      <c r="M127" s="2988"/>
      <c r="N127" s="2988"/>
      <c r="O127" s="2989">
        <v>10</v>
      </c>
      <c r="P127" s="2989"/>
      <c r="Q127" s="1207" t="str">
        <f>IF(O127&gt;15, "Too much!","")</f>
        <v/>
      </c>
    </row>
    <row r="128" spans="1:20" s="56" customFormat="1" ht="10.5" customHeight="1">
      <c r="A128" s="65"/>
      <c r="B128" s="401"/>
      <c r="C128" s="2990" t="s">
        <v>4687</v>
      </c>
      <c r="D128" s="2991"/>
      <c r="E128" s="2991"/>
      <c r="F128" s="2991"/>
      <c r="G128" s="2991"/>
      <c r="H128" s="2991"/>
      <c r="I128" s="2991"/>
      <c r="J128" s="2991"/>
      <c r="K128" s="2992"/>
      <c r="L128" s="2993" t="s">
        <v>4683</v>
      </c>
      <c r="M128" s="2993"/>
      <c r="N128" s="2993"/>
      <c r="O128" s="2994">
        <v>0</v>
      </c>
      <c r="P128" s="2994"/>
      <c r="Q128" s="1207" t="str">
        <f>IF(O128&gt;15, "Too much!","")</f>
        <v/>
      </c>
    </row>
    <row r="129" spans="1:21" s="105" customFormat="1" ht="10.5" customHeight="1">
      <c r="B129" s="942"/>
      <c r="C129" s="53" t="s">
        <v>4027</v>
      </c>
      <c r="D129" s="37" t="s">
        <v>4030</v>
      </c>
      <c r="E129" s="53"/>
      <c r="F129" s="53"/>
      <c r="G129" s="53"/>
      <c r="H129" s="95"/>
      <c r="I129" s="95"/>
      <c r="J129" s="95"/>
      <c r="K129" s="95"/>
      <c r="L129" s="95"/>
      <c r="M129" s="95"/>
      <c r="N129" s="1102" t="s">
        <v>3808</v>
      </c>
      <c r="O129" s="2928" t="s">
        <v>3010</v>
      </c>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3809</v>
      </c>
      <c r="O130" s="2927" t="s">
        <v>3010</v>
      </c>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593"/>
      <c r="Q131" s="53"/>
      <c r="R131" s="56"/>
      <c r="S131" s="56"/>
      <c r="T131" s="56"/>
      <c r="U131" s="56"/>
    </row>
    <row r="132" spans="1:21" s="56" customFormat="1" ht="10.5" customHeight="1">
      <c r="A132" s="65"/>
      <c r="B132" s="65"/>
      <c r="C132" s="956" t="s">
        <v>4208</v>
      </c>
      <c r="D132" s="65"/>
      <c r="E132" s="65"/>
      <c r="F132" s="65"/>
      <c r="G132" s="2928" t="s">
        <v>3010</v>
      </c>
      <c r="H132" s="561"/>
      <c r="I132" s="956" t="s">
        <v>4211</v>
      </c>
      <c r="L132" s="65"/>
      <c r="M132" s="65"/>
      <c r="N132" s="65"/>
      <c r="O132" s="2928" t="s">
        <v>3010</v>
      </c>
      <c r="P132" s="561"/>
      <c r="Q132" s="53"/>
    </row>
    <row r="133" spans="1:21" s="56" customFormat="1" ht="10.5" customHeight="1">
      <c r="A133" s="65"/>
      <c r="B133" s="65"/>
      <c r="C133" s="956" t="s">
        <v>4539</v>
      </c>
      <c r="D133" s="65"/>
      <c r="E133" s="65"/>
      <c r="F133" s="65"/>
      <c r="G133" s="2934" t="s">
        <v>3010</v>
      </c>
      <c r="H133" s="562"/>
      <c r="I133" s="53" t="s">
        <v>4212</v>
      </c>
      <c r="L133" s="65"/>
      <c r="M133" s="65"/>
      <c r="N133" s="65"/>
      <c r="O133" s="2934" t="s">
        <v>3010</v>
      </c>
      <c r="P133" s="562"/>
      <c r="Q133" s="53"/>
    </row>
    <row r="134" spans="1:21" s="56" customFormat="1" ht="10.5" customHeight="1">
      <c r="A134" s="65"/>
      <c r="B134" s="65"/>
      <c r="C134" s="956" t="s">
        <v>4210</v>
      </c>
      <c r="D134" s="65"/>
      <c r="E134" s="65"/>
      <c r="F134" s="65"/>
      <c r="G134" s="2934" t="s">
        <v>3010</v>
      </c>
      <c r="H134" s="562"/>
      <c r="I134" s="956" t="s">
        <v>4213</v>
      </c>
      <c r="L134" s="65"/>
      <c r="M134" s="65"/>
      <c r="N134" s="65"/>
      <c r="O134" s="2934" t="s">
        <v>3010</v>
      </c>
      <c r="P134" s="562"/>
      <c r="Q134" s="53"/>
    </row>
    <row r="135" spans="1:21" s="56" customFormat="1" ht="10.5" customHeight="1">
      <c r="A135" s="65"/>
      <c r="B135" s="65"/>
      <c r="C135" s="2995" t="s">
        <v>4214</v>
      </c>
      <c r="D135" s="2996"/>
      <c r="E135" s="2996"/>
      <c r="F135" s="2997"/>
      <c r="G135" s="2927"/>
      <c r="H135" s="1292"/>
      <c r="I135" s="2995" t="s">
        <v>4215</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3846</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4032</v>
      </c>
      <c r="D138" s="1352"/>
      <c r="E138" s="1352"/>
      <c r="F138" s="1352"/>
      <c r="G138" s="1352"/>
      <c r="H138" s="1352"/>
      <c r="I138" s="1352"/>
      <c r="J138" s="1352"/>
      <c r="K138" s="1352"/>
      <c r="L138" s="1352"/>
      <c r="M138" s="1593"/>
      <c r="N138" s="53"/>
      <c r="O138" s="2977" t="s">
        <v>4635</v>
      </c>
      <c r="P138" s="566"/>
      <c r="Q138" s="53"/>
      <c r="R138" s="1169"/>
      <c r="S138" s="1169"/>
      <c r="T138" s="1169"/>
      <c r="U138" s="1169"/>
    </row>
    <row r="139" spans="1:21" s="37" customFormat="1" ht="10.5" customHeight="1">
      <c r="A139" s="65"/>
      <c r="B139" s="942"/>
      <c r="C139" s="53" t="s">
        <v>4033</v>
      </c>
      <c r="D139" s="1352"/>
      <c r="E139" s="1352"/>
      <c r="F139" s="1352"/>
      <c r="G139" s="956" t="s">
        <v>4034</v>
      </c>
      <c r="I139" s="1352"/>
      <c r="J139" s="1352"/>
      <c r="K139" s="1352"/>
      <c r="L139" s="1352"/>
      <c r="M139" s="67" t="s">
        <v>2451</v>
      </c>
      <c r="N139" s="401" t="s">
        <v>3808</v>
      </c>
      <c r="O139" s="2979" t="s">
        <v>3010</v>
      </c>
      <c r="P139" s="1005"/>
      <c r="Q139" s="53"/>
      <c r="R139" s="1169"/>
      <c r="S139" s="1169"/>
      <c r="T139" s="1169"/>
      <c r="U139" s="1169"/>
    </row>
    <row r="140" spans="1:21" s="37" customFormat="1" ht="10.5" customHeight="1">
      <c r="A140" s="65"/>
      <c r="B140" s="389"/>
      <c r="D140" s="1352"/>
      <c r="E140" s="1352"/>
      <c r="F140" s="1352"/>
      <c r="G140" s="956" t="s">
        <v>4035</v>
      </c>
      <c r="I140" s="1352"/>
      <c r="J140" s="1352"/>
      <c r="K140" s="1352"/>
      <c r="L140" s="1352"/>
      <c r="M140" s="1593"/>
      <c r="N140" s="1102" t="s">
        <v>3809</v>
      </c>
      <c r="O140" s="2934" t="s">
        <v>3010</v>
      </c>
      <c r="P140" s="562"/>
      <c r="Q140" s="53"/>
      <c r="R140" s="1169"/>
      <c r="S140" s="1169"/>
      <c r="T140" s="1169"/>
      <c r="U140" s="1169"/>
    </row>
    <row r="141" spans="1:21" s="37" customFormat="1" ht="10.5" customHeight="1">
      <c r="A141" s="67"/>
      <c r="B141" s="389"/>
      <c r="D141" s="1352"/>
      <c r="E141" s="1352"/>
      <c r="F141" s="1352"/>
      <c r="G141" s="956" t="s">
        <v>4036</v>
      </c>
      <c r="I141" s="1352"/>
      <c r="J141" s="1352"/>
      <c r="K141" s="1352"/>
      <c r="L141" s="1352"/>
      <c r="M141" s="1593"/>
      <c r="N141" s="401" t="s">
        <v>3810</v>
      </c>
      <c r="O141" s="2934" t="s">
        <v>3010</v>
      </c>
      <c r="P141" s="562"/>
      <c r="Q141" s="53"/>
      <c r="R141" s="1169"/>
      <c r="S141" s="1169"/>
      <c r="T141" s="1169"/>
      <c r="U141" s="1169"/>
    </row>
    <row r="142" spans="1:21" s="37" customFormat="1" ht="10.5" customHeight="1">
      <c r="A142" s="65"/>
      <c r="B142" s="389"/>
      <c r="D142" s="1352"/>
      <c r="E142" s="1352"/>
      <c r="F142" s="1352"/>
      <c r="G142" s="956" t="s">
        <v>4037</v>
      </c>
      <c r="I142" s="1352"/>
      <c r="J142" s="1352"/>
      <c r="K142" s="1352"/>
      <c r="L142" s="1352"/>
      <c r="M142" s="1593"/>
      <c r="N142" s="401" t="s">
        <v>3812</v>
      </c>
      <c r="O142" s="2934" t="s">
        <v>3010</v>
      </c>
      <c r="P142" s="562"/>
      <c r="Q142" s="53"/>
      <c r="R142" s="1169"/>
      <c r="S142" s="1169"/>
      <c r="T142" s="1169"/>
      <c r="U142" s="1169"/>
    </row>
    <row r="143" spans="1:21" s="37" customFormat="1" ht="10.5" customHeight="1">
      <c r="A143" s="65"/>
      <c r="B143" s="389"/>
      <c r="D143" s="1352"/>
      <c r="E143" s="1352"/>
      <c r="F143" s="1352"/>
      <c r="G143" s="956" t="s">
        <v>4038</v>
      </c>
      <c r="I143" s="1352"/>
      <c r="J143" s="1352"/>
      <c r="K143" s="1352"/>
      <c r="L143" s="1352"/>
      <c r="M143" s="1593"/>
      <c r="N143" s="1102" t="s">
        <v>3813</v>
      </c>
      <c r="O143" s="2927" t="s">
        <v>3010</v>
      </c>
      <c r="P143" s="563"/>
      <c r="Q143" s="53"/>
    </row>
    <row r="144" spans="1:21" s="37" customFormat="1" ht="10.5" customHeight="1">
      <c r="A144" s="65"/>
      <c r="B144" s="942"/>
      <c r="C144" s="956" t="s">
        <v>4178</v>
      </c>
      <c r="D144" s="1352"/>
      <c r="E144" s="1352"/>
      <c r="F144" s="1352"/>
      <c r="G144" s="1352"/>
      <c r="H144" s="1352"/>
      <c r="I144" s="1352"/>
      <c r="J144" s="1352"/>
      <c r="K144" s="1352"/>
      <c r="L144" s="1352"/>
      <c r="M144" s="67"/>
      <c r="N144" s="67" t="s">
        <v>2452</v>
      </c>
      <c r="O144" s="2998" t="s">
        <v>3010</v>
      </c>
      <c r="P144" s="560"/>
      <c r="Q144" s="53"/>
    </row>
    <row r="145" spans="1:18" s="56" customFormat="1" ht="10.5" customHeight="1">
      <c r="A145" s="65"/>
      <c r="B145" s="456"/>
      <c r="C145" s="56" t="s">
        <v>3861</v>
      </c>
      <c r="D145" s="430"/>
      <c r="E145" s="53"/>
      <c r="F145" s="53"/>
      <c r="G145" s="56" t="s">
        <v>4180</v>
      </c>
      <c r="H145" s="430"/>
      <c r="M145" s="59"/>
      <c r="N145" s="59"/>
      <c r="O145" s="59"/>
      <c r="P145" s="59"/>
      <c r="Q145" s="53"/>
    </row>
    <row r="146" spans="1:18" s="56" customFormat="1" ht="10.5" customHeight="1">
      <c r="A146" s="65"/>
      <c r="B146" s="390"/>
      <c r="C146" s="2980" t="s">
        <v>4714</v>
      </c>
      <c r="D146" s="2981"/>
      <c r="E146" s="2981"/>
      <c r="F146" s="2982"/>
      <c r="G146" s="2980" t="s">
        <v>4715</v>
      </c>
      <c r="H146" s="2981"/>
      <c r="I146" s="2981"/>
      <c r="J146" s="2981"/>
      <c r="K146" s="2981"/>
      <c r="L146" s="2981"/>
      <c r="M146" s="2981"/>
      <c r="N146" s="2981"/>
      <c r="O146" s="2981"/>
      <c r="P146" s="2982"/>
      <c r="Q146" s="53"/>
    </row>
    <row r="147" spans="1:18" s="56" customFormat="1" ht="10.5" customHeight="1">
      <c r="A147" s="65"/>
      <c r="B147" s="402"/>
      <c r="C147" s="2985" t="s">
        <v>4717</v>
      </c>
      <c r="D147" s="2986"/>
      <c r="E147" s="2986"/>
      <c r="F147" s="2987"/>
      <c r="G147" s="2985" t="s">
        <v>4716</v>
      </c>
      <c r="H147" s="2986"/>
      <c r="I147" s="2986"/>
      <c r="J147" s="2986"/>
      <c r="K147" s="2986"/>
      <c r="L147" s="2986"/>
      <c r="M147" s="2986"/>
      <c r="N147" s="2986"/>
      <c r="O147" s="2986"/>
      <c r="P147" s="2987"/>
      <c r="Q147" s="53"/>
    </row>
    <row r="148" spans="1:18" s="56" customFormat="1" ht="34.5" customHeight="1">
      <c r="A148" s="2101" t="s">
        <v>4216</v>
      </c>
      <c r="B148" s="2101"/>
      <c r="C148" s="2985" t="s">
        <v>4718</v>
      </c>
      <c r="D148" s="2986"/>
      <c r="E148" s="2986"/>
      <c r="F148" s="2987"/>
      <c r="G148" s="2985" t="s">
        <v>4719</v>
      </c>
      <c r="H148" s="2986"/>
      <c r="I148" s="2986"/>
      <c r="J148" s="2986"/>
      <c r="K148" s="2986"/>
      <c r="L148" s="2986"/>
      <c r="M148" s="2986"/>
      <c r="N148" s="2986"/>
      <c r="O148" s="2986"/>
      <c r="P148" s="2987"/>
      <c r="Q148" s="53"/>
    </row>
    <row r="149" spans="1:18" s="56" customFormat="1" ht="10.5" customHeight="1">
      <c r="A149" s="2101"/>
      <c r="B149" s="2101"/>
      <c r="C149" s="2990" t="s">
        <v>4720</v>
      </c>
      <c r="D149" s="2991"/>
      <c r="E149" s="2991"/>
      <c r="F149" s="2992"/>
      <c r="G149" s="2990" t="s">
        <v>4721</v>
      </c>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4002</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2999"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4218</v>
      </c>
      <c r="C158" s="2049"/>
      <c r="D158" s="2049"/>
      <c r="E158" s="53" t="s">
        <v>3852</v>
      </c>
      <c r="F158" s="105"/>
      <c r="G158" s="53"/>
      <c r="H158" s="105"/>
      <c r="I158" s="2974" t="s">
        <v>4658</v>
      </c>
      <c r="J158" s="2975"/>
      <c r="K158" s="2975"/>
      <c r="L158" s="2976"/>
    </row>
    <row r="159" spans="1:18" s="44" customFormat="1" ht="11.25" customHeight="1">
      <c r="A159" s="143"/>
      <c r="B159" s="2049"/>
      <c r="C159" s="2049"/>
      <c r="D159" s="2049"/>
      <c r="E159" s="41" t="s">
        <v>3854</v>
      </c>
      <c r="F159" s="391"/>
      <c r="G159" s="105"/>
      <c r="H159" s="105"/>
      <c r="I159" s="41"/>
      <c r="J159" s="1602"/>
      <c r="K159" s="1602"/>
      <c r="L159" s="1602"/>
      <c r="M159" s="105"/>
      <c r="N159" s="1222"/>
      <c r="O159" s="2999" t="s">
        <v>4723</v>
      </c>
      <c r="P159" s="559"/>
      <c r="Q159" s="138"/>
    </row>
    <row r="160" spans="1:18" s="44" customFormat="1" ht="12" customHeight="1">
      <c r="A160" s="43"/>
      <c r="C160" s="1592"/>
      <c r="D160" s="1592"/>
      <c r="E160" s="53" t="s">
        <v>2923</v>
      </c>
      <c r="F160" s="2198" t="str">
        <f>'Part I-Project Information'!$H$78</f>
        <v>HFOP</v>
      </c>
      <c r="G160" s="2198"/>
      <c r="I160" s="1592"/>
      <c r="J160" s="1592"/>
      <c r="K160" s="1592"/>
      <c r="L160" s="1592"/>
      <c r="M160" s="1592"/>
      <c r="N160" s="77"/>
      <c r="O160" s="73"/>
      <c r="P160" s="941"/>
    </row>
    <row r="161" spans="1:24" s="44" customFormat="1" ht="13.5" customHeight="1">
      <c r="A161" s="143"/>
      <c r="B161" s="579"/>
      <c r="C161" s="578"/>
      <c r="D161" s="578"/>
      <c r="E161" s="1354"/>
      <c r="H161" s="2195" t="s">
        <v>3850</v>
      </c>
      <c r="I161" s="2106" t="s">
        <v>3895</v>
      </c>
      <c r="J161" s="2107"/>
      <c r="K161" s="2107"/>
      <c r="L161" s="2108"/>
      <c r="M161" s="2105" t="s">
        <v>3849</v>
      </c>
      <c r="N161" s="2105"/>
      <c r="O161" s="2105" t="s">
        <v>3853</v>
      </c>
      <c r="P161" s="2105"/>
      <c r="Q161" s="138"/>
    </row>
    <row r="162" spans="1:24" s="44" customFormat="1" ht="13.5" customHeight="1">
      <c r="A162" s="143"/>
      <c r="B162" s="584" t="s">
        <v>3847</v>
      </c>
      <c r="C162" s="1602"/>
      <c r="D162" s="2197" t="s">
        <v>3851</v>
      </c>
      <c r="E162" s="2197"/>
      <c r="F162" s="2197"/>
      <c r="G162" s="1599" t="s">
        <v>3419</v>
      </c>
      <c r="H162" s="2196"/>
      <c r="I162" s="544">
        <v>2014</v>
      </c>
      <c r="J162" s="544">
        <v>2015</v>
      </c>
      <c r="K162" s="544">
        <v>2016</v>
      </c>
      <c r="L162" s="544">
        <v>2017</v>
      </c>
      <c r="M162" s="2105"/>
      <c r="N162" s="2105"/>
      <c r="O162" s="2105"/>
      <c r="P162" s="2105"/>
      <c r="Q162" s="2171" t="s">
        <v>3848</v>
      </c>
      <c r="R162" s="2171"/>
    </row>
    <row r="163" spans="1:24" s="44" customFormat="1" ht="13.5" customHeight="1">
      <c r="A163" s="390" t="s">
        <v>2451</v>
      </c>
      <c r="B163" s="626" t="s">
        <v>4041</v>
      </c>
      <c r="D163" s="3000"/>
      <c r="E163" s="3001"/>
      <c r="F163" s="3002"/>
      <c r="G163" s="3003"/>
      <c r="H163" s="3004"/>
      <c r="I163" s="3005"/>
      <c r="J163" s="3006"/>
      <c r="K163" s="3006"/>
      <c r="L163" s="3007"/>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2452</v>
      </c>
      <c r="B164" s="626" t="s">
        <v>4217</v>
      </c>
      <c r="D164" s="3008"/>
      <c r="E164" s="3009"/>
      <c r="F164" s="3010"/>
      <c r="G164" s="3011"/>
      <c r="H164" s="3012"/>
      <c r="I164" s="3013"/>
      <c r="J164" s="3014"/>
      <c r="K164" s="3014"/>
      <c r="L164" s="3015"/>
      <c r="M164" s="2007" t="str">
        <f>IF(I164+J164+K164+L164=0,"",AVERAGE(I164,J164,K164,L164))</f>
        <v/>
      </c>
      <c r="N164" s="2008"/>
      <c r="O164" s="663" t="str">
        <f>IF(M164="","",IF(M164&gt;Q164,"Yes",IF(M164&lt;Q164,"No","")))</f>
        <v/>
      </c>
      <c r="Q164" s="2076">
        <v>72.099999999999994</v>
      </c>
      <c r="R164" s="2077"/>
      <c r="S164" s="55"/>
    </row>
    <row r="165" spans="1:24" s="44" customFormat="1" ht="13.5" customHeight="1">
      <c r="A165" s="390" t="s">
        <v>2453</v>
      </c>
      <c r="B165" s="626" t="s">
        <v>4039</v>
      </c>
      <c r="D165" s="3016" t="s">
        <v>4659</v>
      </c>
      <c r="E165" s="3017"/>
      <c r="F165" s="3018"/>
      <c r="G165" s="3019" t="s">
        <v>4660</v>
      </c>
      <c r="H165" s="3020" t="s">
        <v>3013</v>
      </c>
      <c r="I165" s="3021">
        <v>72.5</v>
      </c>
      <c r="J165" s="3022">
        <v>77</v>
      </c>
      <c r="K165" s="3022">
        <v>74.7</v>
      </c>
      <c r="L165" s="3023">
        <v>77.099999999999994</v>
      </c>
      <c r="M165" s="2109">
        <f>IF(I165+J165+K165+L165=0,"",AVERAGE(I165,J165,K165,L165))</f>
        <v>75.324999999999989</v>
      </c>
      <c r="N165" s="2110"/>
      <c r="O165" s="664" t="str">
        <f>IF(M165="","",IF(M165&gt;Q165,"Yes",IF(M165&lt;Q165,"No","")))</f>
        <v>Yes</v>
      </c>
      <c r="Q165" s="2076">
        <v>73.3</v>
      </c>
      <c r="R165" s="2077"/>
      <c r="S165" s="55"/>
    </row>
    <row r="166" spans="1:24" s="44" customFormat="1" ht="1.5" customHeight="1">
      <c r="A166" s="390"/>
      <c r="B166" s="626"/>
    </row>
    <row r="167" spans="1:24" s="44" customFormat="1" ht="13.5" customHeight="1">
      <c r="A167" s="401" t="s">
        <v>2454</v>
      </c>
      <c r="B167" s="1032" t="s">
        <v>4041</v>
      </c>
      <c r="D167" s="443" t="str">
        <f>IF(D163="","",D163)</f>
        <v/>
      </c>
      <c r="G167" s="544" t="str">
        <f t="shared" ref="G167:H169" si="0">IF(G163="","",G163)</f>
        <v/>
      </c>
      <c r="H167" s="544" t="str">
        <f t="shared" si="0"/>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4040</v>
      </c>
      <c r="D168" s="443" t="str">
        <f>IF(D164="","",D164)</f>
        <v/>
      </c>
      <c r="G168" s="544" t="str">
        <f t="shared" si="0"/>
        <v/>
      </c>
      <c r="H168" s="544" t="str">
        <f t="shared" si="0"/>
        <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4039</v>
      </c>
      <c r="D169" s="443" t="str">
        <f>IF(D165="","",D165)</f>
        <v>Gainesville High School</v>
      </c>
      <c r="G169" s="544" t="str">
        <f t="shared" si="0"/>
        <v>9-12</v>
      </c>
      <c r="H169" s="544" t="str">
        <f t="shared" si="0"/>
        <v>No</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4043</v>
      </c>
      <c r="C171" s="95"/>
      <c r="D171" s="1191"/>
      <c r="E171" s="1191"/>
      <c r="F171" s="62" t="s">
        <v>3412</v>
      </c>
      <c r="H171" s="41" t="s">
        <v>3896</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4220</v>
      </c>
      <c r="F172" s="2045" t="s">
        <v>3685</v>
      </c>
      <c r="G172" s="2048" t="s">
        <v>3420</v>
      </c>
      <c r="H172" s="2048"/>
      <c r="I172" s="2048"/>
      <c r="J172" s="2048"/>
      <c r="K172" s="2048"/>
      <c r="L172" s="2048"/>
      <c r="M172" s="2048"/>
      <c r="N172" s="2048"/>
      <c r="P172" s="1224"/>
      <c r="R172" s="430" t="s">
        <v>2850</v>
      </c>
      <c r="T172" s="2086" t="str">
        <f>'Part I-Project Information'!$F$38</f>
        <v>Gainesville</v>
      </c>
      <c r="U172" s="2087"/>
      <c r="V172" s="2087"/>
      <c r="W172" s="2087"/>
      <c r="X172" s="2088"/>
    </row>
    <row r="173" spans="1:24" s="56" customFormat="1" ht="13.5" customHeight="1">
      <c r="A173" s="48"/>
      <c r="B173" s="2057" t="s">
        <v>4046</v>
      </c>
      <c r="C173" s="2057"/>
      <c r="D173" s="2057"/>
      <c r="E173" s="2194"/>
      <c r="F173" s="2194"/>
      <c r="G173" s="2047" t="s">
        <v>4045</v>
      </c>
      <c r="H173" s="2047"/>
      <c r="I173" s="2047"/>
      <c r="J173" s="2047"/>
      <c r="K173" s="2047"/>
      <c r="L173" s="2047"/>
      <c r="M173" s="2047"/>
      <c r="N173" s="2047"/>
      <c r="O173" s="2045" t="s">
        <v>3686</v>
      </c>
      <c r="P173" s="2045"/>
      <c r="R173" s="59" t="s">
        <v>2851</v>
      </c>
      <c r="T173" s="2041" t="str">
        <f>'Part I-Project Information'!$J$39</f>
        <v>Hall</v>
      </c>
      <c r="U173" s="2042"/>
      <c r="V173" s="2042"/>
      <c r="W173" s="2042"/>
      <c r="X173" s="2043"/>
    </row>
    <row r="174" spans="1:24" s="56" customFormat="1" ht="13.5" customHeight="1">
      <c r="A174" s="48"/>
      <c r="B174" s="2053" t="s">
        <v>3856</v>
      </c>
      <c r="C174" s="2053"/>
      <c r="D174" s="2053"/>
      <c r="E174" s="1607">
        <v>3000</v>
      </c>
      <c r="F174" s="1607">
        <v>6000</v>
      </c>
      <c r="G174" s="2044">
        <v>15000</v>
      </c>
      <c r="H174" s="2044"/>
      <c r="I174" s="2044"/>
      <c r="J174" s="2044"/>
      <c r="K174" s="2044"/>
      <c r="L174" s="2044"/>
      <c r="M174" s="2044"/>
      <c r="N174" s="2044"/>
      <c r="O174" s="2044">
        <v>20000</v>
      </c>
      <c r="P174" s="2044"/>
      <c r="R174" s="443" t="s">
        <v>2852</v>
      </c>
      <c r="T174" s="2041" t="str">
        <f>'Part I-Project Information'!$O$40</f>
        <v>Gainesville</v>
      </c>
      <c r="U174" s="2042"/>
      <c r="V174" s="2042"/>
      <c r="W174" s="2042"/>
      <c r="X174" s="2043"/>
    </row>
    <row r="175" spans="1:24" s="37" customFormat="1" ht="13.5" customHeight="1">
      <c r="A175" s="48"/>
      <c r="B175" s="2059" t="s">
        <v>4044</v>
      </c>
      <c r="C175" s="2059"/>
      <c r="D175" s="2059"/>
      <c r="E175" s="1608">
        <v>4500</v>
      </c>
      <c r="F175" s="1608">
        <v>9000</v>
      </c>
      <c r="G175" s="2046">
        <v>22500</v>
      </c>
      <c r="H175" s="2046"/>
      <c r="I175" s="2046"/>
      <c r="J175" s="2046"/>
      <c r="K175" s="2046"/>
      <c r="L175" s="2046"/>
      <c r="M175" s="2046"/>
      <c r="N175" s="2046"/>
      <c r="O175" s="2046">
        <v>30000</v>
      </c>
      <c r="P175" s="2046"/>
      <c r="R175" s="41" t="s">
        <v>3889</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3890</v>
      </c>
      <c r="E177" s="958"/>
      <c r="F177" s="958"/>
      <c r="G177" s="958"/>
      <c r="I177" s="3024">
        <v>9000</v>
      </c>
      <c r="J177" s="1256"/>
      <c r="R177" s="56" t="s">
        <v>3651</v>
      </c>
      <c r="T177" s="2054" t="str">
        <f>'Part I-Project Information'!$K$40</f>
        <v>Urban</v>
      </c>
      <c r="U177" s="2055"/>
      <c r="V177" s="2055"/>
      <c r="W177" s="2055"/>
      <c r="X177" s="2056"/>
    </row>
    <row r="178" spans="1:24" s="56" customFormat="1" ht="13.5" customHeight="1">
      <c r="A178" s="961"/>
      <c r="B178" s="443" t="s">
        <v>3650</v>
      </c>
      <c r="H178" s="960" t="str">
        <f>IF(I178&lt;I177,"Threshold not met!","")</f>
        <v/>
      </c>
      <c r="I178" s="3025">
        <v>28252</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4047</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3913</v>
      </c>
      <c r="D182" s="1354"/>
      <c r="E182" s="1354"/>
      <c r="F182" s="1354"/>
      <c r="G182" s="1225"/>
      <c r="I182" s="1275">
        <f>IF(I178="",0,(I178/I177) - 1)</f>
        <v>2.1391111111111112</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87"/>
    </row>
    <row r="185" spans="1:24" s="44" customFormat="1" ht="21.75" customHeight="1" thickTop="1" thickBot="1">
      <c r="A185" s="2931" t="s">
        <v>4677</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4182</v>
      </c>
      <c r="D193" s="1942"/>
      <c r="E193" s="1942"/>
      <c r="F193" s="1942"/>
      <c r="G193" s="1942"/>
      <c r="H193" s="1942"/>
      <c r="I193" s="1942"/>
      <c r="J193" s="1102" t="s">
        <v>2451</v>
      </c>
      <c r="K193" s="3026" t="s">
        <v>3010</v>
      </c>
      <c r="L193" s="1343"/>
      <c r="M193" s="3027" t="s">
        <v>4669</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3629</v>
      </c>
      <c r="D195" s="2049"/>
      <c r="E195" s="2049"/>
      <c r="F195" s="2049"/>
      <c r="G195" s="2049"/>
      <c r="J195" s="390" t="s">
        <v>2452</v>
      </c>
      <c r="K195" s="3030" t="s">
        <v>3010</v>
      </c>
      <c r="L195" s="569"/>
      <c r="M195" s="3027" t="s">
        <v>4661</v>
      </c>
      <c r="N195" s="3028"/>
      <c r="O195" s="3028"/>
      <c r="P195" s="3029"/>
    </row>
    <row r="196" spans="1:25" s="406" customFormat="1" ht="10.5" customHeight="1">
      <c r="B196" s="402" t="s">
        <v>2453</v>
      </c>
      <c r="C196" s="1007" t="s">
        <v>2843</v>
      </c>
      <c r="D196" s="1007"/>
      <c r="E196" s="1007"/>
      <c r="F196" s="1007"/>
      <c r="G196" s="1007"/>
      <c r="H196" s="1007"/>
      <c r="J196" s="402" t="s">
        <v>2453</v>
      </c>
      <c r="K196" s="3030" t="s">
        <v>3010</v>
      </c>
      <c r="L196" s="569"/>
      <c r="M196" s="3027" t="s">
        <v>4662</v>
      </c>
      <c r="N196" s="3028"/>
      <c r="O196" s="3028"/>
      <c r="P196" s="3029"/>
    </row>
    <row r="197" spans="1:25" s="406" customFormat="1" ht="10.5" customHeight="1">
      <c r="B197" s="402" t="s">
        <v>2454</v>
      </c>
      <c r="C197" s="1033" t="s">
        <v>4058</v>
      </c>
      <c r="D197" s="144"/>
      <c r="E197" s="144"/>
      <c r="F197" s="144"/>
      <c r="G197" s="144"/>
      <c r="H197" s="144"/>
      <c r="J197" s="402" t="s">
        <v>2454</v>
      </c>
      <c r="K197" s="3030" t="s">
        <v>3010</v>
      </c>
      <c r="L197" s="569"/>
      <c r="M197" s="3027" t="s">
        <v>4663</v>
      </c>
      <c r="N197" s="3028"/>
      <c r="O197" s="3028"/>
      <c r="P197" s="3029"/>
    </row>
    <row r="198" spans="1:25" s="406" customFormat="1" ht="10.5" customHeight="1">
      <c r="B198" s="1102"/>
      <c r="D198" s="144" t="s">
        <v>4227</v>
      </c>
      <c r="E198" s="144"/>
      <c r="H198" s="144"/>
      <c r="J198" s="1102"/>
      <c r="K198" s="3031" t="s">
        <v>3010</v>
      </c>
      <c r="L198" s="571"/>
    </row>
    <row r="199" spans="1:25" s="406" customFormat="1" ht="10.5" customHeight="1">
      <c r="B199" s="402" t="s">
        <v>2455</v>
      </c>
      <c r="C199" s="1007" t="s">
        <v>4048</v>
      </c>
      <c r="D199" s="1007"/>
      <c r="E199" s="1007"/>
      <c r="F199" s="1007"/>
      <c r="G199" s="1007"/>
      <c r="H199" s="1007"/>
      <c r="J199" s="402" t="s">
        <v>2455</v>
      </c>
      <c r="K199" s="3030" t="s">
        <v>3010</v>
      </c>
      <c r="L199" s="569"/>
      <c r="M199" s="3027" t="s">
        <v>4662</v>
      </c>
      <c r="N199" s="3028"/>
      <c r="O199" s="3028"/>
      <c r="P199" s="3029"/>
    </row>
    <row r="200" spans="1:25" s="406" customFormat="1" ht="10.5" customHeight="1">
      <c r="B200" s="1102" t="s">
        <v>2471</v>
      </c>
      <c r="C200" s="1007" t="s">
        <v>2844</v>
      </c>
      <c r="D200" s="1007"/>
      <c r="E200" s="1007"/>
      <c r="F200" s="1007"/>
      <c r="G200" s="1007"/>
      <c r="J200" s="1102" t="s">
        <v>2471</v>
      </c>
      <c r="K200" s="3030" t="s">
        <v>3010</v>
      </c>
      <c r="L200" s="569"/>
      <c r="M200" s="3027" t="s">
        <v>4664</v>
      </c>
      <c r="N200" s="3028"/>
      <c r="O200" s="3028"/>
      <c r="P200" s="3029"/>
    </row>
    <row r="201" spans="1:25" s="406" customFormat="1" ht="10.5" customHeight="1">
      <c r="B201" s="1102" t="s">
        <v>2472</v>
      </c>
      <c r="C201" s="1007" t="s">
        <v>4049</v>
      </c>
      <c r="D201" s="1007"/>
      <c r="E201" s="1007"/>
      <c r="F201" s="1007"/>
      <c r="J201" s="1102" t="s">
        <v>2472</v>
      </c>
      <c r="K201" s="3030" t="s">
        <v>3010</v>
      </c>
      <c r="L201" s="569"/>
    </row>
    <row r="202" spans="1:25" s="406" customFormat="1" ht="10.5" customHeight="1">
      <c r="B202" s="402"/>
      <c r="C202" s="1007"/>
      <c r="D202" s="1096" t="s">
        <v>4050</v>
      </c>
      <c r="E202" s="1007"/>
      <c r="F202" s="3032">
        <v>41765</v>
      </c>
      <c r="G202" s="1345"/>
      <c r="I202" s="1096" t="s">
        <v>4051</v>
      </c>
      <c r="K202" s="3033"/>
      <c r="L202" s="1344"/>
    </row>
    <row r="203" spans="1:25" s="406" customFormat="1" ht="10.5" customHeight="1">
      <c r="B203" s="1102" t="s">
        <v>2473</v>
      </c>
      <c r="C203" s="1007" t="s">
        <v>3807</v>
      </c>
      <c r="D203" s="1007"/>
      <c r="E203" s="1007"/>
      <c r="F203" s="1007"/>
      <c r="J203" s="1102" t="s">
        <v>2473</v>
      </c>
      <c r="K203" s="3026" t="s">
        <v>3010</v>
      </c>
      <c r="L203" s="1343"/>
    </row>
    <row r="204" spans="1:25" ht="3" customHeight="1">
      <c r="A204" s="532"/>
      <c r="B204" s="495"/>
      <c r="D204" s="614"/>
      <c r="E204" s="495"/>
      <c r="G204" s="623"/>
      <c r="H204" s="624"/>
      <c r="I204" s="448"/>
      <c r="K204" s="910"/>
      <c r="N204" s="28"/>
      <c r="O204" s="28"/>
      <c r="P204" s="28"/>
    </row>
    <row r="205" spans="1:25" ht="11.25" customHeight="1">
      <c r="B205" s="1609" t="s">
        <v>4183</v>
      </c>
      <c r="E205" s="34"/>
      <c r="G205" s="3034" t="s">
        <v>4665</v>
      </c>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4052</v>
      </c>
      <c r="H207" s="164"/>
      <c r="I207" s="164"/>
      <c r="M207" s="445">
        <v>5</v>
      </c>
      <c r="N207" s="48" t="s">
        <v>1999</v>
      </c>
      <c r="O207" s="575">
        <f>SUM(O208:O209)</f>
        <v>5</v>
      </c>
      <c r="P207" s="575">
        <f>SUM(P208:P209)</f>
        <v>0</v>
      </c>
      <c r="Q207" s="1099"/>
      <c r="X207" s="388"/>
      <c r="Y207" s="390"/>
    </row>
    <row r="208" spans="1:25" ht="21.75" customHeight="1">
      <c r="A208" s="532"/>
      <c r="B208" s="621" t="s">
        <v>2002</v>
      </c>
      <c r="C208" s="2049" t="s">
        <v>3806</v>
      </c>
      <c r="D208" s="2049"/>
      <c r="E208" s="2049"/>
      <c r="F208" s="2049"/>
      <c r="G208" s="2049"/>
      <c r="H208" s="2049"/>
      <c r="I208" s="2049"/>
      <c r="J208" s="2049"/>
      <c r="K208" s="2049"/>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016" t="s">
        <v>4057</v>
      </c>
      <c r="D209" s="2016"/>
      <c r="E209" s="2016"/>
      <c r="F209" s="2016"/>
      <c r="G209" s="2016"/>
      <c r="H209" s="2016"/>
      <c r="I209" s="2016"/>
      <c r="J209" s="2016"/>
      <c r="K209" s="2016"/>
      <c r="L209" s="391" t="str">
        <f>IF(OR($O209=$M209,$O209=0,$O209=""),"","* * Check Score! * *")</f>
        <v/>
      </c>
      <c r="M209" s="1242">
        <v>2</v>
      </c>
      <c r="N209" s="499" t="s">
        <v>2004</v>
      </c>
      <c r="O209" s="2930">
        <v>2</v>
      </c>
      <c r="P209" s="1218"/>
      <c r="Q209" s="1090" t="str">
        <f>IF(OR($O209=$M209,$O209=0,$O209=""),"","*CHECK!*")</f>
        <v/>
      </c>
      <c r="R209" s="1086" t="s">
        <v>2724</v>
      </c>
    </row>
    <row r="210" spans="1:23" ht="10.5" customHeight="1">
      <c r="A210" s="532"/>
      <c r="B210" s="495"/>
      <c r="C210" s="495" t="s">
        <v>3805</v>
      </c>
      <c r="D210" s="164"/>
      <c r="E210" s="453" t="str">
        <f>'Part I-Project Information'!$N$39</f>
        <v>Yes</v>
      </c>
      <c r="G210" s="495" t="s">
        <v>3599</v>
      </c>
      <c r="I210" s="2058" t="str">
        <f>'Part I-Project Information'!$O$38</f>
        <v>23580-13-139-0008.00</v>
      </c>
      <c r="J210" s="205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4055</v>
      </c>
      <c r="D212" s="34"/>
      <c r="K212" s="1277"/>
      <c r="L212" s="391" t="str">
        <f>IF(OR($O212=$M212,$O212=0,$O212=""),"","* * Check Score! * *")</f>
        <v/>
      </c>
      <c r="M212" s="445">
        <v>2</v>
      </c>
      <c r="N212" s="65" t="s">
        <v>2001</v>
      </c>
      <c r="O212" s="296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3886</v>
      </c>
      <c r="J214" s="3037"/>
      <c r="K214" s="3038"/>
      <c r="L214" s="3039"/>
      <c r="V214" s="1169"/>
      <c r="W214" s="1169"/>
    </row>
    <row r="215" spans="1:23" s="44" customFormat="1" ht="10.5" customHeight="1">
      <c r="A215" s="182"/>
      <c r="B215" s="495" t="s">
        <v>3887</v>
      </c>
      <c r="I215" s="960" t="str">
        <f>IF($J$215="Government", "Additional documentation required - see QAP.","")</f>
        <v/>
      </c>
      <c r="J215" s="3040"/>
      <c r="K215" s="3041"/>
      <c r="L215" s="3042"/>
      <c r="M215" s="1106" t="s">
        <v>3649</v>
      </c>
      <c r="N215" s="1107"/>
      <c r="O215" s="1107"/>
      <c r="P215" s="1108"/>
      <c r="V215" s="1169"/>
      <c r="W215" s="1169"/>
    </row>
    <row r="216" spans="1:23" ht="10.5" customHeight="1">
      <c r="A216" s="183"/>
      <c r="B216" s="495" t="s">
        <v>4244</v>
      </c>
      <c r="F216" s="1258"/>
      <c r="G216" s="1258"/>
      <c r="H216" s="1258"/>
      <c r="L216" s="2977"/>
      <c r="M216" s="3043"/>
      <c r="N216" s="3044"/>
      <c r="O216" s="3044"/>
      <c r="P216" s="3045"/>
      <c r="V216" s="1169"/>
      <c r="W216" s="1169"/>
    </row>
    <row r="217" spans="1:23" ht="10.5" customHeight="1">
      <c r="A217" s="183"/>
      <c r="B217" s="405" t="s">
        <v>3816</v>
      </c>
      <c r="G217" s="405"/>
      <c r="J217" s="3046"/>
      <c r="K217" s="1317" t="s">
        <v>3815</v>
      </c>
      <c r="L217" s="1258"/>
      <c r="V217" s="1169"/>
      <c r="W217" s="1169"/>
    </row>
    <row r="218" spans="1:23" ht="21.75" customHeight="1">
      <c r="A218" s="2023" t="s">
        <v>4224</v>
      </c>
      <c r="B218" s="2021" t="s">
        <v>4221</v>
      </c>
      <c r="C218" s="2022"/>
      <c r="D218" s="3047"/>
      <c r="E218" s="3048"/>
      <c r="F218" s="3048"/>
      <c r="G218" s="3048"/>
      <c r="H218" s="3048"/>
      <c r="I218" s="3048"/>
      <c r="J218" s="3048"/>
      <c r="K218" s="3048"/>
      <c r="L218" s="3048"/>
      <c r="M218" s="3048"/>
      <c r="N218" s="3048"/>
      <c r="O218" s="3048"/>
      <c r="P218" s="3049"/>
      <c r="Q218" s="461"/>
      <c r="V218" s="1169"/>
      <c r="W218" s="1169"/>
    </row>
    <row r="219" spans="1:23" ht="34.5" customHeight="1">
      <c r="A219" s="2024"/>
      <c r="B219" s="2121" t="s">
        <v>4222</v>
      </c>
      <c r="C219" s="2122"/>
      <c r="D219" s="3050"/>
      <c r="E219" s="3051"/>
      <c r="F219" s="3051"/>
      <c r="G219" s="3051"/>
      <c r="H219" s="3051"/>
      <c r="I219" s="3051"/>
      <c r="J219" s="3051"/>
      <c r="K219" s="3051"/>
      <c r="L219" s="3051"/>
      <c r="M219" s="3051"/>
      <c r="N219" s="3051"/>
      <c r="O219" s="3051"/>
      <c r="P219" s="3052"/>
      <c r="Q219" s="461"/>
      <c r="V219" s="1169"/>
      <c r="W219" s="1169"/>
    </row>
    <row r="220" spans="1:23" ht="34.5" customHeight="1">
      <c r="A220" s="2025"/>
      <c r="B220" s="2019" t="s">
        <v>4223</v>
      </c>
      <c r="C220" s="202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3476</v>
      </c>
      <c r="G221" s="2117" t="s">
        <v>2646</v>
      </c>
      <c r="H221" s="2117"/>
      <c r="J221" s="3056"/>
      <c r="K221" s="3057"/>
      <c r="L221" s="2017"/>
      <c r="M221" s="2018"/>
      <c r="V221" s="1169"/>
      <c r="W221" s="1169"/>
    </row>
    <row r="222" spans="1:23" s="44" customFormat="1" ht="10.5" customHeight="1">
      <c r="A222" s="43"/>
      <c r="C222" s="37" t="s">
        <v>3477</v>
      </c>
      <c r="D222" s="1592"/>
      <c r="G222" s="2013">
        <f>'Part IV-A-Uses of Funds'!$G$132</f>
        <v>13541444</v>
      </c>
      <c r="H222" s="2014"/>
      <c r="J222" s="2011">
        <f>IF($J221=0,0,$J221/$G$222)</f>
        <v>0</v>
      </c>
      <c r="K222" s="2012"/>
      <c r="L222" s="2011">
        <f>IF($L221=0,0,$L221/$G$222)</f>
        <v>0</v>
      </c>
      <c r="M222" s="2012"/>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84"/>
    </row>
    <row r="224" spans="1:23" s="44" customFormat="1" ht="21.75" customHeight="1" thickTop="1" thickBot="1">
      <c r="A224" s="2931" t="s">
        <v>4678</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4056</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4059</v>
      </c>
      <c r="D229" s="56" t="s">
        <v>4060</v>
      </c>
      <c r="K229" s="1293">
        <f>$O$189</f>
        <v>5</v>
      </c>
      <c r="L229" s="1294">
        <f>$P$189</f>
        <v>0</v>
      </c>
      <c r="N229" s="484" t="s">
        <v>2451</v>
      </c>
      <c r="O229" s="2928"/>
      <c r="P229" s="1005"/>
      <c r="R229" s="391"/>
    </row>
    <row r="230" spans="1:23" s="44" customFormat="1" ht="11.25" customHeight="1">
      <c r="A230" s="143"/>
      <c r="D230" s="56" t="s">
        <v>4061</v>
      </c>
      <c r="K230" s="1293">
        <f>$O$111</f>
        <v>3</v>
      </c>
      <c r="L230" s="1294">
        <f>$P$111</f>
        <v>0</v>
      </c>
      <c r="N230" s="484" t="s">
        <v>2452</v>
      </c>
      <c r="O230" s="2934"/>
      <c r="P230" s="562"/>
      <c r="R230" s="1169"/>
      <c r="S230" s="1169"/>
    </row>
    <row r="231" spans="1:23" s="44" customFormat="1" ht="11.25" customHeight="1">
      <c r="A231" s="143"/>
      <c r="D231" s="56" t="s">
        <v>4062</v>
      </c>
      <c r="N231" s="484" t="s">
        <v>2453</v>
      </c>
      <c r="O231" s="2927"/>
      <c r="P231" s="562"/>
      <c r="R231" s="1169"/>
      <c r="S231" s="1169"/>
    </row>
    <row r="232" spans="1:23" s="44" customFormat="1" ht="11.25" customHeight="1">
      <c r="A232" s="143"/>
      <c r="D232" s="56" t="s">
        <v>4063</v>
      </c>
      <c r="N232" s="484" t="s">
        <v>2454</v>
      </c>
      <c r="O232" s="484"/>
      <c r="P232" s="962"/>
      <c r="R232" s="1169"/>
      <c r="S232" s="1169"/>
    </row>
    <row r="233" spans="1:23" s="44" customFormat="1" ht="11.25" customHeight="1">
      <c r="A233" s="143"/>
      <c r="D233" s="56" t="s">
        <v>4064</v>
      </c>
      <c r="N233" s="484" t="s">
        <v>2455</v>
      </c>
      <c r="O233" s="299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4066</v>
      </c>
      <c r="D235" s="34"/>
      <c r="G235" s="495" t="s">
        <v>3811</v>
      </c>
      <c r="N235" s="28"/>
      <c r="O235" s="28"/>
      <c r="P235" s="28"/>
      <c r="Q235" s="1099"/>
    </row>
    <row r="236" spans="1:23" s="34" customFormat="1" ht="10.5" customHeight="1">
      <c r="A236" s="532"/>
      <c r="B236" s="139" t="s">
        <v>3891</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4065</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4076</v>
      </c>
      <c r="D240" s="2015"/>
      <c r="E240" s="2015"/>
      <c r="F240" s="2015"/>
      <c r="G240" s="2015"/>
      <c r="H240" s="2015"/>
      <c r="I240" s="2015"/>
      <c r="J240" s="2015"/>
      <c r="K240" s="2015"/>
      <c r="L240" s="2015"/>
      <c r="N240" s="404" t="s">
        <v>2002</v>
      </c>
      <c r="O240" s="3066"/>
      <c r="P240" s="1262"/>
      <c r="Q240" s="1096"/>
      <c r="R240" s="28"/>
      <c r="S240" s="1177"/>
      <c r="V240" s="1169"/>
      <c r="W240" s="1169"/>
    </row>
    <row r="241" spans="1:23" s="34" customFormat="1" ht="10.5" customHeight="1">
      <c r="A241" s="532"/>
      <c r="B241" s="484" t="s">
        <v>2451</v>
      </c>
      <c r="C241" s="139" t="s">
        <v>4067</v>
      </c>
      <c r="D241" s="3067"/>
      <c r="E241" s="3068"/>
      <c r="F241" s="3068"/>
      <c r="G241" s="3059"/>
      <c r="H241" s="3069"/>
      <c r="I241" s="1595" t="s">
        <v>2722</v>
      </c>
      <c r="J241" s="3067"/>
      <c r="K241" s="3068"/>
      <c r="L241" s="3068"/>
      <c r="M241" s="3068"/>
      <c r="N241" s="3069"/>
      <c r="O241" s="2118" t="s">
        <v>4069</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4068</v>
      </c>
      <c r="D243" s="3067"/>
      <c r="E243" s="3068"/>
      <c r="F243" s="3068"/>
      <c r="G243" s="3059"/>
      <c r="H243" s="3069"/>
      <c r="I243" s="1595" t="s">
        <v>2722</v>
      </c>
      <c r="J243" s="3067"/>
      <c r="K243" s="3068"/>
      <c r="L243" s="3068"/>
      <c r="M243" s="3068"/>
      <c r="N243" s="3069"/>
      <c r="O243" s="2118" t="s">
        <v>4069</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4070</v>
      </c>
      <c r="D245" s="1096"/>
      <c r="E245" s="1096"/>
      <c r="F245" s="1096"/>
      <c r="G245" s="495" t="s">
        <v>3811</v>
      </c>
      <c r="H245" s="1096"/>
      <c r="I245" s="1096"/>
      <c r="J245" s="1096"/>
      <c r="K245" s="1096"/>
      <c r="L245" s="1096"/>
      <c r="M245" s="1096"/>
      <c r="N245" s="1096"/>
      <c r="O245" s="540" t="s">
        <v>2527</v>
      </c>
      <c r="P245" s="540" t="s">
        <v>2527</v>
      </c>
      <c r="Q245" s="1096"/>
    </row>
    <row r="246" spans="1:23" ht="21.75" customHeight="1">
      <c r="A246" s="532"/>
      <c r="B246" s="1103"/>
      <c r="C246" s="1942" t="s">
        <v>4185</v>
      </c>
      <c r="D246" s="1942"/>
      <c r="E246" s="1942"/>
      <c r="F246" s="1942"/>
      <c r="G246" s="1942"/>
      <c r="H246" s="1942"/>
      <c r="I246" s="1942"/>
      <c r="J246" s="1942"/>
      <c r="K246" s="1942"/>
      <c r="L246" s="1942"/>
      <c r="M246" s="1942"/>
      <c r="N246" s="404" t="s">
        <v>2004</v>
      </c>
      <c r="O246" s="3066"/>
      <c r="P246" s="1262"/>
      <c r="Q246" s="1100"/>
      <c r="V246" s="1169"/>
      <c r="W246" s="1169"/>
    </row>
    <row r="247" spans="1:23" ht="11.25" customHeight="1">
      <c r="A247" s="532"/>
      <c r="B247" s="484" t="s">
        <v>2451</v>
      </c>
      <c r="C247" s="1105" t="s">
        <v>4186</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4184</v>
      </c>
      <c r="D251" s="1591"/>
      <c r="E251" s="1591"/>
      <c r="F251" s="1591"/>
      <c r="G251" s="1591"/>
      <c r="H251" s="1591"/>
      <c r="I251" s="1591"/>
      <c r="J251" s="1591"/>
      <c r="K251" s="1591"/>
      <c r="L251" s="2182" t="s">
        <v>4188</v>
      </c>
      <c r="M251" s="2182"/>
      <c r="N251" s="2183" t="s">
        <v>4189</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4075</v>
      </c>
      <c r="D256" s="2015"/>
      <c r="E256" s="2015"/>
      <c r="F256" s="2015"/>
      <c r="G256" s="2015"/>
      <c r="H256" s="2015"/>
      <c r="I256" s="2015"/>
      <c r="J256" s="2015"/>
      <c r="K256" s="2015"/>
      <c r="L256" s="2015"/>
      <c r="M256" s="2015"/>
      <c r="N256" s="404" t="s">
        <v>2551</v>
      </c>
      <c r="O256" s="2998"/>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49" t="s">
        <v>4077</v>
      </c>
      <c r="D258" s="2049"/>
      <c r="E258" s="2049"/>
      <c r="F258" s="2049"/>
      <c r="G258" s="2049"/>
      <c r="H258" s="2049"/>
      <c r="I258" s="2049"/>
      <c r="J258" s="2049"/>
      <c r="K258" s="2049"/>
      <c r="L258" s="2049"/>
      <c r="M258" s="2049"/>
      <c r="N258" s="404" t="s">
        <v>1236</v>
      </c>
      <c r="O258" s="3070"/>
      <c r="P258" s="1261"/>
      <c r="Q258" s="1100"/>
      <c r="V258" s="1169"/>
      <c r="W258" s="1169"/>
    </row>
    <row r="259" spans="1:23" s="34" customFormat="1" ht="10.5" customHeight="1">
      <c r="A259" s="532"/>
      <c r="B259" s="401" t="s">
        <v>2451</v>
      </c>
      <c r="C259" s="2015" t="s">
        <v>4078</v>
      </c>
      <c r="D259" s="2015"/>
      <c r="E259" s="2015"/>
      <c r="F259" s="2015"/>
      <c r="G259" s="2015"/>
      <c r="H259" s="2015"/>
      <c r="I259" s="2015"/>
      <c r="J259" s="2015"/>
      <c r="K259" s="2015"/>
      <c r="L259" s="2015"/>
      <c r="M259" s="2015"/>
      <c r="N259" s="401" t="s">
        <v>2451</v>
      </c>
      <c r="O259" s="2934"/>
      <c r="P259" s="562"/>
      <c r="Q259" s="1100"/>
      <c r="V259" s="1169"/>
      <c r="W259" s="1169"/>
    </row>
    <row r="260" spans="1:23" s="34" customFormat="1" ht="10.5" customHeight="1">
      <c r="A260" s="532"/>
      <c r="B260" s="401" t="s">
        <v>2452</v>
      </c>
      <c r="C260" s="2015" t="s">
        <v>4079</v>
      </c>
      <c r="D260" s="2015"/>
      <c r="E260" s="2015"/>
      <c r="F260" s="2015"/>
      <c r="G260" s="2015"/>
      <c r="H260" s="2015"/>
      <c r="I260" s="2015"/>
      <c r="J260" s="2015"/>
      <c r="K260" s="2015"/>
      <c r="L260" s="2015"/>
      <c r="M260" s="2015"/>
      <c r="N260" s="401" t="s">
        <v>2452</v>
      </c>
      <c r="O260" s="292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4072</v>
      </c>
      <c r="D262" s="34"/>
      <c r="G262" s="495" t="s">
        <v>3811</v>
      </c>
      <c r="N262" s="28"/>
      <c r="O262" s="540" t="s">
        <v>2527</v>
      </c>
      <c r="P262" s="540" t="s">
        <v>2527</v>
      </c>
      <c r="Q262" s="1099"/>
    </row>
    <row r="263" spans="1:23" ht="21.75" customHeight="1">
      <c r="A263" s="532"/>
      <c r="B263" s="621" t="s">
        <v>2002</v>
      </c>
      <c r="C263" s="1942" t="s">
        <v>4073</v>
      </c>
      <c r="D263" s="1942"/>
      <c r="E263" s="1942"/>
      <c r="F263" s="1942"/>
      <c r="G263" s="1942"/>
      <c r="H263" s="1942"/>
      <c r="I263" s="1942"/>
      <c r="J263" s="1942"/>
      <c r="K263" s="1942"/>
      <c r="L263" s="1942"/>
      <c r="M263" s="1232" t="s">
        <v>2001</v>
      </c>
      <c r="N263" s="404" t="s">
        <v>2002</v>
      </c>
      <c r="O263" s="3070"/>
      <c r="P263" s="1261"/>
      <c r="Q263" s="1099"/>
      <c r="V263" s="1169"/>
      <c r="W263" s="1169"/>
    </row>
    <row r="264" spans="1:23" s="34" customFormat="1" ht="10.5" customHeight="1">
      <c r="A264" s="532"/>
      <c r="B264" s="621" t="s">
        <v>2004</v>
      </c>
      <c r="C264" s="448" t="s">
        <v>4074</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87"/>
    </row>
    <row r="266" spans="1:23" s="44" customFormat="1" ht="21.75" customHeight="1" thickTop="1" thickBot="1">
      <c r="A266" s="2969" t="s">
        <v>4679</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179"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2812</v>
      </c>
      <c r="C273" s="536"/>
      <c r="D273" s="536"/>
      <c r="H273" s="537" t="str">
        <f>'Part I-Project Information'!$H$100</f>
        <v>Flexible</v>
      </c>
      <c r="N273" s="2179"/>
      <c r="O273" s="1297" t="s">
        <v>2527</v>
      </c>
      <c r="P273" s="1297" t="s">
        <v>2527</v>
      </c>
    </row>
    <row r="274" spans="1:21" ht="11.45" customHeight="1">
      <c r="A274" s="2116"/>
      <c r="B274" s="942" t="s">
        <v>2002</v>
      </c>
      <c r="C274" s="454" t="s">
        <v>2702</v>
      </c>
      <c r="E274" s="120"/>
      <c r="M274" s="83"/>
      <c r="N274" s="2179"/>
      <c r="O274" s="2998"/>
      <c r="P274" s="560"/>
      <c r="Q274" s="2176" t="str">
        <f>IF(AND(O274="Yes",O277="Yes"),"Only 1 or 4 can be 'Yes'!","")</f>
        <v/>
      </c>
      <c r="R274" s="2176"/>
    </row>
    <row r="275" spans="1:21" ht="11.45" customHeight="1">
      <c r="B275" s="942" t="s">
        <v>2004</v>
      </c>
      <c r="C275" s="454" t="s">
        <v>2757</v>
      </c>
      <c r="G275" s="103" t="s">
        <v>2405</v>
      </c>
      <c r="H275" s="3071" t="s">
        <v>3804</v>
      </c>
      <c r="I275" s="454" t="s">
        <v>2758</v>
      </c>
      <c r="L275" s="139" t="s">
        <v>2756</v>
      </c>
      <c r="M275" s="944" t="str">
        <f>IF(O275&gt;H275,"CHECK ACTUAL PERCENT!!!","")</f>
        <v/>
      </c>
      <c r="N275" s="181" t="s">
        <v>2004</v>
      </c>
      <c r="O275" s="3072"/>
      <c r="P275" s="1287"/>
      <c r="Q275" s="2176"/>
      <c r="R275" s="2176"/>
    </row>
    <row r="276" spans="1:21" ht="11.45" customHeight="1">
      <c r="B276" s="942" t="s">
        <v>2551</v>
      </c>
      <c r="C276" s="430" t="s">
        <v>2406</v>
      </c>
      <c r="E276" s="120"/>
      <c r="G276" s="103" t="s">
        <v>2407</v>
      </c>
      <c r="L276" s="448" t="s">
        <v>2750</v>
      </c>
      <c r="M276" s="34"/>
      <c r="N276" s="181" t="s">
        <v>2551</v>
      </c>
      <c r="O276" s="3073" t="s">
        <v>203</v>
      </c>
      <c r="P276" s="1357" t="s">
        <v>203</v>
      </c>
      <c r="Q276" s="2176"/>
      <c r="R276" s="2176"/>
    </row>
    <row r="277" spans="1:21" s="406" customFormat="1" ht="11.45" customHeight="1">
      <c r="B277" s="621" t="s">
        <v>1236</v>
      </c>
      <c r="C277" s="1942" t="s">
        <v>4081</v>
      </c>
      <c r="D277" s="1942"/>
      <c r="E277" s="1942"/>
      <c r="F277" s="1942"/>
      <c r="G277" s="1942"/>
      <c r="H277" s="1942"/>
      <c r="I277" s="1942"/>
      <c r="J277" s="2177" t="s">
        <v>4082</v>
      </c>
      <c r="K277" s="2177" t="s">
        <v>4080</v>
      </c>
      <c r="M277" s="1236">
        <v>2</v>
      </c>
      <c r="N277" s="181" t="s">
        <v>1236</v>
      </c>
      <c r="O277" s="3066"/>
      <c r="P277" s="1262"/>
      <c r="Q277" s="2176"/>
      <c r="R277" s="2176"/>
    </row>
    <row r="278" spans="1:21" ht="11.45" customHeight="1">
      <c r="B278" s="389"/>
      <c r="C278" s="1942"/>
      <c r="D278" s="1942"/>
      <c r="E278" s="1942"/>
      <c r="F278" s="1942"/>
      <c r="G278" s="1942"/>
      <c r="H278" s="1942"/>
      <c r="I278" s="1942"/>
      <c r="J278" s="2178"/>
      <c r="K278" s="2178"/>
      <c r="L278" s="2180" t="s">
        <v>4145</v>
      </c>
      <c r="M278" s="2181"/>
      <c r="N278" s="120"/>
    </row>
    <row r="279" spans="1:21" ht="11.45" customHeight="1">
      <c r="B279" s="389"/>
      <c r="C279" s="1942"/>
      <c r="D279" s="1942"/>
      <c r="E279" s="1942"/>
      <c r="F279" s="1942"/>
      <c r="G279" s="1942"/>
      <c r="H279" s="1942"/>
      <c r="I279" s="1942"/>
      <c r="J279" s="3074"/>
      <c r="K279" s="3075"/>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3628</v>
      </c>
      <c r="C281" s="1290"/>
      <c r="D281" s="1290"/>
      <c r="E281" s="1290"/>
      <c r="F281" s="1290"/>
      <c r="G281" s="1290"/>
      <c r="H281" s="1288"/>
      <c r="I281" s="1288"/>
      <c r="O281" s="3076" t="s">
        <v>203</v>
      </c>
      <c r="P281" s="1289" t="s">
        <v>203</v>
      </c>
    </row>
    <row r="282" spans="1:21" ht="11.45" customHeight="1">
      <c r="A282" s="539" t="s">
        <v>2131</v>
      </c>
      <c r="B282" s="942" t="s">
        <v>3626</v>
      </c>
      <c r="C282" s="430"/>
      <c r="E282" s="120"/>
      <c r="G282" s="495" t="s">
        <v>3627</v>
      </c>
      <c r="H282" s="943">
        <f>'Part VI-Revenues &amp; Expenses'!$O$59</f>
        <v>12</v>
      </c>
      <c r="I282" s="1097" t="s">
        <v>3630</v>
      </c>
      <c r="J282" s="943">
        <f>'Part VI-Revenues &amp; Expenses'!$O$62</f>
        <v>76</v>
      </c>
      <c r="K282" s="1097" t="s">
        <v>3631</v>
      </c>
      <c r="L282" s="945">
        <f>IF(J282=0,0,H282/J282)</f>
        <v>0.15789473684210525</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4084</v>
      </c>
      <c r="C286" s="95"/>
      <c r="D286" s="60"/>
      <c r="E286" s="60"/>
      <c r="H286" s="179"/>
      <c r="I286" s="447" t="s">
        <v>3827</v>
      </c>
      <c r="M286" s="1584">
        <v>10</v>
      </c>
      <c r="N286" s="7"/>
      <c r="O286" s="1194">
        <f>IF(OR(O287="Yes",O288="Yes"),$M$286,0)</f>
        <v>0</v>
      </c>
      <c r="P286" s="1194">
        <f>IF(OR(P287="Yes",P288="Yes"),$M$286,0)</f>
        <v>0</v>
      </c>
      <c r="Q286" s="112" t="s">
        <v>443</v>
      </c>
      <c r="R286" s="44"/>
    </row>
    <row r="287" spans="1:21" ht="11.25" customHeight="1">
      <c r="A287" s="1585" t="s">
        <v>1999</v>
      </c>
      <c r="B287" s="1238" t="s">
        <v>3818</v>
      </c>
      <c r="D287" s="655"/>
      <c r="E287" s="655"/>
      <c r="F287" s="655"/>
      <c r="G287" s="655"/>
      <c r="H287" s="655"/>
      <c r="I287" s="655"/>
      <c r="J287" s="655"/>
      <c r="K287" s="655"/>
      <c r="L287" s="1105"/>
      <c r="M287" s="2081" t="str">
        <f>IF(OR(SUM(T287:T288)&gt;1,SUM(U287:U288)&gt;1),"Only one category can be met by other means!","")</f>
        <v/>
      </c>
      <c r="N287" s="484" t="s">
        <v>1999</v>
      </c>
      <c r="O287" s="2928"/>
      <c r="P287" s="561"/>
      <c r="U287" s="1355">
        <f>IF(L287="Yes",1,0)</f>
        <v>0</v>
      </c>
    </row>
    <row r="288" spans="1:21" ht="11.25" customHeight="1">
      <c r="A288" s="1585" t="s">
        <v>2001</v>
      </c>
      <c r="B288" s="1238" t="s">
        <v>3819</v>
      </c>
      <c r="D288" s="655"/>
      <c r="L288" s="1105"/>
      <c r="M288" s="2081"/>
      <c r="N288" s="484" t="s">
        <v>2001</v>
      </c>
      <c r="O288" s="2927"/>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87"/>
    </row>
    <row r="290" spans="1:27" s="44" customFormat="1" ht="21.75" customHeight="1" thickTop="1" thickBot="1">
      <c r="A290" s="2931" t="s">
        <v>4679</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4085</v>
      </c>
      <c r="D295" s="34"/>
      <c r="E295" s="34"/>
      <c r="F295" s="34"/>
      <c r="H295" s="89" t="s">
        <v>3708</v>
      </c>
      <c r="I295" s="446"/>
      <c r="J295" s="2040" t="str">
        <f>'Part I-Project Information'!$O$34</f>
        <v>Yes - no Master Plan</v>
      </c>
      <c r="K295" s="2040"/>
      <c r="L295" s="995" t="str">
        <f>'Part I-Project Information'!$O$35</f>
        <v>12-057</v>
      </c>
      <c r="M295" s="75">
        <v>3</v>
      </c>
      <c r="N295" s="484" t="s">
        <v>1999</v>
      </c>
      <c r="O295" s="2962">
        <v>3</v>
      </c>
      <c r="P295" s="912"/>
      <c r="Q295" s="1090" t="str">
        <f>IF(OR($O295=$M295,$O295=0,$O295=""),"","*CHECK!*")</f>
        <v/>
      </c>
      <c r="R295" s="1192" t="s">
        <v>2724</v>
      </c>
    </row>
    <row r="296" spans="1:27" s="103" customFormat="1" ht="21.75" customHeight="1">
      <c r="B296" s="621" t="s">
        <v>2002</v>
      </c>
      <c r="C296" s="2049" t="s">
        <v>4245</v>
      </c>
      <c r="D296" s="2049"/>
      <c r="E296" s="2049"/>
      <c r="F296" s="2049"/>
      <c r="G296" s="2049"/>
      <c r="H296" s="2049"/>
      <c r="I296" s="2049"/>
      <c r="J296" s="2049"/>
      <c r="K296" s="2049"/>
      <c r="L296" s="2049"/>
      <c r="M296" s="2049"/>
      <c r="N296" s="404" t="s">
        <v>2002</v>
      </c>
      <c r="O296" s="3077" t="s">
        <v>3010</v>
      </c>
      <c r="P296" s="1241"/>
      <c r="Q296" s="2082" t="s">
        <v>4246</v>
      </c>
      <c r="R296" s="2049"/>
      <c r="S296" s="2049"/>
      <c r="T296" s="2049"/>
      <c r="U296" s="2049"/>
      <c r="V296" s="2049"/>
      <c r="W296" s="2049"/>
      <c r="X296" s="2049"/>
      <c r="Y296" s="2049"/>
      <c r="Z296" s="2049"/>
      <c r="AA296" s="1098"/>
    </row>
    <row r="297" spans="1:27" s="121" customFormat="1" ht="10.5" customHeight="1">
      <c r="B297" s="942"/>
      <c r="C297" s="139" t="s">
        <v>3833</v>
      </c>
      <c r="H297" s="448" t="s">
        <v>2600</v>
      </c>
      <c r="I297" s="3078" t="s">
        <v>4594</v>
      </c>
      <c r="J297" s="448" t="s">
        <v>2317</v>
      </c>
      <c r="K297" s="3079" t="s">
        <v>4666</v>
      </c>
      <c r="L297" s="3080"/>
      <c r="M297" s="3080"/>
      <c r="N297" s="3080"/>
      <c r="O297" s="3080"/>
      <c r="P297" s="3081"/>
    </row>
    <row r="298" spans="1:27" s="121" customFormat="1" ht="10.5" customHeight="1">
      <c r="B298" s="942"/>
      <c r="C298" s="139" t="s">
        <v>3888</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t="s">
        <v>3010</v>
      </c>
      <c r="P299" s="1005"/>
    </row>
    <row r="300" spans="1:27" s="121" customFormat="1" ht="10.5" customHeight="1">
      <c r="B300" s="942" t="s">
        <v>2551</v>
      </c>
      <c r="C300" s="121" t="s">
        <v>973</v>
      </c>
      <c r="M300" s="7"/>
      <c r="N300" s="181" t="s">
        <v>2551</v>
      </c>
      <c r="O300" s="2934" t="s">
        <v>3013</v>
      </c>
      <c r="P300" s="562"/>
    </row>
    <row r="301" spans="1:27" s="121" customFormat="1" ht="10.5" customHeight="1">
      <c r="A301" s="532"/>
      <c r="B301" s="942" t="s">
        <v>1236</v>
      </c>
      <c r="C301" s="121" t="s">
        <v>974</v>
      </c>
      <c r="M301" s="7"/>
      <c r="N301" s="181" t="s">
        <v>1236</v>
      </c>
      <c r="O301" s="2927" t="s">
        <v>3010</v>
      </c>
      <c r="P301" s="563"/>
    </row>
    <row r="302" spans="1:27" s="34" customFormat="1" ht="10.5" customHeight="1">
      <c r="A302" s="1585" t="s">
        <v>2001</v>
      </c>
      <c r="B302" s="184" t="s">
        <v>4086</v>
      </c>
      <c r="D302" s="620"/>
      <c r="H302" s="62" t="s">
        <v>3413</v>
      </c>
    </row>
    <row r="303" spans="1:27" s="34" customFormat="1" ht="10.5" customHeight="1">
      <c r="A303" s="1585"/>
      <c r="B303" s="947" t="s">
        <v>3632</v>
      </c>
      <c r="D303" s="620"/>
      <c r="H303" s="62"/>
      <c r="M303" s="616">
        <v>3</v>
      </c>
      <c r="N303" s="484" t="s">
        <v>2001</v>
      </c>
      <c r="O303" s="950">
        <f>IF($L$294="Flexible", MIN($M$303, SUM(O304:O305)), 0)</f>
        <v>2</v>
      </c>
      <c r="P303" s="950">
        <f>IF($L$294="Flexible", MIN($M$303, SUM(P304:P305)), 0)</f>
        <v>0</v>
      </c>
    </row>
    <row r="304" spans="1:27" s="34" customFormat="1" ht="10.5" customHeight="1">
      <c r="B304" s="942" t="s">
        <v>2002</v>
      </c>
      <c r="C304" s="618" t="s">
        <v>4088</v>
      </c>
      <c r="L304" s="391" t="str">
        <f>IF(OR($O304=$M304,$O304=0,$O304=""),"","* * Check Score! * *")</f>
        <v/>
      </c>
      <c r="M304" s="75">
        <v>3</v>
      </c>
      <c r="N304" s="450" t="s">
        <v>2002</v>
      </c>
      <c r="O304" s="2966"/>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967">
        <v>2</v>
      </c>
      <c r="P305" s="557"/>
      <c r="Q305" s="1090" t="str">
        <f>IF(OR($O305=$M305,$O305=0,$O305=""),"","*CHECK!*")</f>
        <v/>
      </c>
      <c r="R305" s="1192" t="s">
        <v>2724</v>
      </c>
    </row>
    <row r="306" spans="1:21" s="34" customFormat="1" ht="10.5" customHeight="1">
      <c r="A306" s="1585" t="s">
        <v>757</v>
      </c>
      <c r="B306" s="184" t="s">
        <v>4087</v>
      </c>
      <c r="D306" s="620"/>
      <c r="H306" s="62" t="s">
        <v>4090</v>
      </c>
    </row>
    <row r="307" spans="1:21" s="34" customFormat="1" ht="10.5" customHeight="1">
      <c r="A307" s="1585"/>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120" t="str">
        <f>IF(OR(AND(O308&gt;0,O310&gt;0), AND(O309&gt;0,O310&gt;0), AND(O308&gt;0,O309&gt;0)),"Choose option 1 or 2 or 3!!!","")</f>
        <v/>
      </c>
      <c r="L308" s="2120"/>
      <c r="M308" s="75">
        <v>4</v>
      </c>
      <c r="N308" s="450" t="s">
        <v>2002</v>
      </c>
      <c r="O308" s="2966"/>
      <c r="P308" s="555"/>
      <c r="Q308" s="1090" t="str">
        <f>IF(OR($O308=$M308,$O308=0,$O308=""),"","*CHECK!*")</f>
        <v/>
      </c>
      <c r="R308" s="1192" t="s">
        <v>2724</v>
      </c>
    </row>
    <row r="309" spans="1:21" ht="10.5" customHeight="1">
      <c r="A309" s="619" t="s">
        <v>1365</v>
      </c>
      <c r="B309" s="621" t="s">
        <v>2004</v>
      </c>
      <c r="C309" s="618" t="s">
        <v>4089</v>
      </c>
      <c r="D309" s="34"/>
      <c r="E309" s="34"/>
      <c r="F309" s="34"/>
      <c r="G309" s="41"/>
      <c r="H309" s="949"/>
      <c r="I309" s="41"/>
      <c r="K309" s="2120"/>
      <c r="L309" s="2120"/>
      <c r="M309" s="83">
        <v>3</v>
      </c>
      <c r="N309" s="948" t="s">
        <v>2004</v>
      </c>
      <c r="O309" s="3086"/>
      <c r="P309" s="556"/>
      <c r="Q309" s="1090" t="str">
        <f>IF(OR($O309=$M309,$O309=0,$O309=""),"","*CHECK!*")</f>
        <v/>
      </c>
      <c r="R309" s="1192" t="s">
        <v>2724</v>
      </c>
    </row>
    <row r="310" spans="1:21" ht="10.5" customHeight="1">
      <c r="A310" s="619" t="s">
        <v>1365</v>
      </c>
      <c r="B310" s="621" t="s">
        <v>2551</v>
      </c>
      <c r="C310" s="455" t="s">
        <v>3636</v>
      </c>
      <c r="D310" s="34"/>
      <c r="E310" s="34"/>
      <c r="F310" s="34"/>
      <c r="G310" s="41"/>
      <c r="H310" s="62"/>
      <c r="I310" s="41"/>
      <c r="K310" s="2120"/>
      <c r="L310" s="2120"/>
      <c r="M310" s="83">
        <v>2</v>
      </c>
      <c r="N310" s="948" t="s">
        <v>2551</v>
      </c>
      <c r="O310" s="2967"/>
      <c r="P310" s="557"/>
      <c r="Q310" s="1090" t="str">
        <f>IF(OR($O310=$M310,$O310=0,$O310=""),"","*CHECK!*")</f>
        <v/>
      </c>
      <c r="R310" s="1192" t="s">
        <v>2724</v>
      </c>
    </row>
    <row r="311" spans="1:21" s="44" customFormat="1" ht="10.5" customHeight="1" thickBot="1">
      <c r="A311" s="43"/>
      <c r="B311" s="1332" t="s">
        <v>3779</v>
      </c>
      <c r="C311" s="43"/>
      <c r="D311" s="49"/>
      <c r="E311" s="49"/>
      <c r="F311" s="49"/>
      <c r="G311" s="49"/>
      <c r="H311" s="37"/>
      <c r="I311" s="37"/>
      <c r="J311" s="37"/>
      <c r="K311" s="37"/>
      <c r="M311" s="47"/>
      <c r="N311" s="63"/>
      <c r="O311" s="3"/>
      <c r="P311" s="1587"/>
    </row>
    <row r="312" spans="1:21" s="44" customFormat="1" ht="21.75" customHeight="1" thickTop="1" thickBot="1">
      <c r="A312" s="2931" t="s">
        <v>4681</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4091</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4092</v>
      </c>
      <c r="C324" s="90"/>
      <c r="D324" s="59"/>
      <c r="E324" s="53"/>
      <c r="G324" s="56"/>
      <c r="M324" s="1584">
        <v>2</v>
      </c>
      <c r="N324" s="6"/>
      <c r="O324" s="6"/>
      <c r="P324" s="1247">
        <f>P325+P330</f>
        <v>0</v>
      </c>
      <c r="Q324" s="112" t="s">
        <v>443</v>
      </c>
    </row>
    <row r="325" spans="1:18" s="44" customFormat="1" ht="12" customHeight="1">
      <c r="A325" s="143" t="s">
        <v>2001</v>
      </c>
      <c r="B325" s="172" t="s">
        <v>4093</v>
      </c>
      <c r="C325" s="90"/>
      <c r="D325" s="59"/>
      <c r="E325" s="53"/>
      <c r="G325" s="508" t="str">
        <f>'Part VIII-Threshold Criteria'!I357</f>
        <v>Beverly J. Searles Foundation</v>
      </c>
      <c r="J325" s="41" t="s">
        <v>2703</v>
      </c>
      <c r="L325" s="37"/>
      <c r="O325" s="483" t="str">
        <f>'Part I-Project Information'!$H$96</f>
        <v>Yes</v>
      </c>
      <c r="P325" s="558"/>
      <c r="Q325" s="112"/>
    </row>
    <row r="326" spans="1:18" s="105" customFormat="1" ht="10.5" customHeight="1">
      <c r="A326" s="143"/>
      <c r="B326" s="389" t="s">
        <v>2002</v>
      </c>
      <c r="C326" s="37" t="s">
        <v>3482</v>
      </c>
      <c r="D326" s="34"/>
      <c r="N326" s="450" t="s">
        <v>2002</v>
      </c>
      <c r="O326" s="2928" t="s">
        <v>3010</v>
      </c>
      <c r="P326" s="561"/>
      <c r="R326" s="391"/>
    </row>
    <row r="327" spans="1:18" s="105" customFormat="1" ht="10.5" customHeight="1">
      <c r="A327" s="143"/>
      <c r="B327" s="389" t="s">
        <v>2004</v>
      </c>
      <c r="C327" s="37" t="s">
        <v>4112</v>
      </c>
      <c r="D327" s="34"/>
      <c r="N327" s="948" t="s">
        <v>2004</v>
      </c>
      <c r="O327" s="2934" t="s">
        <v>3010</v>
      </c>
      <c r="P327" s="562"/>
      <c r="R327" s="391"/>
    </row>
    <row r="328" spans="1:18" s="105" customFormat="1" ht="10.5" customHeight="1">
      <c r="A328" s="143"/>
      <c r="B328" s="389" t="s">
        <v>2551</v>
      </c>
      <c r="C328" s="37" t="s">
        <v>4111</v>
      </c>
      <c r="D328" s="34"/>
      <c r="N328" s="948" t="s">
        <v>2551</v>
      </c>
      <c r="O328" s="2934" t="s">
        <v>3010</v>
      </c>
      <c r="P328" s="562"/>
      <c r="R328" s="391"/>
    </row>
    <row r="329" spans="1:18" s="105" customFormat="1" ht="10.5" customHeight="1">
      <c r="A329" s="143"/>
      <c r="B329" s="389" t="s">
        <v>1236</v>
      </c>
      <c r="C329" s="37" t="s">
        <v>4113</v>
      </c>
      <c r="D329" s="34"/>
      <c r="N329" s="948" t="s">
        <v>1236</v>
      </c>
      <c r="O329" s="2927" t="s">
        <v>3010</v>
      </c>
      <c r="P329" s="563"/>
      <c r="R329" s="391"/>
    </row>
    <row r="330" spans="1:18" s="44" customFormat="1" ht="12" customHeight="1">
      <c r="A330" s="143" t="s">
        <v>1999</v>
      </c>
      <c r="B330" s="172" t="s">
        <v>4094</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928"/>
      <c r="P331" s="561"/>
      <c r="Q331" s="112"/>
    </row>
    <row r="332" spans="1:18" s="105" customFormat="1" ht="10.5" customHeight="1">
      <c r="A332" s="143"/>
      <c r="B332" s="389" t="s">
        <v>2004</v>
      </c>
      <c r="C332" s="37" t="s">
        <v>4125</v>
      </c>
      <c r="D332" s="34"/>
      <c r="N332" s="948" t="s">
        <v>2004</v>
      </c>
      <c r="O332" s="2934"/>
      <c r="P332" s="562"/>
      <c r="R332" s="391"/>
    </row>
    <row r="333" spans="1:18" s="105" customFormat="1" ht="10.5" customHeight="1">
      <c r="A333" s="143"/>
      <c r="B333" s="389" t="s">
        <v>2551</v>
      </c>
      <c r="C333" s="37" t="s">
        <v>4113</v>
      </c>
      <c r="D333" s="34"/>
      <c r="N333" s="948" t="s">
        <v>2551</v>
      </c>
      <c r="O333" s="292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4095</v>
      </c>
      <c r="H337" s="37" t="s">
        <v>3600</v>
      </c>
      <c r="I337" s="1609" t="str">
        <f>'Part I-Project Information'!$H$100</f>
        <v>Flexible</v>
      </c>
      <c r="J337" s="1601"/>
      <c r="L337" s="391" t="str">
        <f>IF(OR($O337=$M337,$O337=0,$O337=""),"","* * Check Score! * *")</f>
        <v/>
      </c>
      <c r="M337" s="1584">
        <v>1</v>
      </c>
      <c r="N337" s="410"/>
      <c r="O337" s="3088">
        <v>1</v>
      </c>
      <c r="P337" s="1250"/>
      <c r="Q337" s="112" t="s">
        <v>443</v>
      </c>
      <c r="R337" s="1192" t="s">
        <v>2724</v>
      </c>
    </row>
    <row r="338" spans="1:18" s="64" customFormat="1" ht="12" customHeight="1">
      <c r="A338" s="1892" t="s">
        <v>4193</v>
      </c>
      <c r="B338" s="1892"/>
      <c r="C338" s="1892"/>
      <c r="D338" s="1892"/>
      <c r="E338" s="1892"/>
      <c r="F338" s="1892"/>
      <c r="G338" s="1892"/>
      <c r="H338" s="1892"/>
      <c r="I338" s="2039" t="s">
        <v>4194</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89" t="s">
        <v>4603</v>
      </c>
      <c r="J339" s="3089"/>
      <c r="K339" s="3089"/>
      <c r="L339" s="3089">
        <v>3</v>
      </c>
      <c r="M339" s="3089"/>
      <c r="N339" s="3089"/>
      <c r="O339" s="3089"/>
      <c r="P339" s="3089"/>
      <c r="R339" s="391"/>
    </row>
    <row r="340" spans="1:18" s="64" customFormat="1" ht="12" customHeight="1">
      <c r="A340" s="1892"/>
      <c r="B340" s="1892"/>
      <c r="C340" s="1892"/>
      <c r="D340" s="1892"/>
      <c r="E340" s="1892"/>
      <c r="F340" s="1892"/>
      <c r="G340" s="1892"/>
      <c r="H340" s="1892"/>
      <c r="I340" s="3090">
        <v>2</v>
      </c>
      <c r="J340" s="3090"/>
      <c r="K340" s="3090"/>
      <c r="L340" s="3090">
        <v>4</v>
      </c>
      <c r="M340" s="3090"/>
      <c r="N340" s="3090"/>
      <c r="O340" s="3090"/>
      <c r="P340" s="3090"/>
      <c r="R340" s="391"/>
    </row>
    <row r="341" spans="1:18" s="105" customFormat="1" ht="10.5" customHeight="1" thickBot="1">
      <c r="A341" s="43"/>
      <c r="B341" s="1332" t="s">
        <v>3779</v>
      </c>
      <c r="C341" s="43"/>
      <c r="D341" s="49"/>
      <c r="E341" s="49"/>
      <c r="F341" s="49"/>
      <c r="G341" s="49"/>
      <c r="H341" s="37"/>
      <c r="I341" s="37"/>
      <c r="J341" s="37"/>
      <c r="K341" s="37"/>
      <c r="M341" s="47"/>
      <c r="N341" s="6"/>
      <c r="O341" s="3"/>
      <c r="P341" s="1584"/>
    </row>
    <row r="342" spans="1:18" s="44" customFormat="1" ht="21.75" customHeight="1" thickTop="1" thickBot="1">
      <c r="A342" s="2931" t="s">
        <v>4667</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4149</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972">
        <v>1</v>
      </c>
      <c r="P347" s="1231"/>
      <c r="Q347" s="1090" t="str">
        <f>IF(OR($O347=$M347,$O347=0,$O347=""),"","*CHECK!*")</f>
        <v/>
      </c>
      <c r="R347" s="1192" t="s">
        <v>2724</v>
      </c>
    </row>
    <row r="348" spans="1:18" s="44" customFormat="1" ht="11.25" customHeight="1">
      <c r="B348" s="41" t="s">
        <v>4099</v>
      </c>
      <c r="D348" s="105"/>
      <c r="E348" s="91"/>
      <c r="F348" s="53"/>
      <c r="G348" s="53"/>
      <c r="H348" s="3091" t="s">
        <v>1233</v>
      </c>
      <c r="I348" s="3060"/>
      <c r="J348" s="3060"/>
      <c r="K348" s="3092"/>
      <c r="N348" s="484" t="s">
        <v>1999</v>
      </c>
      <c r="O348" s="1297" t="s">
        <v>2527</v>
      </c>
      <c r="P348" s="1297" t="s">
        <v>2527</v>
      </c>
    </row>
    <row r="349" spans="1:18" s="121" customFormat="1" ht="10.5" customHeight="1">
      <c r="B349" s="450" t="s">
        <v>2002</v>
      </c>
      <c r="C349" s="448" t="s">
        <v>4096</v>
      </c>
      <c r="N349" s="450" t="s">
        <v>2002</v>
      </c>
      <c r="O349" s="2928" t="s">
        <v>3010</v>
      </c>
      <c r="P349" s="561"/>
    </row>
    <row r="350" spans="1:18" s="121" customFormat="1" ht="10.5" customHeight="1">
      <c r="B350" s="450" t="s">
        <v>2004</v>
      </c>
      <c r="C350" s="448" t="s">
        <v>4097</v>
      </c>
      <c r="N350" s="450" t="s">
        <v>2004</v>
      </c>
      <c r="O350" s="2934" t="s">
        <v>3010</v>
      </c>
      <c r="P350" s="562"/>
    </row>
    <row r="351" spans="1:18" s="121" customFormat="1" ht="10.5" customHeight="1">
      <c r="B351" s="450" t="s">
        <v>2551</v>
      </c>
      <c r="C351" s="448" t="s">
        <v>4098</v>
      </c>
      <c r="N351" s="450" t="s">
        <v>2551</v>
      </c>
      <c r="O351" s="2927" t="s">
        <v>3010</v>
      </c>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9" t="s">
        <v>3508</v>
      </c>
      <c r="I354" s="2079"/>
      <c r="J354" s="2079"/>
      <c r="K354" s="2079"/>
      <c r="L354" s="2079"/>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3642</v>
      </c>
      <c r="C356" s="953" t="str">
        <f>'Part I-Project Information'!$F$38</f>
        <v>Gainesville</v>
      </c>
      <c r="E356" s="139" t="s">
        <v>3507</v>
      </c>
      <c r="F356" s="953" t="str">
        <f>'Part I-Project Information'!$J$39</f>
        <v>Hall</v>
      </c>
      <c r="H356" s="448" t="s">
        <v>455</v>
      </c>
      <c r="I356" s="910" t="str">
        <f>'Part I-Project Information'!$N$39</f>
        <v>Yes</v>
      </c>
      <c r="K356" s="448" t="s">
        <v>3641</v>
      </c>
      <c r="L356" s="2058" t="str">
        <f>'Part I-Project Information'!$O$38</f>
        <v>23580-13-139-0008.00</v>
      </c>
      <c r="M356" s="2058"/>
      <c r="N356" s="2058"/>
      <c r="O356" s="2058"/>
      <c r="P356" s="2058"/>
    </row>
    <row r="357" spans="1:19" s="105" customFormat="1" ht="10.5" customHeight="1" thickBot="1">
      <c r="A357" s="43"/>
      <c r="B357" s="1332" t="s">
        <v>3779</v>
      </c>
      <c r="C357" s="43"/>
      <c r="D357" s="49"/>
      <c r="E357" s="49"/>
      <c r="F357" s="49"/>
      <c r="G357" s="49"/>
      <c r="H357" s="37"/>
      <c r="I357" s="37"/>
      <c r="J357" s="37"/>
      <c r="K357" s="37"/>
      <c r="M357" s="47"/>
      <c r="N357" s="6"/>
      <c r="O357" s="3"/>
      <c r="P357" s="1584"/>
    </row>
    <row r="358" spans="1:19" s="44" customFormat="1" ht="21.75" customHeight="1" thickTop="1" thickBot="1">
      <c r="A358" s="2931" t="s">
        <v>4668</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4150</v>
      </c>
      <c r="B362" s="108" t="s">
        <v>4102</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Unmet criterion results in no points!</v>
      </c>
      <c r="M364" s="2080"/>
      <c r="N364" s="390" t="s">
        <v>2451</v>
      </c>
      <c r="O364" s="2928"/>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3836</v>
      </c>
      <c r="L365" s="2080"/>
      <c r="M365" s="2080"/>
      <c r="N365" s="402" t="s">
        <v>2452</v>
      </c>
      <c r="O365" s="2934"/>
      <c r="P365" s="562"/>
      <c r="R365" s="2078"/>
      <c r="S365" s="2078"/>
    </row>
    <row r="366" spans="1:19" s="103" customFormat="1" ht="10.5" customHeight="1">
      <c r="B366" s="390" t="s">
        <v>2453</v>
      </c>
      <c r="C366" s="446" t="s">
        <v>3835</v>
      </c>
      <c r="L366" s="2080"/>
      <c r="M366" s="2080"/>
      <c r="N366" s="390" t="s">
        <v>2453</v>
      </c>
      <c r="O366" s="2934"/>
      <c r="P366" s="562"/>
      <c r="R366" s="2078"/>
      <c r="S366" s="2078"/>
    </row>
    <row r="367" spans="1:19" s="103" customFormat="1" ht="29.25" customHeight="1">
      <c r="B367" s="402" t="s">
        <v>2454</v>
      </c>
      <c r="C367" s="2015" t="s">
        <v>4103</v>
      </c>
      <c r="D367" s="2015"/>
      <c r="E367" s="2015"/>
      <c r="F367" s="2015"/>
      <c r="G367" s="2015"/>
      <c r="H367" s="2015"/>
      <c r="I367" s="2015"/>
      <c r="J367" s="2015"/>
      <c r="K367" s="2015"/>
      <c r="L367" s="2015"/>
      <c r="M367" s="2015"/>
      <c r="N367" s="402" t="s">
        <v>2454</v>
      </c>
      <c r="O367" s="3093"/>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4104</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49" t="s">
        <v>4105</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3094"/>
      <c r="K371" s="3095"/>
      <c r="L371" s="390" t="s">
        <v>2451</v>
      </c>
      <c r="M371" s="2089"/>
      <c r="N371" s="2090"/>
      <c r="O371" s="2090"/>
      <c r="P371" s="2091"/>
      <c r="R371" s="391"/>
    </row>
    <row r="372" spans="1:18" ht="10.5" customHeight="1">
      <c r="A372" s="183"/>
      <c r="B372" s="402" t="s">
        <v>2452</v>
      </c>
      <c r="C372" s="37" t="s">
        <v>3646</v>
      </c>
      <c r="I372" s="402" t="s">
        <v>2452</v>
      </c>
      <c r="J372" s="3096"/>
      <c r="K372" s="3097"/>
      <c r="L372" s="402" t="s">
        <v>2452</v>
      </c>
      <c r="M372" s="2036"/>
      <c r="N372" s="2037"/>
      <c r="O372" s="2037"/>
      <c r="P372" s="2038"/>
      <c r="R372" s="391"/>
    </row>
    <row r="373" spans="1:18" ht="10.5" customHeight="1">
      <c r="B373" s="390" t="s">
        <v>2453</v>
      </c>
      <c r="C373" s="37" t="s">
        <v>2643</v>
      </c>
      <c r="I373" s="390" t="s">
        <v>2453</v>
      </c>
      <c r="J373" s="3096"/>
      <c r="K373" s="3097"/>
      <c r="L373" s="390" t="s">
        <v>2453</v>
      </c>
      <c r="M373" s="2036"/>
      <c r="N373" s="2037"/>
      <c r="O373" s="2037"/>
      <c r="P373" s="2038"/>
      <c r="R373" s="391"/>
    </row>
    <row r="374" spans="1:18" ht="10.5" customHeight="1">
      <c r="A374" s="183"/>
      <c r="B374" s="390" t="s">
        <v>2454</v>
      </c>
      <c r="C374" s="37" t="s">
        <v>3483</v>
      </c>
      <c r="I374" s="390" t="s">
        <v>2454</v>
      </c>
      <c r="J374" s="3096"/>
      <c r="K374" s="3097"/>
      <c r="L374" s="390" t="s">
        <v>2454</v>
      </c>
      <c r="M374" s="2036"/>
      <c r="N374" s="2037"/>
      <c r="O374" s="2037"/>
      <c r="P374" s="2038"/>
      <c r="R374" s="391"/>
    </row>
    <row r="375" spans="1:18" s="44" customFormat="1" ht="10.5" customHeight="1">
      <c r="A375" s="182"/>
      <c r="B375" s="402" t="s">
        <v>2455</v>
      </c>
      <c r="C375" s="37" t="s">
        <v>2749</v>
      </c>
      <c r="I375" s="402" t="s">
        <v>2455</v>
      </c>
      <c r="J375" s="3096"/>
      <c r="K375" s="3097"/>
      <c r="L375" s="402" t="s">
        <v>2455</v>
      </c>
      <c r="M375" s="2036"/>
      <c r="N375" s="2037"/>
      <c r="O375" s="2037"/>
      <c r="P375" s="2038"/>
      <c r="R375" s="391"/>
    </row>
    <row r="376" spans="1:18" ht="10.5" customHeight="1">
      <c r="B376" s="390" t="s">
        <v>2471</v>
      </c>
      <c r="C376" s="37" t="s">
        <v>1493</v>
      </c>
      <c r="I376" s="390" t="s">
        <v>2471</v>
      </c>
      <c r="J376" s="3096"/>
      <c r="K376" s="3097"/>
      <c r="L376" s="390" t="s">
        <v>2471</v>
      </c>
      <c r="M376" s="2036"/>
      <c r="N376" s="2037"/>
      <c r="O376" s="2037"/>
      <c r="P376" s="2038"/>
      <c r="R376" s="391"/>
    </row>
    <row r="377" spans="1:18" ht="10.5" customHeight="1">
      <c r="A377" s="183"/>
      <c r="B377" s="390" t="s">
        <v>2472</v>
      </c>
      <c r="C377" s="37" t="s">
        <v>3644</v>
      </c>
      <c r="I377" s="390" t="s">
        <v>2472</v>
      </c>
      <c r="J377" s="3096"/>
      <c r="K377" s="3097"/>
      <c r="L377" s="390" t="s">
        <v>2472</v>
      </c>
      <c r="M377" s="2036"/>
      <c r="N377" s="2037"/>
      <c r="O377" s="2037"/>
      <c r="P377" s="2038"/>
      <c r="R377" s="391"/>
    </row>
    <row r="378" spans="1:18" ht="10.5" customHeight="1">
      <c r="A378" s="183"/>
      <c r="B378" s="401" t="s">
        <v>2473</v>
      </c>
      <c r="C378" s="37" t="s">
        <v>4108</v>
      </c>
      <c r="I378" s="401" t="s">
        <v>2473</v>
      </c>
      <c r="J378" s="3096"/>
      <c r="K378" s="3097"/>
      <c r="L378" s="401" t="s">
        <v>2473</v>
      </c>
      <c r="M378" s="2036"/>
      <c r="N378" s="2037"/>
      <c r="O378" s="2037"/>
      <c r="P378" s="2038"/>
      <c r="R378" s="391"/>
    </row>
    <row r="379" spans="1:18" ht="10.5" customHeight="1">
      <c r="B379" s="401" t="s">
        <v>2474</v>
      </c>
      <c r="C379" s="37" t="s">
        <v>3645</v>
      </c>
      <c r="I379" s="401" t="s">
        <v>2474</v>
      </c>
      <c r="J379" s="3096"/>
      <c r="K379" s="3097"/>
      <c r="L379" s="401" t="s">
        <v>2474</v>
      </c>
      <c r="M379" s="2036"/>
      <c r="N379" s="2037"/>
      <c r="O379" s="2037"/>
      <c r="P379" s="2038"/>
      <c r="R379" s="391"/>
    </row>
    <row r="380" spans="1:18" ht="10.5" customHeight="1" thickBot="1">
      <c r="B380" s="401" t="s">
        <v>3647</v>
      </c>
      <c r="C380" s="37" t="s">
        <v>4187</v>
      </c>
      <c r="I380" s="401" t="s">
        <v>3647</v>
      </c>
      <c r="J380" s="3096"/>
      <c r="K380" s="3097"/>
      <c r="L380" s="401" t="s">
        <v>3647</v>
      </c>
      <c r="M380" s="2027"/>
      <c r="N380" s="2028"/>
      <c r="O380" s="2028"/>
      <c r="P380" s="2029"/>
      <c r="R380" s="391"/>
    </row>
    <row r="381" spans="1:18" ht="10.5" customHeight="1" thickBot="1">
      <c r="A381" s="183"/>
      <c r="B381" s="1295" t="s">
        <v>4109</v>
      </c>
      <c r="H381" s="1331" t="s">
        <v>2645</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066">
        <f>'Part IV-A-Uses of Funds'!$G$132</f>
        <v>13541444</v>
      </c>
      <c r="K383" s="2067"/>
      <c r="M383" s="526"/>
      <c r="N383" s="526"/>
      <c r="O383" s="164"/>
      <c r="P383" s="526"/>
    </row>
    <row r="384" spans="1:18" ht="10.5" customHeight="1">
      <c r="A384" s="2033" t="s">
        <v>4299</v>
      </c>
      <c r="B384" s="2033"/>
      <c r="C384" s="2033"/>
      <c r="D384" s="2033"/>
      <c r="E384" s="453" t="s">
        <v>2647</v>
      </c>
      <c r="H384" s="3099"/>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4298</v>
      </c>
      <c r="H385" s="3100"/>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892" t="s">
        <v>4106</v>
      </c>
      <c r="D388" s="1892"/>
      <c r="E388" s="1892"/>
      <c r="F388" s="1892"/>
      <c r="G388" s="1892"/>
      <c r="H388" s="1892"/>
      <c r="I388" s="1892"/>
      <c r="J388" s="1892"/>
      <c r="K388" s="1892"/>
      <c r="L388" s="1892"/>
      <c r="M388" s="1892"/>
      <c r="N388" s="402" t="s">
        <v>2451</v>
      </c>
      <c r="O388" s="3101"/>
      <c r="P388" s="1248"/>
      <c r="V388" s="1169"/>
      <c r="W388" s="1169"/>
    </row>
    <row r="389" spans="1:23" s="44" customFormat="1" ht="10.5" customHeight="1">
      <c r="A389" s="143"/>
      <c r="B389" s="390" t="s">
        <v>2452</v>
      </c>
      <c r="C389" s="53" t="s">
        <v>3828</v>
      </c>
      <c r="D389" s="53"/>
      <c r="E389" s="53"/>
      <c r="F389" s="53"/>
      <c r="G389" s="53"/>
      <c r="H389" s="53"/>
      <c r="I389" s="53"/>
      <c r="J389" s="53"/>
      <c r="K389" s="53"/>
      <c r="M389" s="53"/>
      <c r="N389" s="402" t="s">
        <v>2452</v>
      </c>
      <c r="O389" s="2927"/>
      <c r="P389" s="563"/>
      <c r="V389" s="1169"/>
      <c r="W389" s="1169"/>
    </row>
    <row r="390" spans="1:23" ht="10.5" customHeight="1">
      <c r="B390" s="390" t="s">
        <v>2453</v>
      </c>
      <c r="C390" s="446" t="s">
        <v>4107</v>
      </c>
      <c r="N390" s="390" t="s">
        <v>2453</v>
      </c>
      <c r="O390" s="2927"/>
      <c r="P390" s="563"/>
    </row>
    <row r="391" spans="1:23" ht="12" customHeight="1" thickBot="1">
      <c r="B391" s="1332" t="s">
        <v>3779</v>
      </c>
    </row>
    <row r="392" spans="1:23" s="44" customFormat="1" ht="21.75" customHeight="1" thickTop="1" thickBot="1">
      <c r="A392" s="2931" t="s">
        <v>4679</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4148</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3839</v>
      </c>
      <c r="K397" s="1337"/>
      <c r="L397" s="1125">
        <f>'Part VI-Revenues &amp; Expenses'!$O$62*0.1</f>
        <v>7.6000000000000005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3838</v>
      </c>
      <c r="D398" s="1893"/>
      <c r="E398" s="1893"/>
      <c r="F398" s="1893"/>
      <c r="G398" s="1893"/>
      <c r="H398" s="1893"/>
      <c r="I398" s="1893"/>
      <c r="J398" s="1338" t="s">
        <v>3841</v>
      </c>
      <c r="K398" s="1334"/>
      <c r="L398" s="1127">
        <f>'Part VI-Revenues &amp; Expenses'!$O$58</f>
        <v>64</v>
      </c>
      <c r="M398" s="2092" t="str">
        <f>IF(L400&lt;L399,"Check 1BR LI count!","")</f>
        <v/>
      </c>
      <c r="N398" s="404" t="s">
        <v>2002</v>
      </c>
      <c r="O398" s="3066" t="s">
        <v>4635</v>
      </c>
      <c r="P398" s="1262"/>
      <c r="Q398" s="541"/>
      <c r="R398" s="535"/>
    </row>
    <row r="399" spans="1:23" s="427" customFormat="1" ht="11.25" customHeight="1">
      <c r="A399" s="148"/>
      <c r="B399" s="456"/>
      <c r="C399" s="1893"/>
      <c r="D399" s="1893"/>
      <c r="E399" s="1893"/>
      <c r="F399" s="1893"/>
      <c r="G399" s="1893"/>
      <c r="H399" s="1893"/>
      <c r="I399" s="1893"/>
      <c r="J399" s="1338" t="s">
        <v>3842</v>
      </c>
      <c r="K399" s="1335"/>
      <c r="L399" s="1128">
        <f>L398*0.1</f>
        <v>6.4</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3843</v>
      </c>
      <c r="K400" s="1340"/>
      <c r="L400" s="1129">
        <f>'Part VI-Revenues &amp; Expenses'!$K$58</f>
        <v>38</v>
      </c>
      <c r="M400" s="2092"/>
      <c r="N400" s="404"/>
      <c r="O400" s="404"/>
      <c r="P400" s="404"/>
      <c r="Q400" s="541"/>
      <c r="R400" s="535"/>
    </row>
    <row r="401" spans="1:18" s="451" customFormat="1" ht="11.25" customHeight="1">
      <c r="A401" s="552"/>
      <c r="B401" s="456" t="s">
        <v>2004</v>
      </c>
      <c r="C401" s="2073" t="s">
        <v>3415</v>
      </c>
      <c r="D401" s="2073"/>
      <c r="E401" s="2073"/>
      <c r="F401" s="2073"/>
      <c r="G401" s="2073"/>
      <c r="H401" s="2073"/>
      <c r="I401" s="2073"/>
      <c r="J401" s="2073"/>
      <c r="K401" s="2073"/>
      <c r="L401" s="2073"/>
      <c r="M401" s="2073"/>
      <c r="N401" s="404" t="s">
        <v>2004</v>
      </c>
      <c r="O401" s="2928" t="s">
        <v>3010</v>
      </c>
      <c r="P401" s="561"/>
    </row>
    <row r="402" spans="1:18" s="451" customFormat="1" ht="11.25" customHeight="1">
      <c r="A402" s="552"/>
      <c r="B402" s="456" t="s">
        <v>2551</v>
      </c>
      <c r="C402" s="405" t="s">
        <v>3840</v>
      </c>
      <c r="D402" s="405"/>
      <c r="E402" s="405"/>
      <c r="F402" s="405"/>
      <c r="G402" s="405"/>
      <c r="H402" s="405"/>
      <c r="I402" s="405"/>
      <c r="J402" s="405"/>
      <c r="K402" s="405"/>
      <c r="L402" s="405"/>
      <c r="M402" s="405"/>
      <c r="N402" s="404" t="s">
        <v>2551</v>
      </c>
      <c r="O402" s="2934" t="s">
        <v>3010</v>
      </c>
      <c r="P402" s="562"/>
    </row>
    <row r="403" spans="1:18" s="451" customFormat="1" ht="11.25" customHeight="1">
      <c r="A403" s="552"/>
      <c r="B403" s="456" t="s">
        <v>1236</v>
      </c>
      <c r="C403" s="2073" t="s">
        <v>3837</v>
      </c>
      <c r="D403" s="2073"/>
      <c r="E403" s="2073"/>
      <c r="F403" s="2073"/>
      <c r="G403" s="2073"/>
      <c r="H403" s="2073"/>
      <c r="I403" s="2073"/>
      <c r="J403" s="2073"/>
      <c r="K403" s="2073"/>
      <c r="L403" s="2073"/>
      <c r="M403" s="2073"/>
      <c r="N403" s="404" t="s">
        <v>1236</v>
      </c>
      <c r="O403" s="2927" t="s">
        <v>3010</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3860</v>
      </c>
      <c r="D406" s="1893"/>
      <c r="E406" s="1893"/>
      <c r="F406" s="1893"/>
      <c r="G406" s="1893"/>
      <c r="H406" s="1893"/>
      <c r="I406" s="1893"/>
      <c r="J406" s="1893"/>
      <c r="K406" s="1893"/>
      <c r="L406" s="1893"/>
      <c r="M406" s="622"/>
      <c r="N406" s="404" t="s">
        <v>2002</v>
      </c>
      <c r="O406" s="3066"/>
      <c r="P406" s="1262"/>
      <c r="Q406" s="541"/>
      <c r="R406" s="535"/>
    </row>
    <row r="407" spans="1:18" s="427" customFormat="1" ht="11.25" customHeight="1">
      <c r="A407" s="148"/>
      <c r="B407" s="456"/>
      <c r="C407" s="498" t="s">
        <v>3679</v>
      </c>
      <c r="D407" s="1596"/>
      <c r="E407" s="1596"/>
      <c r="F407" s="1596"/>
      <c r="G407" s="3102"/>
      <c r="H407" s="3103"/>
      <c r="I407" s="3104"/>
      <c r="J407" s="1369" t="s">
        <v>3680</v>
      </c>
      <c r="L407" s="3105"/>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3779</v>
      </c>
      <c r="C409" s="43"/>
      <c r="D409" s="49"/>
      <c r="E409" s="49"/>
      <c r="F409" s="49"/>
      <c r="G409" s="49"/>
      <c r="H409" s="37"/>
      <c r="I409" s="37"/>
      <c r="J409" s="37"/>
      <c r="K409" s="37"/>
      <c r="M409" s="47"/>
      <c r="N409" s="63"/>
      <c r="O409" s="3"/>
      <c r="P409" s="1587"/>
    </row>
    <row r="410" spans="1:18" s="44" customFormat="1" ht="21.75" customHeight="1" thickTop="1" thickBot="1">
      <c r="A410" s="2931" t="s">
        <v>4705</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4151</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1" t="s">
        <v>2922</v>
      </c>
      <c r="E416" s="3060"/>
      <c r="F416" s="3060"/>
      <c r="G416" s="3060"/>
      <c r="H416" s="3060"/>
      <c r="I416" s="3092"/>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64" t="s">
        <v>4247</v>
      </c>
      <c r="C419" s="2064"/>
      <c r="D419" s="2064"/>
      <c r="E419" s="2064"/>
      <c r="F419" s="2064"/>
      <c r="G419" s="2064"/>
      <c r="H419" s="2064"/>
      <c r="I419" s="2064"/>
      <c r="J419" s="2064"/>
      <c r="K419" s="2064"/>
      <c r="L419" s="2064"/>
      <c r="M419" s="1893" t="s">
        <v>4249</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2847</v>
      </c>
      <c r="N421" s="428"/>
      <c r="O421" s="2074">
        <f>'Part VI-Revenues &amp; Expenses'!$O$62</f>
        <v>76</v>
      </c>
      <c r="P421" s="2075"/>
      <c r="Q421" s="179"/>
    </row>
    <row r="422" spans="1:19" s="427" customFormat="1" ht="12" customHeight="1">
      <c r="B422" s="2065"/>
      <c r="C422" s="2065"/>
      <c r="D422" s="2065"/>
      <c r="E422" s="2065"/>
      <c r="F422" s="2065"/>
      <c r="G422" s="2065"/>
      <c r="H422" s="2065"/>
      <c r="I422" s="2065"/>
      <c r="J422" s="2065"/>
      <c r="K422" s="2065"/>
      <c r="L422" s="2065"/>
      <c r="M422" s="550" t="s">
        <v>2848</v>
      </c>
      <c r="N422" s="428"/>
      <c r="O422" s="2060">
        <f>IF(O421=0,0,O420/O421)</f>
        <v>0</v>
      </c>
      <c r="P422" s="2061"/>
      <c r="Q422" s="179"/>
    </row>
    <row r="423" spans="1:19" s="44" customFormat="1" ht="66.75" customHeight="1">
      <c r="A423" s="552"/>
      <c r="B423" s="3107" t="s">
        <v>4679</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3378</v>
      </c>
      <c r="C425" s="144"/>
      <c r="D425" s="924"/>
      <c r="H425" s="405"/>
      <c r="M425" s="428">
        <v>1</v>
      </c>
      <c r="N425" s="166" t="s">
        <v>2001</v>
      </c>
      <c r="O425" s="2962"/>
      <c r="P425" s="912"/>
      <c r="Q425" s="1090" t="str">
        <f>IF(OR($O425=$M425,$O425=0,$O425=""),"","*CHECK!*")</f>
        <v/>
      </c>
      <c r="R425" s="1192" t="s">
        <v>2724</v>
      </c>
    </row>
    <row r="426" spans="1:19" s="427" customFormat="1" ht="11.25" customHeight="1">
      <c r="A426" s="553"/>
      <c r="B426" s="1892" t="s">
        <v>4248</v>
      </c>
      <c r="C426" s="1892"/>
      <c r="D426" s="1892"/>
      <c r="E426" s="1892"/>
      <c r="F426" s="1892"/>
      <c r="G426" s="1892"/>
      <c r="H426" s="1892"/>
      <c r="I426" s="1892"/>
      <c r="J426" s="1892"/>
      <c r="K426" s="1892"/>
      <c r="L426" s="1892"/>
      <c r="M426" s="498" t="s">
        <v>2847</v>
      </c>
      <c r="N426" s="428"/>
      <c r="O426" s="2062">
        <f>'Part VI-Revenues &amp; Expenses'!$O$62</f>
        <v>76</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v>
      </c>
      <c r="P427" s="2061"/>
      <c r="Q427" s="179"/>
    </row>
    <row r="428" spans="1:19" s="44" customFormat="1" ht="11.25" customHeight="1" thickBot="1">
      <c r="A428" s="43"/>
      <c r="B428" s="1332" t="s">
        <v>3779</v>
      </c>
      <c r="C428" s="43"/>
      <c r="D428" s="49"/>
      <c r="E428" s="49"/>
      <c r="F428" s="49"/>
      <c r="G428" s="49"/>
      <c r="H428" s="37"/>
      <c r="I428" s="37"/>
      <c r="J428" s="37"/>
      <c r="K428" s="37"/>
      <c r="M428" s="47"/>
      <c r="N428" s="63"/>
      <c r="O428" s="3"/>
      <c r="P428" s="1587"/>
    </row>
    <row r="429" spans="1:19" s="44" customFormat="1" ht="21.75" customHeight="1" thickTop="1" thickBot="1">
      <c r="A429" s="2931" t="s">
        <v>4679</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3110"/>
      <c r="P436" s="1251"/>
      <c r="Q436" s="112"/>
    </row>
    <row r="437" spans="1:18" s="105" customFormat="1" ht="10.5" customHeight="1">
      <c r="A437" s="159"/>
      <c r="B437" s="89" t="s">
        <v>3684</v>
      </c>
      <c r="D437" s="46"/>
      <c r="E437" s="46"/>
      <c r="F437" s="40"/>
      <c r="G437" s="37"/>
      <c r="I437" s="37"/>
      <c r="J437" s="37"/>
      <c r="K437" s="37"/>
      <c r="L437" s="391"/>
      <c r="M437" s="1584"/>
      <c r="N437" s="6"/>
      <c r="O437" s="311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3793</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3791</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3792</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3834</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3802</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4016</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4011</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3795</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4004</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3796</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4005</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3797</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4007</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4012</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4015</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3798</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3799</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4010</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4013</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4014</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3800</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3801</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4101</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4725</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mWTXLci/hB1zXkgFW53oADMwRRWjuwnnVKpg5fjGkXifDQ9DCC4vwzyrer2W+LJsUwokqdm3w0sKsw237ujuqQ==" saltValue="v6XTZINDsLdamZWyxpoGF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4255</v>
      </c>
    </row>
    <row r="2" spans="1:6" s="34" customFormat="1" ht="13.5" customHeight="1">
      <c r="A2" s="917" t="str">
        <f>'Part I-Project Information'!$F$34</f>
        <v>Myrtle Terraces Phase 2</v>
      </c>
    </row>
    <row r="3" spans="1:6" s="34" customFormat="1" ht="13.5" customHeight="1">
      <c r="A3" s="917" t="str">
        <f>CONCATENATE('Part I-Project Information'!$F$38,", ", 'Part I-Project Information'!$J$39," County")</f>
        <v>Gainesville, Hall County</v>
      </c>
    </row>
    <row r="4" spans="1:6" ht="6.75" customHeight="1"/>
    <row r="5" spans="1:6" ht="113.25" customHeight="1">
      <c r="A5" s="2895" t="s">
        <v>4711</v>
      </c>
      <c r="B5" s="2207" t="s">
        <v>4256</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49j036IxvzLA08q+9a4fRKMGjpkL4E607ZlaqgKTeyaYsyS2EjxlGMZ0U8pVMM9imH9AcQ1OLzM5xSfpLCGFKw==" saltValue="UbBWY/cOlMrvVqO60DsuU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4257</v>
      </c>
    </row>
    <row r="3" spans="1:7" ht="3" customHeight="1"/>
    <row r="4" spans="1:7">
      <c r="A4" s="1373" t="s">
        <v>4258</v>
      </c>
      <c r="B4" s="1374">
        <f>+'Part IV-A-Uses of Funds'!$G$132</f>
        <v>13541444</v>
      </c>
    </row>
    <row r="5" spans="1:7">
      <c r="A5" s="1373" t="s">
        <v>4289</v>
      </c>
      <c r="B5" s="1374">
        <f>+B18+B26+B38</f>
        <v>2150108.8137689885</v>
      </c>
    </row>
    <row r="6" spans="1:7">
      <c r="A6" s="1373" t="s">
        <v>4259</v>
      </c>
      <c r="B6" s="1375">
        <f>+B5-B4</f>
        <v>-11391335.186231012</v>
      </c>
    </row>
    <row r="7" spans="1:7">
      <c r="A7" s="1373" t="s">
        <v>4260</v>
      </c>
      <c r="B7" s="1376">
        <f>+B6/B4</f>
        <v>-0.84122012292271131</v>
      </c>
    </row>
    <row r="8" spans="1:7" ht="9" customHeight="1"/>
    <row r="9" spans="1:7">
      <c r="A9" s="1373" t="s">
        <v>4261</v>
      </c>
      <c r="B9" s="1374">
        <f>+B18+B26+B33</f>
        <v>2150108.8137689885</v>
      </c>
    </row>
    <row r="10" spans="1:7">
      <c r="A10" s="1373" t="s">
        <v>4259</v>
      </c>
      <c r="B10" s="1375">
        <f>+B9-B4</f>
        <v>-11391335.186231012</v>
      </c>
    </row>
    <row r="11" spans="1:7">
      <c r="A11" s="1373" t="s">
        <v>4260</v>
      </c>
      <c r="B11" s="1376">
        <f>+B10/B4</f>
        <v>-0.84122012292271131</v>
      </c>
    </row>
    <row r="12" spans="1:7" ht="24" customHeight="1"/>
    <row r="13" spans="1:7">
      <c r="A13" s="1372" t="s">
        <v>4262</v>
      </c>
      <c r="D13" s="1445" t="s">
        <v>4529</v>
      </c>
      <c r="E13" s="1446"/>
    </row>
    <row r="14" spans="1:7">
      <c r="A14" s="1373" t="s">
        <v>4263</v>
      </c>
      <c r="B14" s="1377">
        <f>+SUM('Part III-Sources of Funds'!L49:M50)</f>
        <v>10560000</v>
      </c>
      <c r="D14" s="1446"/>
      <c r="E14" s="1446"/>
    </row>
    <row r="15" spans="1:7">
      <c r="A15" s="1373" t="s">
        <v>4264</v>
      </c>
      <c r="B15" s="1378">
        <f>+'Part IV-A-Uses of Funds'!J167</f>
        <v>1064144.3999999999</v>
      </c>
      <c r="D15" s="1446" t="s">
        <v>2061</v>
      </c>
      <c r="G15" s="1447">
        <f>'Part IV-A-Uses of Funds'!J155</f>
        <v>12918483.705263158</v>
      </c>
    </row>
    <row r="16" spans="1:7" ht="12.75" customHeight="1">
      <c r="D16" s="1446" t="s">
        <v>4530</v>
      </c>
      <c r="G16" s="1451">
        <v>3.2800000000000003E-2</v>
      </c>
    </row>
    <row r="17" spans="1:7" ht="12.75" customHeight="1">
      <c r="A17" s="1373" t="s">
        <v>4265</v>
      </c>
      <c r="B17" s="1450">
        <v>1.45</v>
      </c>
      <c r="D17" s="1446" t="s">
        <v>4531</v>
      </c>
      <c r="G17" s="1452">
        <v>1.45</v>
      </c>
    </row>
    <row r="18" spans="1:7" ht="12.75" customHeight="1">
      <c r="A18" s="1373" t="s">
        <v>4266</v>
      </c>
      <c r="B18" s="1379">
        <f>+'Part IV-A-Uses of Funds'!J174*B17*10</f>
        <v>0</v>
      </c>
      <c r="D18" s="1446" t="s">
        <v>4532</v>
      </c>
      <c r="G18" s="1452">
        <v>3.28</v>
      </c>
    </row>
    <row r="19" spans="1:7" ht="12.75" customHeight="1">
      <c r="D19" s="1446" t="s">
        <v>4533</v>
      </c>
      <c r="G19" s="1448">
        <f>+G15*G16*G17*10</f>
        <v>6144030.8502231585</v>
      </c>
    </row>
    <row r="20" spans="1:7">
      <c r="A20" s="1373" t="s">
        <v>4267</v>
      </c>
      <c r="B20" s="1377">
        <f>+B18-B14</f>
        <v>-10560000</v>
      </c>
      <c r="D20" s="1446" t="s">
        <v>4534</v>
      </c>
      <c r="G20" s="1449">
        <f>+B14-G19</f>
        <v>4415969.1497768415</v>
      </c>
    </row>
    <row r="21" spans="1:7">
      <c r="A21" s="1373" t="s">
        <v>4268</v>
      </c>
      <c r="B21" s="1376">
        <f>+B20/B14</f>
        <v>-1</v>
      </c>
      <c r="D21" s="1446" t="s">
        <v>4535</v>
      </c>
      <c r="G21" s="1446" t="str">
        <f>+IF(G20&gt;(B28+B35),"No","Yes")</f>
        <v>No</v>
      </c>
    </row>
    <row r="22" spans="1:7" ht="24" customHeight="1"/>
    <row r="23" spans="1:7">
      <c r="A23" s="1372" t="s">
        <v>4269</v>
      </c>
    </row>
    <row r="24" spans="1:7">
      <c r="A24" s="1373" t="s">
        <v>4270</v>
      </c>
      <c r="B24" s="1380">
        <f>+SUM('Part III-Sources of Funds'!I37:J40)</f>
        <v>2900000</v>
      </c>
    </row>
    <row r="25" spans="1:7">
      <c r="A25" s="1373" t="s">
        <v>4271</v>
      </c>
      <c r="B25" s="1381">
        <f>IF('Part III-Sources of Funds'!B11="Yes","N/A",MAX(B46:P46))</f>
        <v>-993.59408089966746</v>
      </c>
    </row>
    <row r="26" spans="1:7">
      <c r="A26" s="1373" t="s">
        <v>4272</v>
      </c>
      <c r="B26" s="1371">
        <f>IFERROR(PV('Part III-Sources of Funds'!K37,'Part III-Sources of Funds'!L37,B25+B45),B24)</f>
        <v>2150108.8137689885</v>
      </c>
    </row>
    <row r="27" spans="1:7" ht="9" customHeight="1">
      <c r="B27" s="1371"/>
    </row>
    <row r="28" spans="1:7">
      <c r="A28" s="1373" t="s">
        <v>4273</v>
      </c>
      <c r="B28" s="1382">
        <f>+B26-B24</f>
        <v>-749891.18623101152</v>
      </c>
      <c r="C28" s="1383"/>
    </row>
    <row r="29" spans="1:7">
      <c r="A29" s="1373" t="s">
        <v>4268</v>
      </c>
      <c r="B29" s="1384">
        <f>+B28/B24</f>
        <v>-0.25858316766586603</v>
      </c>
    </row>
    <row r="30" spans="1:7" ht="24" customHeight="1"/>
    <row r="31" spans="1:7">
      <c r="A31" s="1372" t="s">
        <v>4127</v>
      </c>
    </row>
    <row r="32" spans="1:7">
      <c r="A32" s="1373" t="s">
        <v>4274</v>
      </c>
      <c r="B32" s="1385">
        <f>+'Part III-Sources of Funds'!I42</f>
        <v>81444</v>
      </c>
    </row>
    <row r="33" spans="1:11">
      <c r="A33" s="1373" t="s">
        <v>4275</v>
      </c>
      <c r="B33" s="1371"/>
    </row>
    <row r="34" spans="1:11" ht="9" customHeight="1">
      <c r="B34" s="1371"/>
    </row>
    <row r="35" spans="1:11">
      <c r="A35" s="1373" t="s">
        <v>4276</v>
      </c>
      <c r="B35" s="1385">
        <f>+B33-B32</f>
        <v>-81444</v>
      </c>
    </row>
    <row r="36" spans="1:11">
      <c r="A36" s="1373" t="s">
        <v>4277</v>
      </c>
      <c r="B36" s="1370">
        <f>+B35/B32</f>
        <v>-1</v>
      </c>
    </row>
    <row r="37" spans="1:11" ht="24" customHeight="1">
      <c r="B37" s="1371"/>
    </row>
    <row r="38" spans="1:11">
      <c r="A38" s="1372" t="s">
        <v>4278</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4279</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236505.73919999995</v>
      </c>
      <c r="C44" s="1374">
        <f>+'Part VII-Pro Forma'!C22</f>
        <v>237603.13398400001</v>
      </c>
      <c r="D44" s="1374">
        <f>+'Part VII-Pro Forma'!D22</f>
        <v>238615.15726368004</v>
      </c>
      <c r="E44" s="1374">
        <f>+'Part VII-Pro Forma'!E22</f>
        <v>239534.05282695344</v>
      </c>
      <c r="F44" s="1374">
        <f>+'Part VII-Pro Forma'!F22</f>
        <v>240355.87127403266</v>
      </c>
      <c r="G44" s="1374">
        <f>+'Part VII-Pro Forma'!G22</f>
        <v>241075.46321176965</v>
      </c>
      <c r="H44" s="1374">
        <f>+'Part VII-Pro Forma'!H22</f>
        <v>241686.47222362878</v>
      </c>
      <c r="I44" s="1374">
        <f>+'Part VII-Pro Forma'!I22</f>
        <v>242183.32760815375</v>
      </c>
      <c r="J44" s="1374">
        <f>+'Part VII-Pro Forma'!J22</f>
        <v>242560.23687857122</v>
      </c>
      <c r="K44" s="1374">
        <f>+'Part VII-Pro Forma'!K22</f>
        <v>242810.17801594458</v>
      </c>
    </row>
    <row r="45" spans="1:11">
      <c r="A45" s="1373" t="s">
        <v>4280</v>
      </c>
      <c r="B45" s="1374">
        <f>SUM('Part VII-Pro Forma'!B23:B26)</f>
        <v>-196094.52191910031</v>
      </c>
      <c r="C45" s="1374">
        <f>SUM('Part VII-Pro Forma'!C23:C26)</f>
        <v>-196094.52191910031</v>
      </c>
      <c r="D45" s="1374">
        <f>SUM('Part VII-Pro Forma'!D23:D26)</f>
        <v>-196094.52191910031</v>
      </c>
      <c r="E45" s="1374">
        <f>SUM('Part VII-Pro Forma'!E23:E26)</f>
        <v>-196094.52191910031</v>
      </c>
      <c r="F45" s="1374">
        <f>SUM('Part VII-Pro Forma'!F23:F26)</f>
        <v>-196094.52191910031</v>
      </c>
      <c r="G45" s="1374">
        <f>SUM('Part VII-Pro Forma'!G23:G26)</f>
        <v>-196094.52191910031</v>
      </c>
      <c r="H45" s="1374">
        <f>SUM('Part VII-Pro Forma'!H23:H26)</f>
        <v>-196094.52191910031</v>
      </c>
      <c r="I45" s="1374">
        <f>SUM('Part VII-Pro Forma'!I23:I26)</f>
        <v>-196094.52191910031</v>
      </c>
      <c r="J45" s="1374">
        <f>SUM('Part VII-Pro Forma'!J23:J26)</f>
        <v>-196094.52191910031</v>
      </c>
      <c r="K45" s="1374">
        <f>SUM('Part VII-Pro Forma'!K23:K26)</f>
        <v>-196094.52191910031</v>
      </c>
    </row>
    <row r="46" spans="1:11">
      <c r="A46" s="1373" t="s">
        <v>4281</v>
      </c>
      <c r="B46" s="1375">
        <f t="shared" ref="B46:K46" si="0">-B44/B48-B45</f>
        <v>-993.59408089966746</v>
      </c>
      <c r="C46" s="1375">
        <f t="shared" si="0"/>
        <v>-1908.0897342330427</v>
      </c>
      <c r="D46" s="1375">
        <f t="shared" si="0"/>
        <v>-2751.4424672997266</v>
      </c>
      <c r="E46" s="1375">
        <f t="shared" si="0"/>
        <v>-3517.1887700275693</v>
      </c>
      <c r="F46" s="1375">
        <f t="shared" si="0"/>
        <v>-4202.037475926918</v>
      </c>
      <c r="G46" s="1375">
        <f t="shared" si="0"/>
        <v>-4801.6974240410782</v>
      </c>
      <c r="H46" s="1375">
        <f t="shared" si="0"/>
        <v>-5310.8716005903552</v>
      </c>
      <c r="I46" s="1375">
        <f t="shared" si="0"/>
        <v>-5724.917754361144</v>
      </c>
      <c r="J46" s="1375">
        <f t="shared" si="0"/>
        <v>-6039.0088130423683</v>
      </c>
      <c r="K46" s="1375">
        <f t="shared" si="0"/>
        <v>-6247.2930941868399</v>
      </c>
    </row>
    <row r="48" spans="1:11">
      <c r="A48" s="1373" t="s">
        <v>4282</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236505.73919999995</v>
      </c>
      <c r="C51" s="1375">
        <f t="shared" ref="C51:K51" si="2">+C44</f>
        <v>237603.13398400001</v>
      </c>
      <c r="D51" s="1375">
        <f t="shared" si="2"/>
        <v>238615.15726368004</v>
      </c>
      <c r="E51" s="1375">
        <f t="shared" si="2"/>
        <v>239534.05282695344</v>
      </c>
      <c r="F51" s="1375">
        <f t="shared" si="2"/>
        <v>240355.87127403266</v>
      </c>
      <c r="G51" s="1375">
        <f t="shared" si="2"/>
        <v>241075.46321176965</v>
      </c>
      <c r="H51" s="1375">
        <f t="shared" si="2"/>
        <v>241686.47222362878</v>
      </c>
      <c r="I51" s="1375">
        <f t="shared" si="2"/>
        <v>242183.32760815375</v>
      </c>
      <c r="J51" s="1375">
        <f t="shared" si="2"/>
        <v>242560.23687857122</v>
      </c>
      <c r="K51" s="1375">
        <f t="shared" si="2"/>
        <v>242810.17801594458</v>
      </c>
    </row>
    <row r="52" spans="1:17">
      <c r="A52" s="1373" t="s">
        <v>4283</v>
      </c>
      <c r="B52" s="1375">
        <f>IF($B$25="N/A",B45,B45+$B$25)</f>
        <v>-197088.11599999998</v>
      </c>
      <c r="C52" s="1375">
        <f t="shared" ref="C52:K52" si="3">IF($B$25="N/A",C45,C45+$B$25)</f>
        <v>-197088.11599999998</v>
      </c>
      <c r="D52" s="1375">
        <f t="shared" si="3"/>
        <v>-197088.11599999998</v>
      </c>
      <c r="E52" s="1375">
        <f t="shared" si="3"/>
        <v>-197088.11599999998</v>
      </c>
      <c r="F52" s="1375">
        <f t="shared" si="3"/>
        <v>-197088.11599999998</v>
      </c>
      <c r="G52" s="1375">
        <f t="shared" si="3"/>
        <v>-197088.11599999998</v>
      </c>
      <c r="H52" s="1375">
        <f t="shared" si="3"/>
        <v>-197088.11599999998</v>
      </c>
      <c r="I52" s="1375">
        <f t="shared" si="3"/>
        <v>-197088.11599999998</v>
      </c>
      <c r="J52" s="1375">
        <f t="shared" si="3"/>
        <v>-197088.11599999998</v>
      </c>
      <c r="K52" s="1375">
        <f t="shared" si="3"/>
        <v>-197088.11599999998</v>
      </c>
    </row>
    <row r="53" spans="1:17">
      <c r="A53" s="1373" t="s">
        <v>4284</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4285</v>
      </c>
      <c r="B54" s="1375">
        <f>+SUM(B51:B53)</f>
        <v>34417.623199999973</v>
      </c>
      <c r="C54" s="1375">
        <f t="shared" ref="C54:K54" si="4">+SUM(C51:C53)</f>
        <v>35515.017984000035</v>
      </c>
      <c r="D54" s="1375">
        <f t="shared" si="4"/>
        <v>36527.041263680061</v>
      </c>
      <c r="E54" s="1375">
        <f t="shared" si="4"/>
        <v>37445.936826953461</v>
      </c>
      <c r="F54" s="1375">
        <f t="shared" si="4"/>
        <v>38267.755274032679</v>
      </c>
      <c r="G54" s="1375">
        <f t="shared" si="4"/>
        <v>38987.347211769666</v>
      </c>
      <c r="H54" s="1375">
        <f t="shared" si="4"/>
        <v>39598.356223628798</v>
      </c>
      <c r="I54" s="1375">
        <f t="shared" si="4"/>
        <v>40095.211608153768</v>
      </c>
      <c r="J54" s="1375">
        <f t="shared" si="4"/>
        <v>40472.120878571237</v>
      </c>
      <c r="K54" s="1375">
        <f t="shared" si="4"/>
        <v>40722.062015944597</v>
      </c>
    </row>
    <row r="55" spans="1:17">
      <c r="A55" s="1373" t="s">
        <v>4127</v>
      </c>
      <c r="B55" s="1375">
        <f>-B54</f>
        <v>-34417.623199999973</v>
      </c>
      <c r="C55" s="1375">
        <f t="shared" ref="C55:K55" si="5">-C54</f>
        <v>-35515.017984000035</v>
      </c>
      <c r="D55" s="1375">
        <f t="shared" si="5"/>
        <v>-36527.041263680061</v>
      </c>
      <c r="E55" s="1375">
        <f t="shared" si="5"/>
        <v>-37445.936826953461</v>
      </c>
      <c r="F55" s="1375">
        <f t="shared" si="5"/>
        <v>-38267.755274032679</v>
      </c>
      <c r="G55" s="1375">
        <f t="shared" si="5"/>
        <v>-38987.347211769666</v>
      </c>
      <c r="H55" s="1375">
        <f t="shared" si="5"/>
        <v>-39598.356223628798</v>
      </c>
      <c r="I55" s="1375">
        <f t="shared" si="5"/>
        <v>-40095.211608153768</v>
      </c>
      <c r="J55" s="1375">
        <f t="shared" si="5"/>
        <v>-40472.120878571237</v>
      </c>
      <c r="K55" s="1375">
        <f t="shared" si="5"/>
        <v>-40722.062015944597</v>
      </c>
    </row>
    <row r="56" spans="1:17">
      <c r="A56" s="1373" t="s">
        <v>4286</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4287</v>
      </c>
      <c r="B58" s="1374">
        <f>IF($B$26="","",-FV('Part III-Sources of Funds'!$K$37/12,12,B52/12,B26))</f>
        <v>2077946.4631344357</v>
      </c>
      <c r="C58" s="1374">
        <f>IF($B$26="","",-FV('Part III-Sources of Funds'!$K$37/12,12,C52/12,B58))</f>
        <v>2001409.4938640005</v>
      </c>
      <c r="D58" s="1374">
        <f>IF($B$26="","",-FV('Part III-Sources of Funds'!$K$37/12,12,D52/12,C58))</f>
        <v>1920232.7082743871</v>
      </c>
      <c r="E58" s="1374">
        <f>IF($B$26="","",-FV('Part III-Sources of Funds'!$K$37/12,12,E52/12,D58))</f>
        <v>1834134.8318954813</v>
      </c>
      <c r="F58" s="1374">
        <f>IF($B$26="","",-FV('Part III-Sources of Funds'!$K$37/12,12,F52/12,E58))</f>
        <v>1742817.5388650238</v>
      </c>
      <c r="G58" s="1374">
        <f>IF($B$26="","",-FV('Part III-Sources of Funds'!$K$37/12,12,G52/12,F58))</f>
        <v>1645964.4182408606</v>
      </c>
      <c r="H58" s="1374">
        <f>IF($B$26="","",-FV('Part III-Sources of Funds'!$K$37/12,12,H52/12,G58))</f>
        <v>1543239.8776490807</v>
      </c>
      <c r="I58" s="1374">
        <f>IF($B$26="","",-FV('Part III-Sources of Funds'!$K$37/12,12,I52/12,H58))</f>
        <v>1434287.9804692224</v>
      </c>
      <c r="J58" s="1374">
        <f>IF($B$26="","",-FV('Part III-Sources of Funds'!$K$37/12,12,J52/12,I58))</f>
        <v>1318731.2125274411</v>
      </c>
      <c r="K58" s="1374">
        <f>IF($B$26="","",-FV('Part III-Sources of Funds'!$K$37/12,12,K52/12,J58))</f>
        <v>1196169.1740242757</v>
      </c>
    </row>
    <row r="59" spans="1:17">
      <c r="A59" s="1373" t="s">
        <v>4128</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4279</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242926.89146805924</v>
      </c>
      <c r="C64" s="1374">
        <f>+'Part VII-Pro Forma'!C52</f>
        <v>242904.87188597012</v>
      </c>
      <c r="D64" s="1374">
        <f>+'Part VII-Pro Forma'!D52</f>
        <v>242735.35958989596</v>
      </c>
      <c r="E64" s="1374">
        <f>+'Part VII-Pro Forma'!E52</f>
        <v>242411.33175588612</v>
      </c>
      <c r="F64" s="1374">
        <f>+'Part VII-Pro Forma'!F52</f>
        <v>241926.49331442203</v>
      </c>
      <c r="G64" s="1374">
        <f>+'Part VII-Pro Forma'!G52</f>
        <v>241271.267551831</v>
      </c>
      <c r="H64" s="1374">
        <f>+'Part VII-Pro Forma'!H52</f>
        <v>240437.7864051222</v>
      </c>
      <c r="I64" s="1374">
        <f>+'Part VII-Pro Forma'!I52</f>
        <v>239418.88044054681</v>
      </c>
      <c r="J64" s="1374">
        <f>+'Part VII-Pro Forma'!J52</f>
        <v>238204.06850589928</v>
      </c>
      <c r="K64" s="1374">
        <f>+'Part VII-Pro Forma'!K52</f>
        <v>236784.5470462552</v>
      </c>
    </row>
    <row r="65" spans="1:11">
      <c r="A65" s="1373" t="s">
        <v>4280</v>
      </c>
      <c r="B65" s="1374">
        <f>SUM('Part VII-Pro Forma'!B53:B56)</f>
        <v>-196094.52191910031</v>
      </c>
      <c r="C65" s="1374">
        <f>SUM('Part VII-Pro Forma'!C53:C56)</f>
        <v>-196094.52191910031</v>
      </c>
      <c r="D65" s="1374">
        <f>SUM('Part VII-Pro Forma'!D53:D56)</f>
        <v>-196094.52191910031</v>
      </c>
      <c r="E65" s="1374">
        <f>SUM('Part VII-Pro Forma'!E53:E56)</f>
        <v>-196094.52191910031</v>
      </c>
      <c r="F65" s="1374">
        <f>SUM('Part VII-Pro Forma'!F53:F56)</f>
        <v>-196094.52191910031</v>
      </c>
      <c r="G65" s="1374">
        <f>SUM('Part VII-Pro Forma'!G53:G56)</f>
        <v>-196094.52191910031</v>
      </c>
      <c r="H65" s="1374">
        <f>SUM('Part VII-Pro Forma'!H53:H56)</f>
        <v>-196094.52191910031</v>
      </c>
      <c r="I65" s="1374">
        <f>SUM('Part VII-Pro Forma'!I53:I56)</f>
        <v>-196094.52191910031</v>
      </c>
      <c r="J65" s="1374">
        <f>SUM('Part VII-Pro Forma'!J53:J56)</f>
        <v>-196094.52191910031</v>
      </c>
      <c r="K65" s="1374">
        <f>SUM('Part VII-Pro Forma'!K53:K56)</f>
        <v>-196094.52191910031</v>
      </c>
    </row>
    <row r="66" spans="1:11">
      <c r="A66" s="1373" t="s">
        <v>4281</v>
      </c>
      <c r="B66" s="1375">
        <f t="shared" ref="B66:K66" si="7">-B64/B68-B65</f>
        <v>-6344.5543042823847</v>
      </c>
      <c r="C66" s="1375">
        <f t="shared" si="7"/>
        <v>-6326.2046525414626</v>
      </c>
      <c r="D66" s="1375">
        <f t="shared" si="7"/>
        <v>-6184.944405813003</v>
      </c>
      <c r="E66" s="1375">
        <f t="shared" si="7"/>
        <v>-5914.9212108047795</v>
      </c>
      <c r="F66" s="1375">
        <f t="shared" si="7"/>
        <v>-5510.8891762513958</v>
      </c>
      <c r="G66" s="1375">
        <f t="shared" si="7"/>
        <v>-4964.8677074255247</v>
      </c>
      <c r="H66" s="1375">
        <f t="shared" si="7"/>
        <v>-4270.3000851681863</v>
      </c>
      <c r="I66" s="1375">
        <f t="shared" si="7"/>
        <v>-3421.2117813553778</v>
      </c>
      <c r="J66" s="1375">
        <f t="shared" si="7"/>
        <v>-2408.8685024824226</v>
      </c>
      <c r="K66" s="1375">
        <f t="shared" si="7"/>
        <v>-1225.9339527790435</v>
      </c>
    </row>
    <row r="68" spans="1:11">
      <c r="A68" s="1373" t="s">
        <v>4282</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242926.89146805924</v>
      </c>
      <c r="C71" s="1375">
        <f t="shared" si="9"/>
        <v>242904.87188597012</v>
      </c>
      <c r="D71" s="1375">
        <f t="shared" si="9"/>
        <v>242735.35958989596</v>
      </c>
      <c r="E71" s="1375">
        <f t="shared" si="9"/>
        <v>242411.33175588612</v>
      </c>
      <c r="F71" s="1375">
        <f t="shared" si="9"/>
        <v>241926.49331442203</v>
      </c>
      <c r="G71" s="1375">
        <f t="shared" si="9"/>
        <v>241271.267551831</v>
      </c>
      <c r="H71" s="1375">
        <f>+H64</f>
        <v>240437.7864051222</v>
      </c>
      <c r="I71" s="1375">
        <f>+I64</f>
        <v>239418.88044054681</v>
      </c>
      <c r="J71" s="1375">
        <f>+J64</f>
        <v>238204.06850589928</v>
      </c>
      <c r="K71" s="1375">
        <f>+K64</f>
        <v>236784.5470462552</v>
      </c>
    </row>
    <row r="72" spans="1:11">
      <c r="A72" s="1373" t="s">
        <v>4283</v>
      </c>
      <c r="B72" s="1375">
        <f t="shared" ref="B72:G72" si="10">IF($B$25="N/A",B65,B65+$B$25)</f>
        <v>-197088.11599999998</v>
      </c>
      <c r="C72" s="1375">
        <f t="shared" si="10"/>
        <v>-197088.11599999998</v>
      </c>
      <c r="D72" s="1375">
        <f t="shared" si="10"/>
        <v>-197088.11599999998</v>
      </c>
      <c r="E72" s="1375">
        <f t="shared" si="10"/>
        <v>-197088.11599999998</v>
      </c>
      <c r="F72" s="1375">
        <f t="shared" si="10"/>
        <v>-197088.11599999998</v>
      </c>
      <c r="G72" s="1375">
        <f t="shared" si="10"/>
        <v>-197088.11599999998</v>
      </c>
      <c r="H72" s="1375">
        <f>IF($B$25="N/A",H65,H65+$B$25)</f>
        <v>-197088.11599999998</v>
      </c>
      <c r="I72" s="1375">
        <f>IF($B$25="N/A",I65,I65+$B$25)</f>
        <v>-197088.11599999998</v>
      </c>
      <c r="J72" s="1375">
        <f>IF($B$25="N/A",J65,J65+$B$25)</f>
        <v>-197088.11599999998</v>
      </c>
      <c r="K72" s="1375">
        <f>IF($B$25="N/A",K65,K65+$B$25)</f>
        <v>-197088.11599999998</v>
      </c>
    </row>
    <row r="73" spans="1:11">
      <c r="A73" s="1373" t="s">
        <v>4284</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4285</v>
      </c>
      <c r="B74" s="1375">
        <f t="shared" ref="B74:G74" si="11">+SUM(B71:B73)</f>
        <v>40838.775468059262</v>
      </c>
      <c r="C74" s="1375">
        <f t="shared" si="11"/>
        <v>40816.755885970138</v>
      </c>
      <c r="D74" s="1375">
        <f t="shared" si="11"/>
        <v>40647.243589895981</v>
      </c>
      <c r="E74" s="1375">
        <f t="shared" si="11"/>
        <v>40323.215755886136</v>
      </c>
      <c r="F74" s="1375">
        <f t="shared" si="11"/>
        <v>39838.377314422047</v>
      </c>
      <c r="G74" s="1375">
        <f t="shared" si="11"/>
        <v>39183.151551831019</v>
      </c>
      <c r="H74" s="1375">
        <f>+SUM(H71:H73)</f>
        <v>38349.670405122219</v>
      </c>
      <c r="I74" s="1375">
        <f>+SUM(I71:I73)</f>
        <v>37330.764440546831</v>
      </c>
      <c r="J74" s="1375">
        <f>+SUM(J71:J73)</f>
        <v>36115.952505899302</v>
      </c>
      <c r="K74" s="1375">
        <f>+SUM(K71:K73)</f>
        <v>34696.431046255224</v>
      </c>
    </row>
    <row r="75" spans="1:11">
      <c r="A75" s="1373" t="s">
        <v>4127</v>
      </c>
      <c r="B75" s="1375">
        <f t="shared" ref="B75:G75" si="12">-B74</f>
        <v>-40838.775468059262</v>
      </c>
      <c r="C75" s="1375">
        <f t="shared" si="12"/>
        <v>-40816.755885970138</v>
      </c>
      <c r="D75" s="1375">
        <f t="shared" si="12"/>
        <v>-40647.243589895981</v>
      </c>
      <c r="E75" s="1375">
        <f t="shared" si="12"/>
        <v>-40323.215755886136</v>
      </c>
      <c r="F75" s="1375">
        <f t="shared" si="12"/>
        <v>-39838.377314422047</v>
      </c>
      <c r="G75" s="1375">
        <f t="shared" si="12"/>
        <v>-39183.151551831019</v>
      </c>
      <c r="H75" s="1375">
        <f>-H74</f>
        <v>-38349.670405122219</v>
      </c>
      <c r="I75" s="1375">
        <f>-I74</f>
        <v>-37330.764440546831</v>
      </c>
      <c r="J75" s="1375">
        <f>-J74</f>
        <v>-36115.952505899302</v>
      </c>
      <c r="K75" s="1375">
        <f>-K74</f>
        <v>-34696.431046255224</v>
      </c>
    </row>
    <row r="76" spans="1:11">
      <c r="A76" s="1373" t="s">
        <v>4286</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4287</v>
      </c>
      <c r="B78" s="1374">
        <f>IF($B$26="","",-FV('Part III-Sources of Funds'!$K$37/12,12,B72/12,K58))</f>
        <v>1066177.1921645948</v>
      </c>
      <c r="C78" s="1374">
        <f>IF($B$26="","",-FV('Part III-Sources of Funds'!$K$37/12,12,C72/12,B78))</f>
        <v>928304.84968253667</v>
      </c>
      <c r="D78" s="1374">
        <f>IF($B$26="","",-FV('Part III-Sources of Funds'!$K$37/12,12,D72/12,C78))</f>
        <v>782074.42416283931</v>
      </c>
      <c r="E78" s="1374">
        <f>IF($B$26="","",-FV('Part III-Sources of Funds'!$K$37/12,12,E72/12,D78))</f>
        <v>626979.23275086738</v>
      </c>
      <c r="F78" s="1374">
        <f>IF($B$26="","",-FV('Part III-Sources of Funds'!$K$37/12,12,F72/12,E78))</f>
        <v>462481.87651581992</v>
      </c>
      <c r="G78" s="1374">
        <f>IF($B$26="","",-FV('Part III-Sources of Funds'!$K$37/12,12,G72/12,F78))</f>
        <v>288012.37838390446</v>
      </c>
      <c r="H78" s="1374">
        <f>IF($B$26="","",-FV('Part III-Sources of Funds'!$K$37/12,12,H72/12,G78))</f>
        <v>102966.20818948626</v>
      </c>
      <c r="I78" s="1374">
        <f>IF($B$26="","",-FV('Part III-Sources of Funds'!$K$37/12,12,I72/12,H78))</f>
        <v>-93297.811998909878</v>
      </c>
      <c r="J78" s="1374">
        <f>IF($B$26="","",-FV('Part III-Sources of Funds'!$K$37/12,12,J72/12,I78))</f>
        <v>-301459.72953571001</v>
      </c>
      <c r="K78" s="1374">
        <f>IF($B$26="","",-FV('Part III-Sources of Funds'!$K$37/12,12,K72/12,J78))</f>
        <v>-522240.81753647188</v>
      </c>
    </row>
    <row r="79" spans="1:11">
      <c r="A79" s="1373" t="s">
        <v>4128</v>
      </c>
    </row>
    <row r="82" spans="1:2">
      <c r="A82" s="1373" t="s">
        <v>4288</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2934</v>
      </c>
      <c r="B1" s="2213"/>
      <c r="C1" s="2213"/>
      <c r="D1" s="2213"/>
      <c r="E1" s="2213"/>
      <c r="F1" s="2213"/>
      <c r="G1" s="2213"/>
      <c r="H1" s="2213"/>
      <c r="I1" s="2213"/>
      <c r="J1" s="2213"/>
    </row>
    <row r="2" spans="1:11" ht="15.75">
      <c r="A2" s="2213" t="str">
        <f>Overview!C8</f>
        <v>Myrtle Terraces Phase 2</v>
      </c>
      <c r="B2" s="2213"/>
      <c r="C2" s="2213"/>
      <c r="D2" s="2213"/>
      <c r="E2" s="2213"/>
      <c r="F2" s="2213"/>
      <c r="G2" s="2213"/>
      <c r="H2" s="2213"/>
      <c r="I2" s="2213"/>
      <c r="J2" s="2213"/>
    </row>
    <row r="3" spans="1:11" ht="15.75">
      <c r="A3" s="2213" t="str">
        <f>'Subsidy Layering Memo'!F14</f>
        <v>Gainesville, Hall</v>
      </c>
      <c r="B3" s="2213"/>
      <c r="C3" s="2213"/>
      <c r="D3" s="2213"/>
      <c r="E3" s="2213"/>
      <c r="F3" s="2213"/>
      <c r="G3" s="2213"/>
      <c r="H3" s="2213"/>
      <c r="I3" s="2213"/>
      <c r="J3" s="2213"/>
    </row>
    <row r="4" spans="1:11" ht="15.75">
      <c r="A4" s="2214" t="s">
        <v>2935</v>
      </c>
      <c r="B4" s="2213"/>
      <c r="C4" s="2213"/>
      <c r="D4" s="2213"/>
      <c r="E4" s="2213"/>
      <c r="F4" s="2213"/>
      <c r="G4" s="2213"/>
      <c r="H4" s="2213"/>
      <c r="I4" s="2213"/>
      <c r="J4" s="2213"/>
    </row>
    <row r="5" spans="1:11" ht="5.25" customHeight="1"/>
    <row r="6" spans="1:11" ht="5.25" customHeight="1"/>
    <row r="7" spans="1:11" ht="15.75">
      <c r="A7" s="2215" t="s">
        <v>2936</v>
      </c>
      <c r="B7" s="2215"/>
      <c r="C7" s="2216"/>
    </row>
    <row r="8" spans="1:11" ht="102.75" customHeight="1">
      <c r="A8" s="2209" t="s">
        <v>4290</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2900000</v>
      </c>
    </row>
    <row r="16" spans="1:11">
      <c r="A16" s="692" t="s">
        <v>2942</v>
      </c>
      <c r="D16" s="693">
        <f>Overview!C13</f>
        <v>76</v>
      </c>
    </row>
    <row r="17" spans="1:11" ht="14.25" customHeight="1"/>
    <row r="18" spans="1:11" ht="15.75">
      <c r="A18" s="688" t="s">
        <v>2943</v>
      </c>
      <c r="B18" s="689"/>
      <c r="C18" s="689"/>
    </row>
    <row r="19" spans="1:11" ht="48.75" customHeight="1">
      <c r="A19" s="2211" t="s">
        <v>2970</v>
      </c>
      <c r="B19" s="2211"/>
      <c r="C19" s="2211"/>
      <c r="D19" s="2211"/>
      <c r="E19" s="2211"/>
      <c r="F19" s="2211"/>
      <c r="G19" s="2211"/>
      <c r="H19" s="2211"/>
      <c r="I19" s="2211"/>
      <c r="J19" s="2211"/>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2" t="s">
        <v>2963</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2018-037  Myrtle Terraces Phase 2</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3008</v>
      </c>
      <c r="B8" s="689"/>
      <c r="C8" s="2218" t="str">
        <f>'Part I-Project Information'!F34</f>
        <v>Myrtle Terraces Phase 2</v>
      </c>
      <c r="D8" s="2218"/>
      <c r="E8" s="1458" t="str">
        <f>'Part I-Project Information'!O6</f>
        <v>2018-037</v>
      </c>
      <c r="F8" s="728" t="s">
        <v>3009</v>
      </c>
      <c r="G8" s="727"/>
      <c r="H8" s="2218" t="str">
        <f>CONCATENATE('Part I-Project Information'!F38,", ",'Part I-Project Information'!J39)</f>
        <v>Gainesville, Hall</v>
      </c>
      <c r="I8" s="2218"/>
      <c r="J8" s="2218"/>
      <c r="K8" s="2218"/>
      <c r="L8" s="686"/>
      <c r="M8" s="729"/>
    </row>
    <row r="9" spans="1:14" ht="15.75">
      <c r="A9" s="689" t="s">
        <v>3011</v>
      </c>
      <c r="B9" s="689"/>
      <c r="C9" s="2218" t="s">
        <v>1784</v>
      </c>
      <c r="D9" s="2218"/>
      <c r="E9" s="727"/>
      <c r="F9" s="728" t="s">
        <v>3012</v>
      </c>
      <c r="G9" s="727"/>
      <c r="H9" s="2218" t="str">
        <f>'Part II-Development Team'!H5</f>
        <v>BJS Lovejoy Place, LP</v>
      </c>
      <c r="I9" s="2218"/>
      <c r="J9" s="2218"/>
      <c r="K9" s="2218"/>
      <c r="L9" s="2218"/>
      <c r="M9" s="729"/>
    </row>
    <row r="10" spans="1:14" ht="15.75">
      <c r="A10" s="689" t="s">
        <v>3014</v>
      </c>
      <c r="B10" s="686"/>
      <c r="C10" s="1458" t="str">
        <f>'Part II-Development Team'!H14</f>
        <v>BJS Lovejoy General, LLC</v>
      </c>
      <c r="D10" s="727"/>
      <c r="E10" s="727"/>
      <c r="F10" s="728" t="s">
        <v>3583</v>
      </c>
      <c r="G10" s="727"/>
      <c r="H10" s="2218" t="str">
        <f>'Part II-Development Team'!H33</f>
        <v>Affordable Equity Partners</v>
      </c>
      <c r="I10" s="2218"/>
      <c r="J10" s="2218"/>
      <c r="K10" s="2218" t="str">
        <f>'Part II-Development Team'!H39</f>
        <v>Affordable Equity Partners</v>
      </c>
      <c r="L10" s="2218"/>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8" t="str">
        <f>'Part II-Development Team'!H54</f>
        <v>Beverly J. Searles Foundation</v>
      </c>
      <c r="I11" s="2218"/>
      <c r="J11" s="2218"/>
      <c r="K11" s="2218">
        <f>'Part II-Development Team'!H60</f>
        <v>0</v>
      </c>
      <c r="L11" s="2218"/>
      <c r="M11" s="2218">
        <f>'Part II-Development Team'!H66</f>
        <v>0</v>
      </c>
      <c r="N11" s="2218"/>
    </row>
    <row r="12" spans="1:14" ht="15.75">
      <c r="A12" s="689" t="s">
        <v>3016</v>
      </c>
      <c r="B12" s="686"/>
      <c r="C12" s="1458" t="str">
        <f>'Part II-Development Team'!H86</f>
        <v>Fairway Construction, Inc.</v>
      </c>
      <c r="D12" s="727"/>
      <c r="E12" s="727"/>
      <c r="F12" s="728" t="s">
        <v>3017</v>
      </c>
      <c r="G12" s="727"/>
      <c r="H12" s="2218" t="str">
        <f>'Part II-Development Team'!H92</f>
        <v>Fairway Management, Inc.</v>
      </c>
      <c r="I12" s="2218"/>
      <c r="J12" s="2218"/>
      <c r="K12" s="2218"/>
      <c r="L12" s="686"/>
      <c r="M12" s="686"/>
    </row>
    <row r="13" spans="1:14" ht="15.75">
      <c r="A13" s="689" t="s">
        <v>3018</v>
      </c>
      <c r="B13" s="728"/>
      <c r="C13" s="685">
        <f>'Part VI-Revenues &amp; Expenses'!$O$62</f>
        <v>76</v>
      </c>
      <c r="E13" s="1389">
        <f>'Part VI-Revenues &amp; Expenses'!$O$58</f>
        <v>64</v>
      </c>
      <c r="F13" s="728" t="s">
        <v>4300</v>
      </c>
      <c r="G13" s="727"/>
      <c r="H13" s="1459">
        <f>'Part I-Project Information'!H72</f>
        <v>1</v>
      </c>
      <c r="I13" s="1390"/>
      <c r="J13" s="1390"/>
      <c r="K13" s="1459">
        <f>'Part I-Project Information'!P71</f>
        <v>77610</v>
      </c>
      <c r="L13" s="686"/>
      <c r="M13" s="686"/>
    </row>
    <row r="14" spans="1:14" ht="15.75">
      <c r="A14" s="689" t="s">
        <v>3326</v>
      </c>
      <c r="B14" s="686"/>
      <c r="C14" s="1459" t="str">
        <f>'Part I-Project Information'!H78</f>
        <v>HFOP</v>
      </c>
      <c r="D14" s="2218" t="str">
        <f>IF('Part I-Project Information'!N70=0,"",'Part I-Project Information'!N70)</f>
        <v/>
      </c>
      <c r="E14" s="2218"/>
      <c r="F14" s="728" t="s">
        <v>3019</v>
      </c>
      <c r="G14" s="727"/>
      <c r="H14" s="2223" t="s">
        <v>3522</v>
      </c>
      <c r="I14" s="2223"/>
      <c r="J14" s="2223"/>
      <c r="K14" s="2223" t="s">
        <v>3522</v>
      </c>
      <c r="L14" s="2223"/>
      <c r="M14" s="686"/>
    </row>
    <row r="15" spans="1:14" ht="15.75">
      <c r="A15" s="689" t="s">
        <v>3020</v>
      </c>
      <c r="B15" s="686"/>
      <c r="C15" s="730" t="s">
        <v>1784</v>
      </c>
      <c r="D15" s="727"/>
      <c r="E15" s="727"/>
      <c r="F15" s="728" t="s">
        <v>3327</v>
      </c>
      <c r="G15" s="727"/>
      <c r="H15" s="1458" t="str">
        <f>'Part I-Project Information'!K40</f>
        <v>Urban</v>
      </c>
      <c r="I15" s="727"/>
      <c r="J15" s="727"/>
      <c r="K15" s="727"/>
      <c r="L15" s="686"/>
      <c r="M15" s="686"/>
    </row>
    <row r="16" spans="1:14" ht="15.75">
      <c r="A16" s="689" t="s">
        <v>3556</v>
      </c>
      <c r="B16" s="686"/>
      <c r="C16" s="1458" t="str">
        <f>'Part I-Project Information'!H96</f>
        <v>Yes</v>
      </c>
      <c r="D16" s="731" t="s">
        <v>2696</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13541444</v>
      </c>
      <c r="D18" s="1437">
        <f>IF(C18=0,"",$C$29/C18)</f>
        <v>0.21415736755991457</v>
      </c>
      <c r="E18" s="727" t="s">
        <v>3330</v>
      </c>
      <c r="F18" s="728" t="s">
        <v>3331</v>
      </c>
      <c r="G18" s="727"/>
      <c r="H18" s="2217">
        <f>'Part IV-A-Uses of Funds'!B44</f>
        <v>8533208</v>
      </c>
      <c r="I18" s="2217"/>
      <c r="J18" s="1436">
        <f>IF(H18=0,"",$C$29/H18)</f>
        <v>0.33984874152839117</v>
      </c>
      <c r="K18" s="2218" t="s">
        <v>3332</v>
      </c>
      <c r="L18" s="2218"/>
      <c r="M18" s="686"/>
    </row>
    <row r="19" spans="1:13" ht="15.75">
      <c r="A19" s="689" t="s">
        <v>3021</v>
      </c>
      <c r="B19" s="686"/>
      <c r="C19" s="1460">
        <f>C18/C13</f>
        <v>178176.89473684211</v>
      </c>
      <c r="D19" s="727"/>
      <c r="E19" s="686"/>
      <c r="F19" s="689" t="s">
        <v>3021</v>
      </c>
      <c r="G19" s="686"/>
      <c r="H19" s="2219">
        <f>H18/C13</f>
        <v>112279.05263157895</v>
      </c>
      <c r="I19" s="2219"/>
      <c r="J19" s="686"/>
      <c r="K19" s="686"/>
      <c r="L19" s="686"/>
      <c r="M19" s="686"/>
    </row>
    <row r="20" spans="1:13" ht="15.75">
      <c r="A20" s="689" t="s">
        <v>3022</v>
      </c>
      <c r="B20" s="686"/>
      <c r="C20" s="1462">
        <f>C18/K13</f>
        <v>174.4806597088004</v>
      </c>
      <c r="D20" s="732"/>
      <c r="E20" s="733"/>
      <c r="F20" s="689" t="s">
        <v>3022</v>
      </c>
      <c r="G20" s="686"/>
      <c r="H20" s="2220">
        <f>H18/K13</f>
        <v>109.94985182321865</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Sterling Bank Perm Loan</v>
      </c>
      <c r="C25" s="739">
        <f>'Part III-Sources of Funds'!I37</f>
        <v>2900000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2900000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10560000</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2900000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0.21415736755991457</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0.33984874152839117</v>
      </c>
      <c r="D40" s="686"/>
      <c r="E40" s="686"/>
      <c r="F40" s="689"/>
      <c r="G40" s="689" t="s">
        <v>3042</v>
      </c>
      <c r="H40" s="686"/>
      <c r="I40" s="686"/>
      <c r="K40" s="741">
        <f>C30/C18</f>
        <v>0.77982820739058556</v>
      </c>
      <c r="L40" s="686"/>
      <c r="M40" s="686"/>
    </row>
    <row r="46" spans="1:13" ht="15.75">
      <c r="A46" s="752" t="s">
        <v>3043</v>
      </c>
      <c r="B46" s="722"/>
      <c r="C46" s="722"/>
      <c r="D46" s="722"/>
      <c r="E46" s="722"/>
      <c r="F46" s="722"/>
      <c r="G46" s="722"/>
      <c r="H46" s="722"/>
      <c r="I46" s="722"/>
      <c r="J46" s="722"/>
      <c r="K46" s="722"/>
      <c r="L46" s="722"/>
      <c r="M46" s="686"/>
    </row>
    <row r="47" spans="1:13" ht="15.75">
      <c r="A47" s="752" t="str">
        <f>C8</f>
        <v>Myrtle Terraces Phase 2</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1" t="s">
        <v>3046</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665472</v>
      </c>
      <c r="D52" s="758"/>
      <c r="E52" s="758">
        <f>$C$52</f>
        <v>665472</v>
      </c>
      <c r="F52" s="758"/>
      <c r="G52" s="758">
        <f>$C$52</f>
        <v>665472</v>
      </c>
      <c r="H52" s="758"/>
      <c r="I52" s="758">
        <f>$C$52</f>
        <v>665472</v>
      </c>
      <c r="J52" s="758"/>
      <c r="K52" s="758">
        <f>$C$52</f>
        <v>665472</v>
      </c>
      <c r="L52" s="759"/>
      <c r="M52" s="28"/>
      <c r="N52" s="28"/>
    </row>
    <row r="53" spans="1:14" s="686" customFormat="1" ht="18.75" customHeight="1">
      <c r="B53" s="757" t="s">
        <v>3050</v>
      </c>
      <c r="C53" s="758">
        <f>'Part VII-Pro Forma'!B15</f>
        <v>13309.44</v>
      </c>
      <c r="D53" s="758"/>
      <c r="E53" s="758">
        <f>$C$53</f>
        <v>13309.44</v>
      </c>
      <c r="F53" s="758"/>
      <c r="G53" s="758">
        <f>$C$53</f>
        <v>13309.44</v>
      </c>
      <c r="H53" s="758"/>
      <c r="I53" s="758">
        <f>$C$53</f>
        <v>13309.44</v>
      </c>
      <c r="J53" s="758"/>
      <c r="K53" s="758">
        <f>$C$53</f>
        <v>13309.44</v>
      </c>
      <c r="L53" s="759"/>
      <c r="M53" s="28"/>
      <c r="N53" s="28"/>
    </row>
    <row r="54" spans="1:14" s="686" customFormat="1" ht="18.75" customHeight="1">
      <c r="B54" s="757" t="s">
        <v>3048</v>
      </c>
      <c r="C54" s="758">
        <f>'Part VII-Pro Forma'!B16</f>
        <v>-47514.700799999999</v>
      </c>
      <c r="D54" s="758"/>
      <c r="E54" s="758">
        <f>-($C$52+E53)*F50</f>
        <v>-67878.144</v>
      </c>
      <c r="F54" s="760"/>
      <c r="G54" s="758">
        <f>-($C$52+G53)*0.07</f>
        <v>-47514.700799999999</v>
      </c>
      <c r="H54" s="758"/>
      <c r="I54" s="758">
        <f>-($C$52+I53)*0.07</f>
        <v>-47514.700799999999</v>
      </c>
      <c r="J54" s="758"/>
      <c r="K54" s="758">
        <f>-($C$52+K53)*L54</f>
        <v>-67878.144</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631266.73919999995</v>
      </c>
      <c r="D56" s="758"/>
      <c r="E56" s="764">
        <f>SUM(E52:E55)</f>
        <v>610903.29599999997</v>
      </c>
      <c r="F56" s="758"/>
      <c r="G56" s="764">
        <f>SUM(G52:G55)</f>
        <v>631266.73919999995</v>
      </c>
      <c r="H56" s="758"/>
      <c r="I56" s="764">
        <f>SUM(I52:I55)</f>
        <v>631266.73919999995</v>
      </c>
      <c r="J56" s="758"/>
      <c r="K56" s="764">
        <f>SUM(K52:K55)</f>
        <v>610903.29599999997</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141730</v>
      </c>
      <c r="D58" s="758"/>
      <c r="E58" s="758">
        <f>$C$58</f>
        <v>141730</v>
      </c>
      <c r="F58" s="758"/>
      <c r="G58" s="758">
        <f>$C$58</f>
        <v>141730</v>
      </c>
      <c r="H58" s="758"/>
      <c r="I58" s="758">
        <f>$C$58</f>
        <v>141730</v>
      </c>
      <c r="J58" s="758"/>
      <c r="K58" s="758">
        <f>$C$58</f>
        <v>141730</v>
      </c>
      <c r="L58" s="759"/>
      <c r="M58" s="28"/>
      <c r="N58" s="28"/>
    </row>
    <row r="59" spans="1:14" s="686" customFormat="1" ht="18.75" customHeight="1">
      <c r="B59" s="757" t="s">
        <v>3053</v>
      </c>
      <c r="C59" s="758">
        <f>+'Part VI-Revenues &amp; Expenses'!F188</f>
        <v>37400</v>
      </c>
      <c r="D59" s="758"/>
      <c r="E59" s="758">
        <f>$C$59</f>
        <v>37400</v>
      </c>
      <c r="F59" s="758"/>
      <c r="G59" s="758">
        <f>$C$59</f>
        <v>37400</v>
      </c>
      <c r="H59" s="758"/>
      <c r="I59" s="758">
        <f>$C$59</f>
        <v>37400</v>
      </c>
      <c r="J59" s="758"/>
      <c r="K59" s="758">
        <f>$C$59*(1+$L$59)</f>
        <v>38896</v>
      </c>
      <c r="L59" s="766">
        <v>0.04</v>
      </c>
      <c r="M59" s="28"/>
      <c r="N59" s="28"/>
    </row>
    <row r="60" spans="1:14" s="686" customFormat="1" ht="18.75" customHeight="1">
      <c r="B60" s="757" t="s">
        <v>1387</v>
      </c>
      <c r="C60" s="758">
        <f>+'Part VI-Revenues &amp; Expenses'!K185</f>
        <v>97128</v>
      </c>
      <c r="D60" s="758"/>
      <c r="E60" s="758">
        <f>$C$60</f>
        <v>97128</v>
      </c>
      <c r="F60" s="758"/>
      <c r="G60" s="758">
        <f>$C$60</f>
        <v>97128</v>
      </c>
      <c r="H60" s="758"/>
      <c r="I60" s="758">
        <f>$C$60*(1+$J$50)</f>
        <v>100041.84</v>
      </c>
      <c r="J60" s="760"/>
      <c r="K60" s="758">
        <f>$C$60*(1+$J$50)</f>
        <v>100041.84</v>
      </c>
      <c r="L60" s="761">
        <v>0.03</v>
      </c>
      <c r="M60" s="28"/>
      <c r="N60" s="28"/>
    </row>
    <row r="61" spans="1:14" s="686" customFormat="1" ht="18.75" customHeight="1">
      <c r="B61" s="757" t="s">
        <v>1388</v>
      </c>
      <c r="C61" s="758">
        <f>+'Part VI-Revenues &amp; Expenses'!P167</f>
        <v>67940</v>
      </c>
      <c r="D61" s="758"/>
      <c r="E61" s="758">
        <f>$C$61</f>
        <v>67940</v>
      </c>
      <c r="F61" s="758"/>
      <c r="G61" s="758">
        <f>$C$61*(1+H50)</f>
        <v>71337</v>
      </c>
      <c r="H61" s="760"/>
      <c r="I61" s="758">
        <f>$C$61</f>
        <v>67940</v>
      </c>
      <c r="J61" s="758"/>
      <c r="K61" s="758">
        <f>$C$61*(1+$L$61)</f>
        <v>71337</v>
      </c>
      <c r="L61" s="761">
        <v>0.05</v>
      </c>
      <c r="M61" s="28"/>
      <c r="N61" s="28"/>
    </row>
    <row r="62" spans="1:14" s="686" customFormat="1" ht="18.75" customHeight="1">
      <c r="B62" s="763" t="s">
        <v>3054</v>
      </c>
      <c r="C62" s="764">
        <f>SUM(C58:C61)</f>
        <v>344198</v>
      </c>
      <c r="D62" s="758"/>
      <c r="E62" s="764">
        <f>SUM(E58:E61)</f>
        <v>344198</v>
      </c>
      <c r="F62" s="758"/>
      <c r="G62" s="764">
        <f>SUM(G58:G61)</f>
        <v>347595</v>
      </c>
      <c r="H62" s="758"/>
      <c r="I62" s="764">
        <f>SUM(I58:I61)</f>
        <v>347111.83999999997</v>
      </c>
      <c r="J62" s="758"/>
      <c r="K62" s="764">
        <f>SUM(K58:K61)</f>
        <v>352004.83999999997</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287068.73919999995</v>
      </c>
      <c r="D64" s="770"/>
      <c r="E64" s="770">
        <f>E56-E62</f>
        <v>266705.29599999997</v>
      </c>
      <c r="F64" s="770"/>
      <c r="G64" s="770">
        <f>G56-G62</f>
        <v>283671.73919999995</v>
      </c>
      <c r="H64" s="770"/>
      <c r="I64" s="770">
        <f>I56-I62</f>
        <v>284154.89919999999</v>
      </c>
      <c r="J64" s="770"/>
      <c r="K64" s="770">
        <f>K56-K62</f>
        <v>258898.45600000001</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19000</v>
      </c>
      <c r="D66" s="765"/>
      <c r="E66" s="765">
        <f>$C$66</f>
        <v>19000</v>
      </c>
      <c r="F66" s="765"/>
      <c r="G66" s="765">
        <f>$C$66</f>
        <v>19000</v>
      </c>
      <c r="H66" s="765"/>
      <c r="I66" s="765">
        <f>$C$66</f>
        <v>19000</v>
      </c>
      <c r="J66" s="765"/>
      <c r="K66" s="765">
        <f>$C$66</f>
        <v>19000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31563</v>
      </c>
      <c r="D68" s="765"/>
      <c r="E68" s="765">
        <f>$C$68</f>
        <v>31563</v>
      </c>
      <c r="F68" s="765"/>
      <c r="G68" s="765">
        <f>$C$68</f>
        <v>31563</v>
      </c>
      <c r="H68" s="765"/>
      <c r="I68" s="765">
        <f>$C$68</f>
        <v>31563</v>
      </c>
      <c r="J68" s="765"/>
      <c r="K68" s="765">
        <f>$C$68</f>
        <v>31563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236505.73919999995</v>
      </c>
      <c r="D70" s="774"/>
      <c r="E70" s="773">
        <f>E64-E66-E68</f>
        <v>216142.29599999997</v>
      </c>
      <c r="F70" s="774"/>
      <c r="G70" s="773">
        <f>G64-G66-G68</f>
        <v>233108.73919999995</v>
      </c>
      <c r="H70" s="774"/>
      <c r="I70" s="773">
        <f>I64-I66-I68</f>
        <v>233591.89919999999</v>
      </c>
      <c r="J70" s="774"/>
      <c r="K70" s="773">
        <f>K64-K66-K68</f>
        <v>208335.45600000001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1.2060802968150812</v>
      </c>
      <c r="D72" s="776"/>
      <c r="E72" s="1438">
        <f>-E70/E75</f>
        <v>1.1022352582045636</v>
      </c>
      <c r="F72" s="776"/>
      <c r="G72" s="1438">
        <f>-G70/G75</f>
        <v>1.1887570183942722</v>
      </c>
      <c r="H72" s="776"/>
      <c r="I72" s="1438">
        <f>-I70/I75</f>
        <v>1.1912209322011014</v>
      </c>
      <c r="J72" s="776"/>
      <c r="K72" s="1438">
        <f>-K70/K75</f>
        <v>1.0624236412170134</v>
      </c>
      <c r="L72" s="777"/>
      <c r="M72" s="254"/>
      <c r="N72" s="254"/>
    </row>
    <row r="73" spans="1:14" s="686" customFormat="1" ht="18.75" customHeight="1">
      <c r="A73" s="28"/>
      <c r="B73" s="757" t="s">
        <v>3060</v>
      </c>
      <c r="C73" s="1439">
        <f>C76/C62</f>
        <v>0.11740689161732387</v>
      </c>
      <c r="D73" s="778"/>
      <c r="E73" s="1439">
        <f>E76/E62</f>
        <v>5.8244888351761663E-2</v>
      </c>
      <c r="F73" s="778"/>
      <c r="G73" s="1439">
        <f>G76/G62</f>
        <v>0.1064866217318996</v>
      </c>
      <c r="H73" s="778"/>
      <c r="I73" s="1439">
        <f>I76/I62</f>
        <v>0.10802678837143578</v>
      </c>
      <c r="J73" s="778"/>
      <c r="K73" s="1439">
        <f>K76/K62</f>
        <v>3.4774902756733957E-2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-196094.52191910031</v>
      </c>
      <c r="D75" s="758"/>
      <c r="E75" s="758">
        <f>$C$75</f>
        <v>-196094.52191910031</v>
      </c>
      <c r="F75" s="758"/>
      <c r="G75" s="758">
        <f>$C$75</f>
        <v>-196094.52191910031</v>
      </c>
      <c r="H75" s="758"/>
      <c r="I75" s="758">
        <f>$C$75</f>
        <v>-196094.52191910031</v>
      </c>
      <c r="J75" s="758"/>
      <c r="K75" s="758">
        <f>$C$75</f>
        <v>-196094.52191910031</v>
      </c>
      <c r="L75" s="34"/>
      <c r="M75" s="28"/>
      <c r="N75" s="28"/>
    </row>
    <row r="76" spans="1:14" s="686" customFormat="1" ht="18.75" customHeight="1">
      <c r="A76" s="28"/>
      <c r="B76" s="757" t="s">
        <v>1175</v>
      </c>
      <c r="C76" s="758">
        <f>C70+C75</f>
        <v>40411.21728089964</v>
      </c>
      <c r="D76" s="758"/>
      <c r="E76" s="758">
        <f>E70+E75</f>
        <v>20047.77408089966</v>
      </c>
      <c r="F76" s="758"/>
      <c r="G76" s="758">
        <f>G70+G75</f>
        <v>37014.21728089964</v>
      </c>
      <c r="H76" s="758"/>
      <c r="I76" s="758">
        <f>I70+I75</f>
        <v>37497.377280899673</v>
      </c>
      <c r="J76" s="758"/>
      <c r="K76" s="758">
        <f>K70+K75</f>
        <v>12240.934080899693</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Myrtle Terraces Phase 2</v>
      </c>
    </row>
    <row r="13" spans="1:10" ht="15">
      <c r="A13" s="699"/>
      <c r="D13" s="698" t="s">
        <v>2958</v>
      </c>
      <c r="F13" s="1467" t="str">
        <f>Overview!E8</f>
        <v>2018-037</v>
      </c>
    </row>
    <row r="14" spans="1:10" ht="15">
      <c r="A14" s="699"/>
      <c r="D14" s="698" t="s">
        <v>2959</v>
      </c>
      <c r="F14" s="1467" t="str">
        <f>Overview!H8</f>
        <v>Gainesville, Hall</v>
      </c>
    </row>
    <row r="15" spans="1:10" ht="15">
      <c r="A15" s="699"/>
      <c r="D15" s="698" t="s">
        <v>3323</v>
      </c>
      <c r="F15" s="2224">
        <f>Overview!$C$25</f>
        <v>2900000</v>
      </c>
      <c r="G15" s="2224"/>
      <c r="H15" s="2224"/>
    </row>
    <row r="16" spans="1:10" ht="15">
      <c r="A16" s="699"/>
      <c r="D16" s="701" t="s">
        <v>2960</v>
      </c>
      <c r="F16" s="702">
        <f>Overview!C13</f>
        <v>76</v>
      </c>
      <c r="G16" s="703" t="s">
        <v>3324</v>
      </c>
      <c r="H16" s="1391">
        <f>Overview!E13</f>
        <v>64</v>
      </c>
    </row>
    <row r="17" spans="1:18" ht="15">
      <c r="A17" s="699"/>
      <c r="D17" s="701" t="s">
        <v>2923</v>
      </c>
      <c r="F17" s="702" t="str">
        <f>Overview!C14</f>
        <v>HFOP</v>
      </c>
    </row>
    <row r="18" spans="1:18" ht="15">
      <c r="A18" s="699"/>
      <c r="D18" s="701" t="s">
        <v>3328</v>
      </c>
      <c r="F18" s="1467" t="str">
        <f>Overview!H15</f>
        <v>Urban</v>
      </c>
    </row>
    <row r="19" spans="1:18" ht="15">
      <c r="A19" s="699"/>
      <c r="D19" s="701" t="s">
        <v>3325</v>
      </c>
      <c r="F19" s="1467">
        <f>Overview!E16</f>
        <v>0</v>
      </c>
    </row>
    <row r="20" spans="1:18" ht="15">
      <c r="A20" s="699"/>
      <c r="D20" s="701"/>
    </row>
    <row r="21" spans="1:18" ht="15">
      <c r="A21" s="704" t="s">
        <v>2961</v>
      </c>
    </row>
    <row r="22" spans="1:18" ht="111.75" customHeight="1">
      <c r="A22" s="2231" t="s">
        <v>3521</v>
      </c>
      <c r="B22" s="2231"/>
      <c r="C22" s="2231"/>
      <c r="D22" s="2231"/>
      <c r="E22" s="2231"/>
      <c r="F22" s="2231"/>
      <c r="G22" s="2231"/>
      <c r="H22" s="2231"/>
      <c r="I22" s="2231"/>
      <c r="J22" s="2231"/>
      <c r="L22" s="2239" t="s">
        <v>3333</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2962</v>
      </c>
    </row>
    <row r="27" spans="1:18" ht="14.25" customHeight="1">
      <c r="A27" s="2242" t="s">
        <v>2963</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2964</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41" t="s">
        <v>4291</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4301</v>
      </c>
      <c r="B44" s="2210"/>
      <c r="C44" s="2210"/>
      <c r="D44" s="2210"/>
      <c r="E44" s="2210"/>
      <c r="F44" s="2210"/>
      <c r="G44" s="2210"/>
      <c r="H44" s="2210"/>
      <c r="I44" s="2210"/>
      <c r="J44" s="2209"/>
    </row>
    <row r="45" spans="1:10" ht="3" customHeight="1"/>
    <row r="46" spans="1:10" ht="72.75" customHeight="1">
      <c r="A46" s="2209" t="s">
        <v>4302</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4303</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4304</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3334</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4305</v>
      </c>
      <c r="B54" s="2228"/>
      <c r="C54" s="2228"/>
      <c r="D54" s="2228"/>
      <c r="E54" s="2228"/>
      <c r="F54" s="2228"/>
      <c r="G54" s="2228"/>
      <c r="H54" s="2228"/>
      <c r="I54" s="2228"/>
      <c r="J54" s="2228"/>
    </row>
    <row r="55" spans="1:17" ht="3" customHeight="1"/>
    <row r="56" spans="1:17" ht="73.5" customHeight="1">
      <c r="A56" s="2209" t="s">
        <v>4306</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31" t="s">
        <v>2970</v>
      </c>
      <c r="B59" s="2231"/>
      <c r="C59" s="2231"/>
      <c r="D59" s="2231"/>
      <c r="E59" s="2231"/>
      <c r="F59" s="2231"/>
      <c r="G59" s="2231"/>
      <c r="H59" s="2231"/>
      <c r="I59" s="2231"/>
      <c r="J59" s="2231"/>
      <c r="L59" s="706">
        <f>'Closing term sheet'!C133</f>
        <v>749278</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8" t="s">
        <v>3411</v>
      </c>
      <c r="B61" s="2228"/>
      <c r="C61" s="2228"/>
      <c r="D61" s="2228"/>
      <c r="E61" s="2228"/>
      <c r="F61" s="2228"/>
      <c r="G61" s="2228"/>
      <c r="H61" s="2228"/>
      <c r="I61" s="2228"/>
      <c r="J61" s="711"/>
      <c r="L61" s="712">
        <f>'Part III-Sources of Funds'!I49</f>
        <v>7269075</v>
      </c>
      <c r="M61" s="713">
        <f>'Part IV-A-Uses of Funds'!$J$175</f>
        <v>825000</v>
      </c>
      <c r="N61" s="714">
        <f>'Part IV-A-Uses of Funds'!N168</f>
        <v>0.89</v>
      </c>
      <c r="O61" s="712">
        <f>'Part III-Sources of Funds'!I50</f>
        <v>3290925</v>
      </c>
      <c r="P61" s="713">
        <f>M61</f>
        <v>825000</v>
      </c>
      <c r="Q61" s="714">
        <f>'Part IV-A-Uses of Funds'!Q168</f>
        <v>0.39</v>
      </c>
    </row>
    <row r="62" spans="1:17" ht="18.75" customHeight="1">
      <c r="A62" s="715" t="s">
        <v>2971</v>
      </c>
    </row>
    <row r="63" spans="1:17" ht="159.75" customHeight="1">
      <c r="A63" s="2228" t="s">
        <v>4307</v>
      </c>
      <c r="B63" s="2228"/>
      <c r="C63" s="2228"/>
      <c r="D63" s="2228"/>
      <c r="E63" s="2228"/>
      <c r="F63" s="2228"/>
      <c r="G63" s="2228"/>
      <c r="H63" s="2228"/>
      <c r="I63" s="2228"/>
      <c r="J63" s="2228"/>
      <c r="L63" s="716">
        <f>'Part VII-Pro Forma'!K67</f>
        <v>1948946.4835516913</v>
      </c>
      <c r="M63" s="2232" t="s">
        <v>3520</v>
      </c>
      <c r="N63" s="2233"/>
    </row>
    <row r="64" spans="1:17" ht="6" customHeight="1">
      <c r="A64" s="704"/>
    </row>
    <row r="65" spans="1:10" ht="15">
      <c r="A65" s="704" t="s">
        <v>2972</v>
      </c>
    </row>
    <row r="66" spans="1:10" ht="66.75" customHeight="1">
      <c r="A66" s="2228" t="s">
        <v>2973</v>
      </c>
      <c r="B66" s="2228"/>
      <c r="C66" s="2228"/>
      <c r="D66" s="2228"/>
      <c r="E66" s="2228"/>
      <c r="F66" s="2228"/>
      <c r="G66" s="2228"/>
      <c r="H66" s="2228"/>
      <c r="I66" s="2228"/>
      <c r="J66" s="2228"/>
    </row>
    <row r="67" spans="1:10" ht="36" customHeight="1">
      <c r="A67" s="2228" t="s">
        <v>2974</v>
      </c>
      <c r="B67" s="2228"/>
      <c r="C67" s="2228"/>
      <c r="D67" s="2228"/>
      <c r="E67" s="2228"/>
      <c r="F67" s="2228"/>
      <c r="G67" s="2228"/>
      <c r="H67" s="2228"/>
      <c r="I67" s="2228"/>
      <c r="J67" s="2228"/>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4519</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2980</v>
      </c>
      <c r="B78" s="2236"/>
      <c r="C78" s="2236"/>
      <c r="D78" s="703"/>
      <c r="E78" s="703"/>
      <c r="F78" s="703"/>
      <c r="G78" s="703"/>
      <c r="H78" s="703"/>
      <c r="I78" s="703"/>
      <c r="J78" s="717"/>
    </row>
    <row r="79" spans="1:10" ht="41.25" customHeight="1">
      <c r="A79" s="2228" t="s">
        <v>4308</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2981</v>
      </c>
    </row>
    <row r="82" spans="1:15" ht="139.5" customHeight="1">
      <c r="A82" s="2228" t="s">
        <v>2982</v>
      </c>
      <c r="B82" s="2228"/>
      <c r="C82" s="2228"/>
      <c r="D82" s="2228"/>
      <c r="E82" s="2228"/>
      <c r="F82" s="2228"/>
      <c r="G82" s="2228"/>
      <c r="H82" s="2228"/>
      <c r="I82" s="2228"/>
      <c r="J82" s="2228"/>
      <c r="L82" s="2238" t="s">
        <v>2983</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8" t="s">
        <v>2985</v>
      </c>
      <c r="B85" s="2228"/>
      <c r="C85" s="2228"/>
      <c r="D85" s="2228"/>
      <c r="E85" s="2228"/>
      <c r="F85" s="2228"/>
      <c r="G85" s="2228"/>
      <c r="H85" s="2228"/>
      <c r="I85" s="2228"/>
      <c r="J85" s="2228"/>
      <c r="L85" s="2238" t="s">
        <v>2986</v>
      </c>
      <c r="M85" s="2238"/>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0" t="s">
        <v>2990</v>
      </c>
      <c r="B89" s="2210"/>
      <c r="C89" s="2210"/>
      <c r="D89" s="2209"/>
      <c r="E89" s="1457"/>
      <c r="F89" s="1457"/>
      <c r="G89" s="1457"/>
      <c r="H89" s="1457"/>
      <c r="I89" s="1457"/>
      <c r="J89" s="1457"/>
    </row>
    <row r="90" spans="1:15" ht="109.5" customHeight="1">
      <c r="A90" s="2226" t="s">
        <v>2991</v>
      </c>
      <c r="B90" s="2227"/>
      <c r="C90" s="2227"/>
      <c r="D90" s="2227"/>
      <c r="E90" s="2227"/>
      <c r="F90" s="2227"/>
      <c r="G90" s="2227"/>
      <c r="H90" s="2227"/>
      <c r="I90" s="2227"/>
      <c r="J90" s="2227"/>
    </row>
    <row r="91" spans="1:15" ht="11.25" customHeight="1">
      <c r="A91" s="704"/>
    </row>
    <row r="92" spans="1:15" ht="15">
      <c r="A92" s="704" t="s">
        <v>2992</v>
      </c>
    </row>
    <row r="93" spans="1:15" ht="122.25" customHeight="1">
      <c r="A93" s="2231" t="s">
        <v>2993</v>
      </c>
      <c r="B93" s="2231"/>
      <c r="C93" s="2231"/>
      <c r="D93" s="2231"/>
      <c r="E93" s="2231"/>
      <c r="F93" s="2231"/>
      <c r="G93" s="2231"/>
      <c r="H93" s="2231"/>
      <c r="I93" s="2231"/>
      <c r="J93" s="2231"/>
      <c r="L93" s="1395">
        <f>'Part VII-Pro Forma'!K67</f>
        <v>1948946.4835516913</v>
      </c>
      <c r="M93" s="2234" t="s">
        <v>2994</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2995</v>
      </c>
      <c r="B97" s="2210"/>
      <c r="C97" s="2210"/>
      <c r="D97" s="1457"/>
      <c r="E97" s="1457"/>
      <c r="F97" s="1457"/>
      <c r="G97" s="1457"/>
      <c r="H97" s="1457"/>
      <c r="I97" s="1457"/>
      <c r="J97" s="717"/>
    </row>
    <row r="98" spans="1:10" ht="37.5" customHeight="1">
      <c r="A98" s="2228" t="s">
        <v>2996</v>
      </c>
      <c r="B98" s="2228"/>
      <c r="C98" s="2228"/>
      <c r="D98" s="2228"/>
      <c r="E98" s="2228"/>
      <c r="F98" s="2228"/>
      <c r="G98" s="2228"/>
      <c r="H98" s="2228"/>
      <c r="I98" s="2228"/>
      <c r="J98" s="2228"/>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29" t="s">
        <v>3000</v>
      </c>
      <c r="B105" s="2229"/>
      <c r="C105" s="2229"/>
      <c r="D105" s="2229"/>
      <c r="E105" s="2229"/>
      <c r="F105" s="2229"/>
      <c r="G105" s="2229"/>
      <c r="H105" s="2229"/>
      <c r="I105" s="2229"/>
      <c r="J105" s="2229"/>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5" t="s">
        <v>4309</v>
      </c>
      <c r="B116" s="2225"/>
      <c r="C116" s="2225"/>
      <c r="D116" s="2225"/>
      <c r="E116" s="2225"/>
      <c r="H116" s="2225" t="s">
        <v>3004</v>
      </c>
      <c r="I116" s="2225"/>
      <c r="J116" s="2225"/>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Myrtle Terraces Phase 2</v>
      </c>
    </row>
    <row r="2" spans="1:15" ht="13.5" customHeight="1"/>
    <row r="3" spans="1:15" ht="13.5" customHeight="1">
      <c r="A3" s="699" t="s">
        <v>3067</v>
      </c>
      <c r="C3" s="698" t="s">
        <v>3068</v>
      </c>
      <c r="E3" s="784">
        <f>SUM('Part IV-A-Uses of Funds'!J149,'Part IV-A-Uses of Funds'!M149,'Part IV-A-Uses of Funds'!P149)</f>
        <v>11800538</v>
      </c>
      <c r="F3" s="1467" t="s">
        <v>3069</v>
      </c>
      <c r="H3" s="1440">
        <v>27.5</v>
      </c>
      <c r="I3" s="698" t="s">
        <v>2485</v>
      </c>
      <c r="K3" s="703" t="s">
        <v>3090</v>
      </c>
      <c r="M3" s="1467"/>
      <c r="O3" s="785"/>
    </row>
    <row r="4" spans="1:15" ht="13.5" customHeight="1">
      <c r="C4" s="698" t="s">
        <v>3578</v>
      </c>
      <c r="E4" s="784">
        <f>SUM('Part IV-A-Uses of Funds'!G85:H89)</f>
        <v>43000</v>
      </c>
      <c r="F4" s="1467" t="s">
        <v>4521</v>
      </c>
      <c r="H4" s="699">
        <f>'Part III-Sources of Funds'!M37</f>
        <v>35</v>
      </c>
      <c r="I4" s="698" t="s">
        <v>2485</v>
      </c>
      <c r="K4" s="786" t="s">
        <v>3335</v>
      </c>
      <c r="M4" s="1467"/>
    </row>
    <row r="5" spans="1:15" ht="13.5" customHeight="1">
      <c r="C5" s="698" t="s">
        <v>3579</v>
      </c>
      <c r="E5" s="784">
        <f>SUM('Part IV-A-Uses of Funds'!G96:H102)</f>
        <v>139300</v>
      </c>
      <c r="F5" s="1467" t="s">
        <v>4520</v>
      </c>
      <c r="H5" s="1440">
        <v>15</v>
      </c>
      <c r="I5" s="698" t="s">
        <v>2485</v>
      </c>
      <c r="K5" s="785">
        <f>-E6</f>
        <v>-10560000</v>
      </c>
    </row>
    <row r="6" spans="1:15" ht="13.5" customHeight="1">
      <c r="C6" s="698" t="s">
        <v>3070</v>
      </c>
      <c r="E6" s="787">
        <f>'Part III-Sources of Funds'!$I$49+'Part III-Sources of Funds'!$I$50</f>
        <v>10560000</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0.21728089964017272</v>
      </c>
      <c r="D9" s="792">
        <f>'Part VII-Pro Forma'!C30</f>
        <v>-0.38793510029790923</v>
      </c>
      <c r="E9" s="792">
        <f>'Part VII-Pro Forma'!D30</f>
        <v>27996.635344579729</v>
      </c>
      <c r="F9" s="792">
        <f>'Part VII-Pro Forma'!E30</f>
        <v>38439.530907853128</v>
      </c>
      <c r="G9" s="792">
        <f>'Part VII-Pro Forma'!F30</f>
        <v>39261.349354932347</v>
      </c>
      <c r="H9" s="792">
        <f>'Part VII-Pro Forma'!G30</f>
        <v>39980.941292669333</v>
      </c>
      <c r="I9" s="792">
        <f>'Part VII-Pro Forma'!H30</f>
        <v>40591.950304528465</v>
      </c>
      <c r="K9" s="785" t="e">
        <f>F24</f>
        <v>#VALUE!</v>
      </c>
      <c r="N9" s="793" t="s">
        <v>3076</v>
      </c>
    </row>
    <row r="10" spans="1:15" ht="13.5" customHeight="1">
      <c r="A10" s="698" t="s">
        <v>3075</v>
      </c>
      <c r="C10" s="1398">
        <f>'Part III-Sources of Funds'!I37-'Part VII-Pro Forma'!B37</f>
        <v>25681.616103743203</v>
      </c>
      <c r="D10" s="794">
        <f>'Part VII-Pro Forma'!B37-'Part VII-Pro Forma'!C37</f>
        <v>27238.484407216311</v>
      </c>
      <c r="E10" s="794">
        <f>'Part VII-Pro Forma'!C37-'Part VII-Pro Forma'!D37</f>
        <v>28889.733021669555</v>
      </c>
      <c r="F10" s="794">
        <f>'Part VII-Pro Forma'!D37-'Part VII-Pro Forma'!E37</f>
        <v>30641.083460658323</v>
      </c>
      <c r="G10" s="794">
        <f>'Part VII-Pro Forma'!E37-'Part VII-Pro Forma'!F37</f>
        <v>32498.604086745996</v>
      </c>
      <c r="H10" s="794">
        <f>'Part VII-Pro Forma'!F37-'Part VII-Pro Forma'!G37</f>
        <v>34468.731138150208</v>
      </c>
      <c r="I10" s="794">
        <f>'Part VII-Pro Forma'!G37-'Part VII-Pro Forma'!H37</f>
        <v>36558.291030064225</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-19000</v>
      </c>
      <c r="D13" s="1399">
        <f>'Part VII-Pro Forma'!C21</f>
        <v>-19570</v>
      </c>
      <c r="E13" s="1399">
        <f>'Part VII-Pro Forma'!D21</f>
        <v>-20157.099999999999</v>
      </c>
      <c r="F13" s="1399">
        <f>'Part VII-Pro Forma'!E21</f>
        <v>-20761.812999999998</v>
      </c>
      <c r="G13" s="1399">
        <f>'Part VII-Pro Forma'!F21</f>
        <v>-21384.667389999999</v>
      </c>
      <c r="H13" s="1399">
        <f>'Part VII-Pro Forma'!G21</f>
        <v>-22026.207411699997</v>
      </c>
      <c r="I13" s="1399">
        <f>'Part VII-Pro Forma'!H21</f>
        <v>-22686.993634050999</v>
      </c>
      <c r="K13" s="785" t="e">
        <f>C44</f>
        <v>#VALUE!</v>
      </c>
      <c r="O13" s="790"/>
    </row>
    <row r="14" spans="1:15" ht="13.5" customHeight="1">
      <c r="A14" s="796" t="s">
        <v>3582</v>
      </c>
      <c r="B14" s="797"/>
      <c r="C14" s="1399">
        <f>'Part VII-Pro Forma'!B29</f>
        <v>-35411</v>
      </c>
      <c r="D14" s="1399">
        <f>'Part VII-Pro Forma'!C29</f>
        <v>-36509</v>
      </c>
      <c r="E14" s="1399">
        <f>'Part VII-Pro Forma'!D29</f>
        <v>-9524</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429110.47272727272</v>
      </c>
      <c r="D15" s="799">
        <f t="shared" si="0"/>
        <v>429110.47272727272</v>
      </c>
      <c r="E15" s="799">
        <f t="shared" si="0"/>
        <v>429110.47272727272</v>
      </c>
      <c r="F15" s="799">
        <f t="shared" si="0"/>
        <v>429110.47272727272</v>
      </c>
      <c r="G15" s="799">
        <f t="shared" si="0"/>
        <v>429110.47272727272</v>
      </c>
      <c r="H15" s="799">
        <f t="shared" si="0"/>
        <v>429110.47272727272</v>
      </c>
      <c r="I15" s="799">
        <f t="shared" si="0"/>
        <v>429110.47272727272</v>
      </c>
      <c r="K15" s="785" t="e">
        <f>E44</f>
        <v>#VALUE!</v>
      </c>
      <c r="O15" s="790"/>
    </row>
    <row r="16" spans="1:15" ht="13.5" customHeight="1">
      <c r="A16" s="798" t="s">
        <v>3080</v>
      </c>
      <c r="C16" s="799">
        <f>IF(C$8&lt;=$H$4,($E$4/$H$4),0)+IF(C$8&lt;=$H$5,($E$5/$H$5),0)</f>
        <v>10515.238095238095</v>
      </c>
      <c r="D16" s="799">
        <f t="shared" ref="D16:I16" si="1">IF(D$8&lt;=$H$4,($E$4/$H$4),0)+IF(D$8&lt;=$H$5,($E$5/$H$5),0)</f>
        <v>10515.238095238095</v>
      </c>
      <c r="E16" s="799">
        <f t="shared" si="1"/>
        <v>10515.238095238095</v>
      </c>
      <c r="F16" s="799">
        <f t="shared" si="1"/>
        <v>10515.238095238095</v>
      </c>
      <c r="G16" s="799">
        <f t="shared" si="1"/>
        <v>10515.238095238095</v>
      </c>
      <c r="H16" s="799">
        <f t="shared" si="1"/>
        <v>10515.238095238095</v>
      </c>
      <c r="I16" s="799">
        <f t="shared" si="1"/>
        <v>10515.238095238095</v>
      </c>
      <c r="K16" s="785" t="e">
        <f>F44</f>
        <v>#VALUE!</v>
      </c>
      <c r="M16" s="698" t="s">
        <v>3084</v>
      </c>
      <c r="O16" s="790">
        <f>E3</f>
        <v>11800538</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8582209.4545454551</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3218328.5454545449</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825000</v>
      </c>
      <c r="D21" s="800">
        <f t="shared" ref="D21:I21" si="5">C21</f>
        <v>825000</v>
      </c>
      <c r="E21" s="800">
        <f t="shared" si="5"/>
        <v>825000</v>
      </c>
      <c r="F21" s="800">
        <f t="shared" si="5"/>
        <v>825000</v>
      </c>
      <c r="G21" s="800">
        <f t="shared" si="5"/>
        <v>825000</v>
      </c>
      <c r="H21" s="800">
        <f t="shared" si="5"/>
        <v>825000</v>
      </c>
      <c r="I21" s="800">
        <f t="shared" si="5"/>
        <v>825000</v>
      </c>
      <c r="J21" s="698" t="s">
        <v>245</v>
      </c>
      <c r="K21" s="785" t="e">
        <f>D64</f>
        <v>#VALUE!</v>
      </c>
      <c r="O21" s="790"/>
    </row>
    <row r="22" spans="1:17" ht="13.5" customHeight="1">
      <c r="A22" s="698" t="s">
        <v>3087</v>
      </c>
      <c r="C22" s="800">
        <f>C21</f>
        <v>825000</v>
      </c>
      <c r="D22" s="800">
        <f t="shared" ref="D22:I22" si="6">D21</f>
        <v>825000</v>
      </c>
      <c r="E22" s="800">
        <f t="shared" si="6"/>
        <v>825000</v>
      </c>
      <c r="F22" s="800">
        <f t="shared" si="6"/>
        <v>825000</v>
      </c>
      <c r="G22" s="800">
        <f t="shared" si="6"/>
        <v>825000</v>
      </c>
      <c r="H22" s="800">
        <f t="shared" si="6"/>
        <v>825000</v>
      </c>
      <c r="I22" s="800">
        <f t="shared" si="6"/>
        <v>825000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3218328.5454545449</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-3218328.5454545449</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41088.805689053435</v>
      </c>
      <c r="D29" s="792">
        <f>'Part VII-Pro Forma'!J30</f>
        <v>41465.714959470904</v>
      </c>
      <c r="E29" s="792">
        <f>'Part VII-Pro Forma'!K30</f>
        <v>41715.656096844265</v>
      </c>
      <c r="F29" s="792">
        <f>'Part VII-Pro Forma'!B60</f>
        <v>41832.36954895893</v>
      </c>
      <c r="G29" s="792">
        <f>'Part VII-Pro Forma'!C60</f>
        <v>41810.349966869806</v>
      </c>
      <c r="H29" s="792">
        <f>'Part VII-Pro Forma'!D60</f>
        <v>41640.837670795649</v>
      </c>
      <c r="I29" s="792">
        <f>'Part VII-Pro Forma'!E60</f>
        <v>41316.809836785804</v>
      </c>
      <c r="N29" s="803"/>
      <c r="O29" s="803"/>
    </row>
    <row r="30" spans="1:17" ht="13.5" customHeight="1">
      <c r="A30" s="698" t="s">
        <v>3075</v>
      </c>
      <c r="C30" s="794">
        <f>'Part VII-Pro Forma'!H37-'Part VII-Pro Forma'!I37</f>
        <v>38774.524007923435</v>
      </c>
      <c r="D30" s="794">
        <f>'Part VII-Pro Forma'!I37-'Part VII-Pro Forma'!J37</f>
        <v>41125.109234582167</v>
      </c>
      <c r="E30" s="794">
        <f>'Part VII-Pro Forma'!J37-'Part VII-Pro Forma'!K37</f>
        <v>43618.191398318857</v>
      </c>
      <c r="F30" s="1396">
        <f>'Part VII-Pro Forma'!K37-'Part VII-Pro Forma'!B67</f>
        <v>46262.408933871426</v>
      </c>
      <c r="G30" s="1396">
        <f>'Part VII-Pro Forma'!B67-'Part VII-Pro Forma'!C67</f>
        <v>49066.923954285216</v>
      </c>
      <c r="H30" s="1396">
        <f>'Part VII-Pro Forma'!C67-'Part VII-Pro Forma'!D67</f>
        <v>52041.453997283708</v>
      </c>
      <c r="I30" s="1396">
        <f>'Part VII-Pro Forma'!D67-'Part VII-Pro Forma'!E67</f>
        <v>55196.305696168449</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-643665.70909090899</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-23367.60344307253</v>
      </c>
      <c r="D33" s="1399">
        <f>'Part VII-Pro Forma'!J21</f>
        <v>-24068.631546364704</v>
      </c>
      <c r="E33" s="1399">
        <f>'Part VII-Pro Forma'!K21</f>
        <v>-24790.690492755646</v>
      </c>
      <c r="F33" s="1399">
        <f>'Part VII-Pro Forma'!B51</f>
        <v>-25534.411207538313</v>
      </c>
      <c r="G33" s="1399">
        <f>'Part VII-Pro Forma'!C51</f>
        <v>-26300.443543764464</v>
      </c>
      <c r="H33" s="1399">
        <f>'Part VII-Pro Forma'!D51</f>
        <v>-27089.456850077393</v>
      </c>
      <c r="I33" s="1399">
        <f>'Part VII-Pro Forma'!E51</f>
        <v>-27902.140555579714</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429110.47272727272</v>
      </c>
      <c r="D35" s="799">
        <f t="shared" si="8"/>
        <v>429110.47272727272</v>
      </c>
      <c r="E35" s="799">
        <f t="shared" si="8"/>
        <v>429110.47272727272</v>
      </c>
      <c r="F35" s="799">
        <f t="shared" si="8"/>
        <v>429110.47272727272</v>
      </c>
      <c r="G35" s="799">
        <f t="shared" si="8"/>
        <v>429110.47272727272</v>
      </c>
      <c r="H35" s="799">
        <f t="shared" si="8"/>
        <v>429110.47272727272</v>
      </c>
      <c r="I35" s="799">
        <f t="shared" si="8"/>
        <v>429110.47272727272</v>
      </c>
    </row>
    <row r="36" spans="1:15" ht="13.5" customHeight="1">
      <c r="A36" s="798" t="s">
        <v>3080</v>
      </c>
      <c r="C36" s="792">
        <f>IF(C$28&lt;=$H$4,($E$4/$H$4),0)+IF(C$28&lt;=$H$5,($E$5/$H$5),0)</f>
        <v>10515.238095238095</v>
      </c>
      <c r="D36" s="792">
        <f t="shared" ref="D36:I36" si="9">IF(D$28&lt;=$H$4,($E$4/$H$4),0)+IF(D$28&lt;=$H$5,($E$5/$H$5),0)</f>
        <v>10515.238095238095</v>
      </c>
      <c r="E36" s="792">
        <f t="shared" si="9"/>
        <v>10515.238095238095</v>
      </c>
      <c r="F36" s="792">
        <f t="shared" si="9"/>
        <v>10515.238095238095</v>
      </c>
      <c r="G36" s="792">
        <f t="shared" si="9"/>
        <v>10515.238095238095</v>
      </c>
      <c r="H36" s="792">
        <f t="shared" si="9"/>
        <v>10515.238095238095</v>
      </c>
      <c r="I36" s="792">
        <f t="shared" si="9"/>
        <v>10515.238095238095</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825000</v>
      </c>
      <c r="D41" s="800">
        <f>C41</f>
        <v>825000</v>
      </c>
      <c r="E41" s="800">
        <f>D41</f>
        <v>825000</v>
      </c>
      <c r="F41" s="800">
        <v>0</v>
      </c>
      <c r="G41" s="800">
        <v>0</v>
      </c>
      <c r="H41" s="800">
        <v>0</v>
      </c>
      <c r="I41" s="800">
        <v>0</v>
      </c>
    </row>
    <row r="42" spans="1:15" ht="13.5" customHeight="1">
      <c r="A42" s="698" t="s">
        <v>3087</v>
      </c>
      <c r="C42" s="800">
        <f>C22</f>
        <v>825000</v>
      </c>
      <c r="D42" s="800">
        <f>C42</f>
        <v>825000</v>
      </c>
      <c r="E42" s="800">
        <f>D42</f>
        <v>825000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40831.971395321714</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58542.410491911229</v>
      </c>
      <c r="D50" s="1397">
        <f>'Part VII-Pro Forma'!F67-'Part VII-Pro Forma'!G67</f>
        <v>62091.362510178704</v>
      </c>
      <c r="E50" s="1397">
        <f>'Part VII-Pro Forma'!G67-'Part VII-Pro Forma'!H67</f>
        <v>65855.458734537475</v>
      </c>
      <c r="F50" s="1397">
        <f>'Part VII-Pro Forma'!H67-'Part VII-Pro Forma'!I67</f>
        <v>69847.741615034174</v>
      </c>
      <c r="G50" s="1397">
        <f>'Part VII-Pro Forma'!I67-'Part VII-Pro Forma'!J67</f>
        <v>74082.044259787071</v>
      </c>
      <c r="H50" s="1397">
        <f>'Part VII-Pro Forma'!J67-'Part VII-Pro Forma'!K67</f>
        <v>78573.038366178982</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-28739.204772247111</v>
      </c>
      <c r="D53" s="1399">
        <f>'Part VII-Pro Forma'!G51</f>
        <v>-29601.380915414524</v>
      </c>
      <c r="E53" s="1399">
        <f>'Part VII-Pro Forma'!H51</f>
        <v>-30489.422342876955</v>
      </c>
      <c r="F53" s="1399">
        <f>'Part VII-Pro Forma'!I51</f>
        <v>-31404.105013163262</v>
      </c>
      <c r="G53" s="1399">
        <f>'Part VII-Pro Forma'!J51</f>
        <v>-32346.22816355816</v>
      </c>
      <c r="H53" s="1399">
        <f>'Part VII-Pro Forma'!K51</f>
        <v>-33316.615008464905</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429110.47272727272</v>
      </c>
      <c r="D55" s="799">
        <f t="shared" si="14"/>
        <v>429110.47272727272</v>
      </c>
      <c r="E55" s="799">
        <f t="shared" si="14"/>
        <v>429110.47272727272</v>
      </c>
      <c r="F55" s="799">
        <f t="shared" si="14"/>
        <v>429110.47272727272</v>
      </c>
      <c r="G55" s="799">
        <f t="shared" si="14"/>
        <v>429110.47272727272</v>
      </c>
      <c r="H55" s="799">
        <f t="shared" si="14"/>
        <v>429110.47272727272</v>
      </c>
    </row>
    <row r="56" spans="1:10" ht="13.5" customHeight="1">
      <c r="A56" s="798" t="s">
        <v>3080</v>
      </c>
      <c r="C56" s="792">
        <f t="shared" ref="C56:H56" si="15">IF(C$48&lt;=$H$4,($E$4/$H$4),0)+IF(C$48&lt;=$H$5,($E$5/$H$5),0)</f>
        <v>10515.238095238095</v>
      </c>
      <c r="D56" s="792">
        <f t="shared" si="15"/>
        <v>1228.5714285714287</v>
      </c>
      <c r="E56" s="792">
        <f t="shared" si="15"/>
        <v>1228.5714285714287</v>
      </c>
      <c r="F56" s="792">
        <f t="shared" si="15"/>
        <v>1228.5714285714287</v>
      </c>
      <c r="G56" s="792">
        <f t="shared" si="15"/>
        <v>1228.5714285714287</v>
      </c>
      <c r="H56" s="792">
        <f t="shared" si="15"/>
        <v>1228.5714285714287</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3"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- 2018-037 Myrtle Terraces Phase 2, Gainesville, Hall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4517</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3897</v>
      </c>
    </row>
    <row r="6" spans="1:16" s="305" customFormat="1" ht="12" customHeight="1" thickBot="1">
      <c r="B6" s="1649" t="s">
        <v>4549</v>
      </c>
      <c r="C6" s="1649"/>
      <c r="D6" s="1649"/>
      <c r="E6" s="1433"/>
      <c r="F6" s="308"/>
      <c r="G6" s="279" t="s">
        <v>446</v>
      </c>
      <c r="H6" s="1571"/>
      <c r="I6" s="1571"/>
      <c r="J6" s="1571"/>
      <c r="O6" s="3577" t="s">
        <v>4724</v>
      </c>
      <c r="P6" s="3578"/>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3825</v>
      </c>
      <c r="I9" s="1643">
        <f>'Part IV-A-Uses of Funds'!$J$175</f>
        <v>825000</v>
      </c>
      <c r="J9" s="1644"/>
      <c r="L9" s="305" t="s">
        <v>3826</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79" t="s">
        <v>4586</v>
      </c>
      <c r="G11" s="3580"/>
      <c r="H11" s="3581"/>
      <c r="I11" s="3582" t="s">
        <v>3740</v>
      </c>
      <c r="J11" s="526" t="s">
        <v>3988</v>
      </c>
      <c r="K11" s="316"/>
      <c r="L11" s="1571"/>
      <c r="O11" s="3408" t="s">
        <v>4587</v>
      </c>
      <c r="P11" s="3409"/>
    </row>
    <row r="12" spans="1:16" s="305" customFormat="1" ht="12.75" customHeight="1">
      <c r="A12" s="501"/>
      <c r="B12" s="1648" t="s">
        <v>4518</v>
      </c>
      <c r="C12" s="1648"/>
      <c r="D12" s="1648"/>
      <c r="H12" s="1571"/>
      <c r="J12" s="527" t="s">
        <v>2751</v>
      </c>
      <c r="K12" s="277"/>
      <c r="M12" s="1571"/>
      <c r="O12" s="3583" t="s">
        <v>3013</v>
      </c>
      <c r="P12" s="358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5" t="s">
        <v>3013</v>
      </c>
      <c r="G14" s="1559" t="s">
        <v>3823</v>
      </c>
    </row>
    <row r="15" spans="1:16" s="305" customFormat="1" ht="12.75" customHeight="1">
      <c r="A15" s="501"/>
      <c r="B15" s="305" t="s">
        <v>3898</v>
      </c>
      <c r="D15" s="316"/>
      <c r="F15" s="3526"/>
      <c r="G15" s="3527"/>
      <c r="H15" s="3527"/>
      <c r="I15" s="3527"/>
      <c r="J15" s="3527"/>
      <c r="K15" s="3528"/>
      <c r="L15" s="305" t="s">
        <v>3822</v>
      </c>
      <c r="O15" s="3514"/>
      <c r="P15" s="3544"/>
    </row>
    <row r="16" spans="1:16" s="305" customFormat="1" ht="12.75" customHeight="1">
      <c r="A16" s="501"/>
      <c r="B16" s="305" t="s">
        <v>3824</v>
      </c>
      <c r="F16" s="3585"/>
      <c r="G16" s="305" t="s">
        <v>3881</v>
      </c>
      <c r="H16" s="1571"/>
      <c r="I16" s="179"/>
      <c r="J16" s="527"/>
      <c r="M16" s="3188" t="s">
        <v>2903</v>
      </c>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4537</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3909</v>
      </c>
      <c r="F20" s="3586" t="s">
        <v>4560</v>
      </c>
      <c r="G20" s="3587"/>
      <c r="H20" s="3588"/>
      <c r="I20" s="305" t="s">
        <v>1810</v>
      </c>
      <c r="J20" s="3586" t="s">
        <v>4551</v>
      </c>
      <c r="K20" s="3587"/>
      <c r="L20" s="3588"/>
      <c r="M20" s="340" t="s">
        <v>1996</v>
      </c>
      <c r="N20" s="3514" t="s">
        <v>4561</v>
      </c>
      <c r="O20" s="3543"/>
      <c r="P20" s="3544"/>
    </row>
    <row r="21" spans="1:16" s="305" customFormat="1" ht="13.15" customHeight="1">
      <c r="B21" s="310" t="s">
        <v>1997</v>
      </c>
      <c r="F21" s="3589" t="s">
        <v>4562</v>
      </c>
      <c r="G21" s="3590"/>
      <c r="H21" s="3590"/>
      <c r="I21" s="3591"/>
      <c r="J21" s="3590"/>
      <c r="K21" s="3591"/>
      <c r="L21" s="3592"/>
      <c r="M21" s="1638" t="s">
        <v>3908</v>
      </c>
      <c r="N21" s="1639"/>
      <c r="O21" s="1639"/>
      <c r="P21" s="1639"/>
    </row>
    <row r="22" spans="1:16" s="305" customFormat="1" ht="13.15" customHeight="1">
      <c r="B22" s="310" t="s">
        <v>624</v>
      </c>
      <c r="F22" s="3589" t="s">
        <v>2180</v>
      </c>
      <c r="G22" s="3590"/>
      <c r="H22" s="3593"/>
      <c r="I22" s="310" t="s">
        <v>1812</v>
      </c>
      <c r="J22" s="3594" t="s">
        <v>856</v>
      </c>
      <c r="M22" s="1638"/>
      <c r="N22" s="1638"/>
      <c r="O22" s="1638"/>
      <c r="P22" s="1638"/>
    </row>
    <row r="23" spans="1:16" s="305" customFormat="1" ht="13.15" customHeight="1">
      <c r="B23" s="1559" t="s">
        <v>2245</v>
      </c>
      <c r="F23" s="3595">
        <v>300751950</v>
      </c>
      <c r="G23" s="3596"/>
      <c r="H23" s="3597"/>
      <c r="I23" s="310" t="s">
        <v>1733</v>
      </c>
      <c r="J23" s="3598"/>
      <c r="K23" s="3599"/>
      <c r="L23" s="1561" t="s">
        <v>1732</v>
      </c>
      <c r="M23" s="3442"/>
      <c r="N23" s="1559" t="s">
        <v>1734</v>
      </c>
      <c r="O23" s="3600"/>
      <c r="P23" s="3599"/>
    </row>
    <row r="24" spans="1:16" s="305" customFormat="1" ht="13.15" customHeight="1">
      <c r="B24" s="1559" t="s">
        <v>2000</v>
      </c>
      <c r="F24" s="3601" t="s">
        <v>4553</v>
      </c>
      <c r="G24" s="3602"/>
      <c r="H24" s="3602"/>
      <c r="I24" s="3543"/>
      <c r="J24" s="3602"/>
      <c r="K24" s="3603"/>
      <c r="N24" s="1559" t="s">
        <v>1995</v>
      </c>
      <c r="O24" s="3604">
        <v>6784676861</v>
      </c>
      <c r="P24" s="3605"/>
    </row>
    <row r="25" spans="1:16" s="305" customFormat="1" ht="13.5" customHeight="1">
      <c r="A25" s="501"/>
      <c r="B25" s="307" t="s">
        <v>4536</v>
      </c>
      <c r="C25" s="314"/>
      <c r="D25" s="1570"/>
      <c r="E25" s="1570"/>
      <c r="F25" s="1570"/>
      <c r="H25" s="1571"/>
      <c r="I25" s="1570"/>
      <c r="J25" s="314"/>
      <c r="K25" s="1570"/>
      <c r="P25" s="315"/>
    </row>
    <row r="26" spans="1:16" s="305" customFormat="1" ht="13.15" customHeight="1">
      <c r="B26" s="305" t="s">
        <v>3909</v>
      </c>
      <c r="F26" s="3586" t="s">
        <v>4560</v>
      </c>
      <c r="G26" s="3587"/>
      <c r="H26" s="3588"/>
      <c r="I26" s="305" t="s">
        <v>1810</v>
      </c>
      <c r="J26" s="3586" t="s">
        <v>4588</v>
      </c>
      <c r="K26" s="3587"/>
      <c r="L26" s="3588"/>
      <c r="M26" s="340" t="s">
        <v>1996</v>
      </c>
      <c r="N26" s="3514" t="s">
        <v>4589</v>
      </c>
      <c r="O26" s="3543"/>
      <c r="P26" s="3544"/>
    </row>
    <row r="27" spans="1:16" s="305" customFormat="1" ht="13.15" customHeight="1">
      <c r="B27" s="310" t="s">
        <v>1997</v>
      </c>
      <c r="F27" s="3589" t="s">
        <v>4562</v>
      </c>
      <c r="G27" s="3590"/>
      <c r="H27" s="3590"/>
      <c r="I27" s="3591"/>
      <c r="J27" s="3590"/>
      <c r="K27" s="3591"/>
      <c r="L27" s="3592"/>
      <c r="M27" s="1638" t="s">
        <v>3908</v>
      </c>
      <c r="N27" s="1639"/>
      <c r="O27" s="1639"/>
      <c r="P27" s="1639"/>
    </row>
    <row r="28" spans="1:16" s="305" customFormat="1" ht="13.15" customHeight="1">
      <c r="B28" s="310" t="s">
        <v>624</v>
      </c>
      <c r="F28" s="3589" t="s">
        <v>2180</v>
      </c>
      <c r="G28" s="3590"/>
      <c r="H28" s="3593"/>
      <c r="I28" s="310" t="s">
        <v>1812</v>
      </c>
      <c r="J28" s="3594" t="s">
        <v>856</v>
      </c>
      <c r="M28" s="1638"/>
      <c r="N28" s="1638"/>
      <c r="O28" s="1638"/>
      <c r="P28" s="1638"/>
    </row>
    <row r="29" spans="1:16" s="305" customFormat="1" ht="13.15" customHeight="1">
      <c r="B29" s="1559" t="s">
        <v>2245</v>
      </c>
      <c r="F29" s="3595">
        <v>300751950</v>
      </c>
      <c r="G29" s="3596"/>
      <c r="H29" s="3597"/>
      <c r="I29" s="310" t="s">
        <v>1733</v>
      </c>
      <c r="J29" s="3598"/>
      <c r="K29" s="3599"/>
      <c r="L29" s="1561" t="s">
        <v>1732</v>
      </c>
      <c r="M29" s="3442"/>
      <c r="N29" s="1559" t="s">
        <v>1734</v>
      </c>
      <c r="O29" s="3600"/>
      <c r="P29" s="3599"/>
    </row>
    <row r="30" spans="1:16" s="305" customFormat="1" ht="13.15" customHeight="1">
      <c r="B30" s="1559" t="s">
        <v>2000</v>
      </c>
      <c r="F30" s="3601" t="s">
        <v>4590</v>
      </c>
      <c r="G30" s="3602"/>
      <c r="H30" s="3602"/>
      <c r="I30" s="3543"/>
      <c r="J30" s="3602"/>
      <c r="K30" s="3603"/>
      <c r="N30" s="1559" t="s">
        <v>1995</v>
      </c>
      <c r="O30" s="3604">
        <v>4048083828</v>
      </c>
      <c r="P30" s="3605"/>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6" t="s">
        <v>4591</v>
      </c>
      <c r="G34" s="3607"/>
      <c r="H34" s="3607"/>
      <c r="I34" s="3607"/>
      <c r="J34" s="3607"/>
      <c r="K34" s="3608"/>
      <c r="L34" s="1559" t="s">
        <v>2208</v>
      </c>
      <c r="O34" s="3586" t="s">
        <v>4593</v>
      </c>
      <c r="P34" s="3588"/>
    </row>
    <row r="35" spans="1:16" s="305" customFormat="1" ht="13.15" customHeight="1">
      <c r="A35" s="317"/>
      <c r="B35" s="305" t="s">
        <v>2716</v>
      </c>
      <c r="D35" s="318"/>
      <c r="F35" s="3609" t="s">
        <v>4592</v>
      </c>
      <c r="G35" s="3610"/>
      <c r="H35" s="3610"/>
      <c r="I35" s="3610"/>
      <c r="J35" s="3610"/>
      <c r="K35" s="3611"/>
      <c r="L35" s="305" t="s">
        <v>3707</v>
      </c>
      <c r="O35" s="3612" t="s">
        <v>4594</v>
      </c>
      <c r="P35" s="3593"/>
    </row>
    <row r="36" spans="1:16" s="305" customFormat="1" ht="13.15" customHeight="1">
      <c r="A36" s="317"/>
      <c r="B36" s="305" t="s">
        <v>2752</v>
      </c>
      <c r="D36" s="318"/>
      <c r="F36" s="3612"/>
      <c r="G36" s="3590"/>
      <c r="H36" s="3590"/>
      <c r="I36" s="3591"/>
      <c r="J36" s="3590"/>
      <c r="K36" s="3593"/>
      <c r="L36" s="1559" t="s">
        <v>2066</v>
      </c>
      <c r="N36" s="3442" t="s">
        <v>3013</v>
      </c>
      <c r="O36" s="1571" t="s">
        <v>3706</v>
      </c>
      <c r="P36" s="3427"/>
    </row>
    <row r="37" spans="1:16" s="305" customFormat="1" ht="13.15" customHeight="1">
      <c r="A37" s="317"/>
      <c r="B37" s="305" t="s">
        <v>3762</v>
      </c>
      <c r="D37" s="318"/>
      <c r="F37" s="305" t="s">
        <v>3742</v>
      </c>
      <c r="G37" s="3613">
        <v>34.301133999999998</v>
      </c>
      <c r="H37" s="3614"/>
      <c r="I37" s="1561" t="s">
        <v>3743</v>
      </c>
      <c r="J37" s="3613">
        <v>-83.807986</v>
      </c>
      <c r="K37" s="3614"/>
      <c r="L37" s="1559" t="s">
        <v>2299</v>
      </c>
      <c r="O37" s="3615">
        <v>8.1300000000000008</v>
      </c>
      <c r="P37" s="3616"/>
    </row>
    <row r="38" spans="1:16" s="305" customFormat="1" ht="13.15" customHeight="1">
      <c r="A38" s="501"/>
      <c r="B38" s="305" t="s">
        <v>624</v>
      </c>
      <c r="F38" s="3586" t="s">
        <v>1233</v>
      </c>
      <c r="G38" s="3617"/>
      <c r="H38" s="3618"/>
      <c r="I38" s="322" t="s">
        <v>2717</v>
      </c>
      <c r="J38" s="3595">
        <v>305014912</v>
      </c>
      <c r="K38" s="3597"/>
      <c r="L38" s="380" t="str">
        <f>IF(AND(NOT(F34=""),NOT(F38="Select from list"),J38=""),"Enter Zip!","")</f>
        <v/>
      </c>
      <c r="M38" s="320" t="s">
        <v>2925</v>
      </c>
      <c r="O38" s="3619" t="s">
        <v>4596</v>
      </c>
      <c r="P38" s="3620"/>
    </row>
    <row r="39" spans="1:16" s="305" customFormat="1" ht="13.15" customHeight="1">
      <c r="A39" s="501"/>
      <c r="B39" s="1570" t="s">
        <v>3591</v>
      </c>
      <c r="D39" s="1570"/>
      <c r="F39" s="3612" t="s">
        <v>4595</v>
      </c>
      <c r="G39" s="3591"/>
      <c r="H39" s="3592"/>
      <c r="I39" s="319" t="s">
        <v>625</v>
      </c>
      <c r="J39" s="3621" t="str">
        <f>IF($F$38="","",VLOOKUP($F$38,'DCA Underwriting Assumptions'!$T$155:$U$785,2,FALSE))</f>
        <v>Hall</v>
      </c>
      <c r="K39" s="3622"/>
      <c r="M39" s="1559" t="s">
        <v>455</v>
      </c>
      <c r="N39" s="3623" t="s">
        <v>3010</v>
      </c>
      <c r="O39" s="1571" t="s">
        <v>456</v>
      </c>
      <c r="P39" s="3624" t="s">
        <v>3013</v>
      </c>
    </row>
    <row r="40" spans="1:16" s="305" customFormat="1" ht="13.15" customHeight="1">
      <c r="A40" s="501"/>
      <c r="B40" s="307"/>
      <c r="C40" s="305" t="s">
        <v>1570</v>
      </c>
      <c r="F40" s="3625" t="s">
        <v>3013</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26" t="str">
        <f>IF($F$38="","",VLOOKUP($J$39,'DCA Underwriting Assumptions'!$G$155:$L$314,3,FALSE))</f>
        <v>Gainesville</v>
      </c>
      <c r="P40" s="3627"/>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8">
        <v>9</v>
      </c>
      <c r="G43" s="3629"/>
      <c r="H43" s="3628">
        <v>49</v>
      </c>
      <c r="I43" s="3629"/>
      <c r="J43" s="3628">
        <v>29</v>
      </c>
      <c r="K43" s="3629"/>
      <c r="L43" s="516" t="s">
        <v>1295</v>
      </c>
      <c r="N43" s="1632" t="s">
        <v>1296</v>
      </c>
      <c r="O43" s="1632"/>
      <c r="P43" s="1632"/>
    </row>
    <row r="44" spans="1:16" s="305" customFormat="1" ht="12.75" customHeight="1">
      <c r="A44" s="501"/>
      <c r="B44" s="310" t="s">
        <v>746</v>
      </c>
      <c r="F44" s="3630"/>
      <c r="G44" s="3631"/>
      <c r="H44" s="3630"/>
      <c r="I44" s="3631"/>
      <c r="J44" s="3630"/>
      <c r="K44" s="3631"/>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2" t="s">
        <v>4597</v>
      </c>
      <c r="G46" s="3633"/>
      <c r="H46" s="3633"/>
      <c r="I46" s="3634"/>
      <c r="J46" s="3633"/>
      <c r="K46" s="3635"/>
      <c r="L46" s="930" t="s">
        <v>2722</v>
      </c>
      <c r="M46" s="3514" t="s">
        <v>4598</v>
      </c>
      <c r="N46" s="3543"/>
      <c r="O46" s="3543"/>
      <c r="P46" s="3544"/>
    </row>
    <row r="47" spans="1:16" s="305" customFormat="1" ht="13.15" customHeight="1">
      <c r="A47" s="501"/>
      <c r="B47" s="305" t="s">
        <v>644</v>
      </c>
      <c r="F47" s="3636" t="s">
        <v>4599</v>
      </c>
      <c r="G47" s="3637"/>
      <c r="H47" s="3638"/>
      <c r="I47" s="1562" t="s">
        <v>1996</v>
      </c>
      <c r="J47" s="3609"/>
      <c r="K47" s="3611"/>
      <c r="L47" s="930"/>
    </row>
    <row r="48" spans="1:16" s="305" customFormat="1" ht="13.15" customHeight="1">
      <c r="A48" s="501"/>
      <c r="B48" s="305" t="s">
        <v>1997</v>
      </c>
      <c r="F48" s="3639" t="s">
        <v>4600</v>
      </c>
      <c r="G48" s="3640"/>
      <c r="H48" s="3641"/>
      <c r="I48" s="3633"/>
      <c r="J48" s="3640"/>
      <c r="K48" s="3642"/>
      <c r="L48" s="341" t="s">
        <v>624</v>
      </c>
      <c r="M48" s="3643" t="s">
        <v>1233</v>
      </c>
      <c r="N48" s="3644"/>
      <c r="O48" s="3644"/>
      <c r="P48" s="3645"/>
    </row>
    <row r="49" spans="1:19" s="305" customFormat="1" ht="13.15" customHeight="1">
      <c r="A49" s="501"/>
      <c r="B49" s="1559" t="s">
        <v>2245</v>
      </c>
      <c r="F49" s="3646">
        <v>305010000</v>
      </c>
      <c r="G49" s="3647"/>
      <c r="H49" s="1561" t="s">
        <v>1998</v>
      </c>
      <c r="I49" s="3648">
        <v>7707187877</v>
      </c>
      <c r="J49" s="3649"/>
      <c r="K49" s="3650"/>
      <c r="L49" s="310" t="s">
        <v>1813</v>
      </c>
      <c r="M49" s="3651" t="s">
        <v>4601</v>
      </c>
      <c r="N49" s="3652"/>
      <c r="O49" s="3652"/>
      <c r="P49" s="3653"/>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76</v>
      </c>
      <c r="K55" s="310" t="s">
        <v>3698</v>
      </c>
      <c r="L55" s="305"/>
      <c r="M55" s="991" t="s">
        <v>3697</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3654"/>
      <c r="Q57" s="1571"/>
    </row>
    <row r="58" spans="1:19" s="305" customFormat="1" ht="3.6" customHeight="1">
      <c r="A58" s="501"/>
      <c r="P58" s="1570"/>
    </row>
    <row r="59" spans="1:19" s="305" customFormat="1">
      <c r="A59" s="501"/>
      <c r="B59" s="501" t="s">
        <v>2001</v>
      </c>
      <c r="C59" s="307" t="s">
        <v>2312</v>
      </c>
      <c r="H59" s="3655"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64</v>
      </c>
      <c r="I62" s="679">
        <f>SUM(I63:I64)</f>
        <v>0</v>
      </c>
      <c r="J62" s="501"/>
      <c r="K62" s="314" t="s">
        <v>2791</v>
      </c>
      <c r="M62" s="1570"/>
      <c r="N62" s="1570"/>
      <c r="O62" s="1570"/>
      <c r="P62" s="897">
        <f>'Part VI-Revenues &amp; Expenses'!$O$115</f>
        <v>50430</v>
      </c>
    </row>
    <row r="63" spans="1:19" s="305" customFormat="1" ht="13.15" customHeight="1">
      <c r="A63" s="501"/>
      <c r="B63" s="324"/>
      <c r="D63" s="329" t="s">
        <v>387</v>
      </c>
      <c r="E63" s="1570"/>
      <c r="H63" s="897">
        <f>'Part VI-Revenues &amp; Expenses'!$O$57</f>
        <v>16</v>
      </c>
      <c r="I63" s="897">
        <f>'Part VI-Revenues &amp; Expenses'!$O$65</f>
        <v>0</v>
      </c>
      <c r="K63" s="314" t="s">
        <v>2792</v>
      </c>
      <c r="M63" s="1570"/>
      <c r="N63" s="1570"/>
      <c r="O63" s="1570"/>
      <c r="P63" s="1173">
        <f>'Part VI-Revenues &amp; Expenses'!$O$116</f>
        <v>9180</v>
      </c>
    </row>
    <row r="64" spans="1:19" s="305" customFormat="1" ht="13.15" customHeight="1">
      <c r="A64" s="501"/>
      <c r="D64" s="329" t="s">
        <v>1835</v>
      </c>
      <c r="E64" s="329"/>
      <c r="H64" s="898">
        <f>'Part VI-Revenues &amp; Expenses'!$O$56</f>
        <v>48</v>
      </c>
      <c r="I64" s="898">
        <f>'Part VI-Revenues &amp; Expenses'!$O$64</f>
        <v>0</v>
      </c>
      <c r="K64" s="314" t="s">
        <v>2793</v>
      </c>
      <c r="M64" s="1570"/>
      <c r="N64" s="1570"/>
      <c r="O64" s="1570"/>
      <c r="P64" s="897">
        <f>P62+P63</f>
        <v>59610</v>
      </c>
    </row>
    <row r="65" spans="1:16" s="305" customFormat="1" ht="13.15" customHeight="1">
      <c r="A65" s="501"/>
      <c r="C65" s="314" t="s">
        <v>255</v>
      </c>
      <c r="D65" s="1570"/>
      <c r="E65" s="1570"/>
      <c r="H65" s="328">
        <f>'Part VI-Revenues &amp; Expenses'!$O$59</f>
        <v>12</v>
      </c>
      <c r="J65" s="501"/>
      <c r="K65" s="314" t="s">
        <v>2794</v>
      </c>
      <c r="M65" s="1570"/>
      <c r="N65" s="1570"/>
      <c r="O65" s="1570"/>
      <c r="P65" s="898">
        <f>'Part VI-Revenues &amp; Expenses'!$O$118</f>
        <v>0</v>
      </c>
    </row>
    <row r="66" spans="1:16" s="305" customFormat="1" ht="13.15" customHeight="1">
      <c r="A66" s="501"/>
      <c r="C66" s="314" t="s">
        <v>2423</v>
      </c>
      <c r="D66" s="1570"/>
      <c r="E66" s="1570"/>
      <c r="H66" s="897">
        <f>H62+H65</f>
        <v>76</v>
      </c>
      <c r="J66" s="501"/>
      <c r="K66" s="314" t="s">
        <v>1432</v>
      </c>
      <c r="M66" s="1570"/>
      <c r="N66" s="1570"/>
      <c r="O66" s="1570"/>
      <c r="P66" s="328">
        <f>+P64+P65</f>
        <v>59610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76</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6">
        <v>1</v>
      </c>
      <c r="K70" s="314" t="s">
        <v>4100</v>
      </c>
      <c r="O70" s="1570"/>
      <c r="P70" s="3657">
        <v>18000</v>
      </c>
    </row>
    <row r="71" spans="1:16" s="305" customFormat="1" ht="13.15" customHeight="1">
      <c r="A71" s="501"/>
      <c r="B71" s="501"/>
      <c r="D71" s="1560" t="s">
        <v>2013</v>
      </c>
      <c r="H71" s="3658"/>
      <c r="I71" s="1570"/>
      <c r="K71" s="314" t="s">
        <v>254</v>
      </c>
      <c r="O71" s="1570"/>
      <c r="P71" s="328">
        <f>+P66+P70</f>
        <v>77610</v>
      </c>
    </row>
    <row r="72" spans="1:16" s="305" customFormat="1" ht="13.1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657">
        <v>76</v>
      </c>
      <c r="K74" s="1631" t="s">
        <v>3882</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59" t="s">
        <v>2933</v>
      </c>
      <c r="I78" s="3660"/>
      <c r="K78" s="1620" t="s">
        <v>1785</v>
      </c>
      <c r="L78" s="1620"/>
      <c r="M78" s="3514"/>
      <c r="N78" s="3543"/>
      <c r="O78" s="3543"/>
      <c r="P78" s="354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3903</v>
      </c>
      <c r="I80" s="1630"/>
      <c r="K80" s="331" t="s">
        <v>2931</v>
      </c>
      <c r="L80" s="3656"/>
      <c r="M80" s="331" t="s">
        <v>2932</v>
      </c>
      <c r="N80" s="3656"/>
      <c r="P80" s="318" t="s">
        <v>3905</v>
      </c>
    </row>
    <row r="81" spans="1:16" s="305" customFormat="1" ht="13.15" customHeight="1">
      <c r="A81" s="501"/>
      <c r="B81" s="501"/>
      <c r="D81" s="1559"/>
      <c r="E81" s="1563"/>
      <c r="H81" s="1630"/>
      <c r="I81" s="1630"/>
      <c r="K81" s="318" t="s">
        <v>2933</v>
      </c>
      <c r="L81" s="3658">
        <v>76</v>
      </c>
      <c r="M81" s="318" t="s">
        <v>3904</v>
      </c>
      <c r="N81" s="3658"/>
      <c r="P81" s="366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5.2631578947368418E-2</v>
      </c>
      <c r="O83" s="318" t="s">
        <v>3721</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0.5</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2.6315789473684209E-2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2" t="s">
        <v>878</v>
      </c>
      <c r="I90" s="3663"/>
      <c r="J90" s="366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5"/>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5" t="s">
        <v>3010</v>
      </c>
      <c r="K96" s="329" t="s">
        <v>3927</v>
      </c>
      <c r="L96" s="3655"/>
      <c r="O96" s="312" t="s">
        <v>3921</v>
      </c>
      <c r="P96" s="3655"/>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5"/>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4" t="s">
        <v>2837</v>
      </c>
      <c r="I100" s="354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6"/>
      <c r="F104" s="3587"/>
      <c r="G104" s="3587"/>
      <c r="H104" s="3587"/>
      <c r="I104" s="3587"/>
      <c r="J104" s="3587"/>
      <c r="K104" s="3587"/>
      <c r="L104" s="3588"/>
      <c r="M104" s="1629" t="s">
        <v>558</v>
      </c>
      <c r="N104" s="1629"/>
      <c r="O104" s="3665"/>
      <c r="P104" s="3666"/>
    </row>
    <row r="105" spans="1:16" s="305" customFormat="1" ht="13.15" customHeight="1">
      <c r="C105" s="310" t="s">
        <v>1031</v>
      </c>
      <c r="D105" s="318"/>
      <c r="E105" s="3589"/>
      <c r="F105" s="3590"/>
      <c r="G105" s="3590"/>
      <c r="H105" s="3591"/>
      <c r="I105" s="3590"/>
      <c r="J105" s="3591"/>
      <c r="K105" s="3590"/>
      <c r="L105" s="3593"/>
      <c r="M105" s="1629" t="s">
        <v>816</v>
      </c>
      <c r="N105" s="1629"/>
      <c r="O105" s="3667"/>
      <c r="P105" s="3668"/>
    </row>
    <row r="106" spans="1:16" s="305" customFormat="1" ht="13.15" customHeight="1">
      <c r="C106" s="310" t="s">
        <v>624</v>
      </c>
      <c r="E106" s="3609"/>
      <c r="F106" s="3669"/>
      <c r="G106" s="3670"/>
      <c r="H106" s="1561" t="s">
        <v>1812</v>
      </c>
      <c r="I106" s="3671"/>
      <c r="J106" s="335" t="s">
        <v>2245</v>
      </c>
      <c r="K106" s="3672"/>
      <c r="L106" s="3673"/>
      <c r="M106" s="280" t="s">
        <v>3688</v>
      </c>
      <c r="N106" s="280"/>
      <c r="O106" s="3674"/>
      <c r="P106" s="3675"/>
    </row>
    <row r="107" spans="1:16" s="305" customFormat="1" ht="13.15" customHeight="1">
      <c r="C107" s="305" t="s">
        <v>2210</v>
      </c>
      <c r="E107" s="3609"/>
      <c r="F107" s="3669"/>
      <c r="G107" s="3670"/>
      <c r="H107" s="1039" t="s">
        <v>1996</v>
      </c>
      <c r="I107" s="3676"/>
      <c r="J107" s="3677"/>
      <c r="K107" s="3533"/>
      <c r="L107" s="1581" t="s">
        <v>2000</v>
      </c>
      <c r="M107" s="3586"/>
      <c r="N107" s="3678"/>
      <c r="O107" s="3679"/>
      <c r="P107" s="3680"/>
    </row>
    <row r="108" spans="1:16" s="305" customFormat="1" ht="13.15" customHeight="1">
      <c r="C108" s="310" t="s">
        <v>2209</v>
      </c>
      <c r="E108" s="3604"/>
      <c r="F108" s="3681"/>
      <c r="G108" s="3605"/>
      <c r="H108" s="1039" t="s">
        <v>1815</v>
      </c>
      <c r="I108" s="3604"/>
      <c r="J108" s="3682"/>
      <c r="K108" s="1561" t="s">
        <v>2722</v>
      </c>
      <c r="L108" s="3526"/>
      <c r="M108" s="3683"/>
      <c r="N108" s="3683"/>
      <c r="O108" s="3683"/>
      <c r="P108" s="3684"/>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5">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6">
        <v>1700000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7" t="s">
        <v>4560</v>
      </c>
      <c r="D120" s="3688"/>
      <c r="E120" s="3688"/>
      <c r="F120" s="3689" t="s">
        <v>4603</v>
      </c>
      <c r="G120" s="3444"/>
      <c r="H120" s="3690"/>
      <c r="I120" s="3691" t="s">
        <v>4604</v>
      </c>
      <c r="J120" s="3687">
        <v>7</v>
      </c>
      <c r="K120" s="3688"/>
      <c r="L120" s="3688"/>
      <c r="M120" s="3689"/>
      <c r="N120" s="3444"/>
      <c r="O120" s="3690"/>
      <c r="P120" s="3691"/>
    </row>
    <row r="121" spans="1:16" s="305" customFormat="1" ht="13.15" customHeight="1">
      <c r="A121" s="501"/>
      <c r="B121" s="501"/>
      <c r="C121" s="3692" t="s">
        <v>4560</v>
      </c>
      <c r="D121" s="3693"/>
      <c r="E121" s="3693"/>
      <c r="F121" s="3694" t="s">
        <v>4591</v>
      </c>
      <c r="G121" s="3695"/>
      <c r="H121" s="3696"/>
      <c r="I121" s="3697" t="s">
        <v>4604</v>
      </c>
      <c r="J121" s="3692">
        <v>8</v>
      </c>
      <c r="K121" s="3693"/>
      <c r="L121" s="3693"/>
      <c r="M121" s="3694"/>
      <c r="N121" s="3695"/>
      <c r="O121" s="3696"/>
      <c r="P121" s="3697"/>
    </row>
    <row r="122" spans="1:16" s="305" customFormat="1" ht="13.15" customHeight="1">
      <c r="A122" s="501"/>
      <c r="B122" s="501"/>
      <c r="C122" s="3692">
        <v>3</v>
      </c>
      <c r="D122" s="3693"/>
      <c r="E122" s="3693"/>
      <c r="F122" s="3694"/>
      <c r="G122" s="3695"/>
      <c r="H122" s="3696"/>
      <c r="I122" s="3697"/>
      <c r="J122" s="3692">
        <v>9</v>
      </c>
      <c r="K122" s="3693"/>
      <c r="L122" s="3693"/>
      <c r="M122" s="3694"/>
      <c r="N122" s="3695"/>
      <c r="O122" s="3696"/>
      <c r="P122" s="3697"/>
    </row>
    <row r="123" spans="1:16" s="305" customFormat="1" ht="13.15" customHeight="1">
      <c r="A123" s="501"/>
      <c r="B123" s="501"/>
      <c r="C123" s="3692">
        <v>4</v>
      </c>
      <c r="D123" s="3693"/>
      <c r="E123" s="3693"/>
      <c r="F123" s="3694"/>
      <c r="G123" s="3695"/>
      <c r="H123" s="3696"/>
      <c r="I123" s="3697"/>
      <c r="J123" s="3692">
        <v>10</v>
      </c>
      <c r="K123" s="3693"/>
      <c r="L123" s="3693"/>
      <c r="M123" s="3694"/>
      <c r="N123" s="3695"/>
      <c r="O123" s="3696"/>
      <c r="P123" s="3697"/>
    </row>
    <row r="124" spans="1:16" s="305" customFormat="1" ht="13.15" customHeight="1">
      <c r="A124" s="501"/>
      <c r="B124" s="501"/>
      <c r="C124" s="3692">
        <v>5</v>
      </c>
      <c r="D124" s="3693"/>
      <c r="E124" s="3693"/>
      <c r="F124" s="3694"/>
      <c r="G124" s="3695"/>
      <c r="H124" s="3696"/>
      <c r="I124" s="3697"/>
      <c r="J124" s="3692">
        <v>11</v>
      </c>
      <c r="K124" s="3693"/>
      <c r="L124" s="3693"/>
      <c r="M124" s="3694"/>
      <c r="N124" s="3695"/>
      <c r="O124" s="3696"/>
      <c r="P124" s="3697"/>
    </row>
    <row r="125" spans="1:16" s="305" customFormat="1" ht="13.15" customHeight="1">
      <c r="A125" s="501"/>
      <c r="B125" s="501"/>
      <c r="C125" s="3698">
        <v>6</v>
      </c>
      <c r="D125" s="3699"/>
      <c r="E125" s="3699"/>
      <c r="F125" s="3700"/>
      <c r="G125" s="3701"/>
      <c r="H125" s="3702"/>
      <c r="I125" s="3703"/>
      <c r="J125" s="3698">
        <v>12</v>
      </c>
      <c r="K125" s="3699"/>
      <c r="L125" s="3699"/>
      <c r="M125" s="3700"/>
      <c r="N125" s="3701"/>
      <c r="O125" s="3702"/>
      <c r="P125" s="370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7">
        <v>1</v>
      </c>
      <c r="D130" s="3688"/>
      <c r="E130" s="3688"/>
      <c r="F130" s="3689"/>
      <c r="G130" s="3444"/>
      <c r="H130" s="3444"/>
      <c r="I130" s="3445"/>
      <c r="J130" s="3687">
        <v>7</v>
      </c>
      <c r="K130" s="3688"/>
      <c r="L130" s="3688"/>
      <c r="M130" s="3689"/>
      <c r="N130" s="3444"/>
      <c r="O130" s="3444"/>
      <c r="P130" s="3445"/>
    </row>
    <row r="131" spans="1:16" s="305" customFormat="1" ht="13.15" customHeight="1">
      <c r="A131" s="501"/>
      <c r="B131" s="501"/>
      <c r="C131" s="3692">
        <v>2</v>
      </c>
      <c r="D131" s="3693"/>
      <c r="E131" s="3693"/>
      <c r="F131" s="3694"/>
      <c r="G131" s="3695"/>
      <c r="H131" s="3695"/>
      <c r="I131" s="3704"/>
      <c r="J131" s="3692">
        <v>8</v>
      </c>
      <c r="K131" s="3693"/>
      <c r="L131" s="3693"/>
      <c r="M131" s="3694"/>
      <c r="N131" s="3695"/>
      <c r="O131" s="3695"/>
      <c r="P131" s="3704"/>
    </row>
    <row r="132" spans="1:16" s="305" customFormat="1" ht="13.15" customHeight="1">
      <c r="A132" s="501"/>
      <c r="B132" s="501"/>
      <c r="C132" s="3692">
        <v>3</v>
      </c>
      <c r="D132" s="3693"/>
      <c r="E132" s="3693"/>
      <c r="F132" s="3694"/>
      <c r="G132" s="3695"/>
      <c r="H132" s="3695"/>
      <c r="I132" s="3704"/>
      <c r="J132" s="3692">
        <v>9</v>
      </c>
      <c r="K132" s="3693"/>
      <c r="L132" s="3693"/>
      <c r="M132" s="3694"/>
      <c r="N132" s="3695"/>
      <c r="O132" s="3695"/>
      <c r="P132" s="3704"/>
    </row>
    <row r="133" spans="1:16" s="305" customFormat="1" ht="13.15" customHeight="1">
      <c r="A133" s="501"/>
      <c r="B133" s="501"/>
      <c r="C133" s="3692">
        <v>4</v>
      </c>
      <c r="D133" s="3693"/>
      <c r="E133" s="3693"/>
      <c r="F133" s="3694"/>
      <c r="G133" s="3695"/>
      <c r="H133" s="3695"/>
      <c r="I133" s="3704"/>
      <c r="J133" s="3692">
        <v>10</v>
      </c>
      <c r="K133" s="3693"/>
      <c r="L133" s="3693"/>
      <c r="M133" s="3694"/>
      <c r="N133" s="3695"/>
      <c r="O133" s="3695"/>
      <c r="P133" s="3704"/>
    </row>
    <row r="134" spans="1:16" s="305" customFormat="1" ht="13.15" customHeight="1">
      <c r="A134" s="501"/>
      <c r="B134" s="501"/>
      <c r="C134" s="3692">
        <v>5</v>
      </c>
      <c r="D134" s="3693"/>
      <c r="E134" s="3693"/>
      <c r="F134" s="3694"/>
      <c r="G134" s="3695"/>
      <c r="H134" s="3695"/>
      <c r="I134" s="3704"/>
      <c r="J134" s="3692">
        <v>11</v>
      </c>
      <c r="K134" s="3693"/>
      <c r="L134" s="3693"/>
      <c r="M134" s="3694"/>
      <c r="N134" s="3695"/>
      <c r="O134" s="3695"/>
      <c r="P134" s="3704"/>
    </row>
    <row r="135" spans="1:16" s="305" customFormat="1" ht="13.15" customHeight="1">
      <c r="A135" s="501"/>
      <c r="B135" s="501"/>
      <c r="C135" s="3698">
        <v>6</v>
      </c>
      <c r="D135" s="3699"/>
      <c r="E135" s="3699"/>
      <c r="F135" s="3700"/>
      <c r="G135" s="3701"/>
      <c r="H135" s="3701"/>
      <c r="I135" s="3705"/>
      <c r="J135" s="3698">
        <v>12</v>
      </c>
      <c r="K135" s="3699"/>
      <c r="L135" s="3699"/>
      <c r="M135" s="3700"/>
      <c r="N135" s="3701"/>
      <c r="O135" s="3701"/>
      <c r="P135" s="370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5"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4"/>
      <c r="M140" s="1571"/>
      <c r="N140" s="1570"/>
      <c r="O140" s="1570"/>
      <c r="P140" s="315"/>
    </row>
    <row r="141" spans="1:16" s="305" customFormat="1" ht="13.15" customHeight="1">
      <c r="A141" s="501"/>
      <c r="B141" s="501"/>
      <c r="C141" s="1560" t="s">
        <v>2436</v>
      </c>
      <c r="D141" s="1560"/>
      <c r="E141" s="1560"/>
      <c r="F141" s="1571"/>
      <c r="I141" s="3706"/>
      <c r="N141" s="1570"/>
      <c r="O141" s="1570"/>
      <c r="P141" s="315"/>
    </row>
    <row r="142" spans="1:16" s="305" customFormat="1" ht="13.15" customHeight="1">
      <c r="A142" s="501"/>
      <c r="B142" s="501"/>
      <c r="C142" s="338" t="s">
        <v>1725</v>
      </c>
      <c r="D142" s="310"/>
      <c r="I142" s="3427"/>
      <c r="P142" s="315"/>
    </row>
    <row r="143" spans="1:16" s="305" customFormat="1" ht="13.15" customHeight="1">
      <c r="A143" s="501"/>
      <c r="B143" s="501"/>
      <c r="C143" s="1560" t="s">
        <v>2437</v>
      </c>
      <c r="D143" s="1560"/>
      <c r="E143" s="1560"/>
      <c r="F143" s="1571"/>
      <c r="I143" s="3706"/>
      <c r="K143" s="280" t="s">
        <v>2261</v>
      </c>
      <c r="O143" s="3586" t="s">
        <v>489</v>
      </c>
      <c r="P143" s="3588"/>
    </row>
    <row r="144" spans="1:16" s="305" customFormat="1" ht="13.15" customHeight="1">
      <c r="A144" s="501"/>
      <c r="B144" s="501"/>
      <c r="C144" s="1560" t="s">
        <v>2435</v>
      </c>
      <c r="F144" s="1571"/>
      <c r="I144" s="3707"/>
      <c r="K144" s="280" t="s">
        <v>2262</v>
      </c>
      <c r="O144" s="3612" t="s">
        <v>489</v>
      </c>
      <c r="P144" s="3592"/>
    </row>
    <row r="145" spans="1:16" s="305" customFormat="1" ht="13.15" customHeight="1">
      <c r="A145" s="501"/>
      <c r="B145" s="501"/>
      <c r="C145" s="1560" t="s">
        <v>2182</v>
      </c>
      <c r="D145" s="1560"/>
      <c r="E145" s="1560"/>
      <c r="F145" s="1571"/>
      <c r="I145" s="3708"/>
      <c r="J145" s="3709"/>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5"/>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5"/>
      <c r="K150" s="1560" t="s">
        <v>1547</v>
      </c>
      <c r="L150" s="1560"/>
      <c r="M150" s="1571"/>
      <c r="N150" s="1571"/>
      <c r="O150" s="3685"/>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0" t="s">
        <v>3013</v>
      </c>
      <c r="N155" s="1570"/>
      <c r="O155" s="1570"/>
      <c r="P155" s="315"/>
    </row>
    <row r="156" spans="1:16" s="305" customFormat="1" ht="12.6" customHeight="1">
      <c r="A156" s="501"/>
      <c r="B156" s="501"/>
      <c r="C156" s="305" t="s">
        <v>621</v>
      </c>
      <c r="K156" s="3711"/>
      <c r="L156" s="310" t="s">
        <v>1808</v>
      </c>
      <c r="P156" s="339">
        <f>IF('Part VI-Revenues &amp; Expenses'!O$60=0,0,K156/'Part VI-Revenues &amp; Expenses'!$O$60)</f>
        <v>0</v>
      </c>
    </row>
    <row r="157" spans="1:16" s="305" customFormat="1" ht="12.6" customHeight="1">
      <c r="A157" s="501"/>
      <c r="B157" s="501"/>
      <c r="C157" s="305" t="s">
        <v>3752</v>
      </c>
      <c r="H157" s="3657"/>
      <c r="I157" s="179"/>
      <c r="J157" s="901" t="s">
        <v>3751</v>
      </c>
      <c r="K157" s="371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6"/>
      <c r="F158" s="3587"/>
      <c r="G158" s="3587"/>
      <c r="H158" s="3587"/>
      <c r="I158" s="3587"/>
      <c r="J158" s="3587"/>
      <c r="K158" s="3618"/>
      <c r="L158" s="340" t="s">
        <v>1810</v>
      </c>
      <c r="M158" s="3712"/>
      <c r="N158" s="3713"/>
      <c r="O158" s="3713"/>
      <c r="P158" s="3714"/>
    </row>
    <row r="159" spans="1:16" s="305" customFormat="1" ht="12.6" customHeight="1">
      <c r="A159" s="501"/>
      <c r="B159" s="501"/>
      <c r="C159" s="310" t="s">
        <v>1811</v>
      </c>
      <c r="D159" s="318"/>
      <c r="E159" s="3589"/>
      <c r="F159" s="3590"/>
      <c r="G159" s="3590"/>
      <c r="H159" s="3590"/>
      <c r="I159" s="3591"/>
      <c r="J159" s="3590"/>
      <c r="K159" s="3593"/>
      <c r="L159" s="340" t="s">
        <v>1815</v>
      </c>
      <c r="M159" s="3715"/>
      <c r="N159" s="3716"/>
      <c r="O159" s="3717"/>
    </row>
    <row r="160" spans="1:16" s="305" customFormat="1" ht="12.6" customHeight="1">
      <c r="A160" s="501"/>
      <c r="B160" s="501"/>
      <c r="C160" s="310" t="s">
        <v>624</v>
      </c>
      <c r="E160" s="3612"/>
      <c r="F160" s="3591"/>
      <c r="G160" s="3591"/>
      <c r="H160" s="3592"/>
      <c r="I160" s="335" t="s">
        <v>2245</v>
      </c>
      <c r="J160" s="3595"/>
      <c r="K160" s="3597"/>
      <c r="L160" s="341" t="s">
        <v>1995</v>
      </c>
      <c r="M160" s="3715"/>
      <c r="N160" s="3716"/>
      <c r="O160" s="3717"/>
    </row>
    <row r="161" spans="1:16" s="305" customFormat="1" ht="12.6" customHeight="1">
      <c r="A161" s="501"/>
      <c r="B161" s="501"/>
      <c r="C161" s="310" t="s">
        <v>1814</v>
      </c>
      <c r="E161" s="3604"/>
      <c r="F161" s="3681"/>
      <c r="G161" s="3605"/>
      <c r="H161" s="1557"/>
      <c r="I161" s="1562" t="s">
        <v>1813</v>
      </c>
      <c r="J161" s="3718"/>
      <c r="K161" s="3683"/>
      <c r="L161" s="3527"/>
      <c r="M161" s="3683"/>
      <c r="N161" s="3683"/>
      <c r="O161" s="3683"/>
      <c r="P161" s="352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5" t="s">
        <v>3013</v>
      </c>
      <c r="J163" s="1621" t="s">
        <v>769</v>
      </c>
      <c r="K163" s="1622"/>
      <c r="L163" s="3685"/>
      <c r="M163" s="1623" t="s">
        <v>2342</v>
      </c>
      <c r="N163" s="1624"/>
      <c r="O163" s="1625"/>
      <c r="P163" s="371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5" t="s">
        <v>3010</v>
      </c>
      <c r="J165" s="1621" t="s">
        <v>769</v>
      </c>
      <c r="K165" s="1622"/>
      <c r="L165" s="3685">
        <v>2036</v>
      </c>
      <c r="M165" s="1623" t="s">
        <v>2342</v>
      </c>
      <c r="N165" s="1624"/>
      <c r="O165" s="1625"/>
      <c r="P165" s="3719">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5"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5" t="s">
        <v>3013</v>
      </c>
      <c r="J169" s="345" t="s">
        <v>2771</v>
      </c>
      <c r="L169" s="1627" t="s">
        <v>3727</v>
      </c>
      <c r="M169" s="1627"/>
      <c r="N169" s="1563"/>
      <c r="O169" s="1563"/>
      <c r="P169" s="3656"/>
    </row>
    <row r="170" spans="1:16" s="305" customFormat="1" ht="12.6" customHeight="1">
      <c r="B170" s="501"/>
      <c r="L170" s="1620" t="s">
        <v>805</v>
      </c>
      <c r="M170" s="1620"/>
      <c r="N170" s="1563"/>
      <c r="O170" s="1563"/>
      <c r="P170" s="3658"/>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0" t="s">
        <v>3013</v>
      </c>
      <c r="L173" s="1570" t="s">
        <v>1622</v>
      </c>
      <c r="M173" s="1570"/>
      <c r="N173" s="1570"/>
      <c r="P173" s="3710" t="s">
        <v>3010</v>
      </c>
    </row>
    <row r="174" spans="1:16" s="305" customFormat="1" ht="12.6" customHeight="1">
      <c r="A174" s="501"/>
      <c r="B174" s="501"/>
      <c r="C174" s="1570" t="s">
        <v>2229</v>
      </c>
      <c r="I174" s="3707" t="s">
        <v>3013</v>
      </c>
      <c r="L174" s="1570" t="s">
        <v>2863</v>
      </c>
      <c r="M174" s="1570"/>
      <c r="N174" s="1570"/>
      <c r="P174" s="3707" t="s">
        <v>3013</v>
      </c>
    </row>
    <row r="175" spans="1:16" s="305" customFormat="1" ht="12.6" customHeight="1">
      <c r="A175" s="501"/>
      <c r="C175" s="1570" t="s">
        <v>2740</v>
      </c>
      <c r="I175" s="3707" t="s">
        <v>3013</v>
      </c>
      <c r="L175" s="1570" t="s">
        <v>2707</v>
      </c>
      <c r="N175" s="3720"/>
      <c r="O175" s="3721"/>
      <c r="P175" s="3707"/>
    </row>
    <row r="176" spans="1:16" s="305" customFormat="1" ht="12.6" customHeight="1">
      <c r="A176" s="501"/>
      <c r="B176" s="501"/>
      <c r="C176" s="1570" t="s">
        <v>1297</v>
      </c>
      <c r="D176" s="346"/>
      <c r="I176" s="3707" t="s">
        <v>3013</v>
      </c>
      <c r="K176" s="316"/>
      <c r="L176" s="1570" t="s">
        <v>3505</v>
      </c>
      <c r="M176" s="1570"/>
      <c r="N176" s="1570"/>
      <c r="P176" s="3707" t="s">
        <v>3013</v>
      </c>
    </row>
    <row r="177" spans="1:21" s="305" customFormat="1" ht="12.6" customHeight="1">
      <c r="A177" s="501"/>
      <c r="B177" s="307"/>
      <c r="C177" s="1570" t="s">
        <v>1820</v>
      </c>
      <c r="I177" s="3707" t="s">
        <v>3013</v>
      </c>
      <c r="J177" s="345" t="s">
        <v>2772</v>
      </c>
      <c r="O177" s="3722"/>
      <c r="P177" s="3723"/>
    </row>
    <row r="178" spans="1:21" s="305" customFormat="1" ht="12.6" customHeight="1">
      <c r="A178" s="501"/>
      <c r="B178" s="501"/>
      <c r="C178" s="1570" t="s">
        <v>2921</v>
      </c>
      <c r="I178" s="3724" t="s">
        <v>3013</v>
      </c>
      <c r="J178" s="345" t="s">
        <v>2772</v>
      </c>
      <c r="O178" s="3725"/>
      <c r="P178" s="372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5"/>
      <c r="I181" s="3666"/>
      <c r="N181" s="1570"/>
      <c r="O181" s="1570"/>
      <c r="P181" s="315"/>
    </row>
    <row r="182" spans="1:21" s="305" customFormat="1" ht="12.6" customHeight="1">
      <c r="A182" s="501"/>
      <c r="B182" s="501"/>
      <c r="C182" s="310" t="s">
        <v>278</v>
      </c>
      <c r="D182" s="1560"/>
      <c r="E182" s="1560"/>
      <c r="F182" s="1571"/>
      <c r="G182" s="1571"/>
      <c r="H182" s="3727"/>
      <c r="I182" s="3728"/>
      <c r="N182" s="1570"/>
      <c r="O182" s="1570"/>
      <c r="P182" s="315"/>
    </row>
    <row r="183" spans="1:21" s="305" customFormat="1" ht="12.6" customHeight="1">
      <c r="A183" s="501"/>
      <c r="B183" s="501"/>
      <c r="C183" s="310" t="s">
        <v>2311</v>
      </c>
      <c r="D183" s="1560"/>
      <c r="E183" s="1560"/>
      <c r="F183" s="1571"/>
      <c r="G183" s="1571"/>
      <c r="H183" s="3729">
        <v>44211</v>
      </c>
      <c r="I183" s="3730"/>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21.75" customHeight="1">
      <c r="A186" s="3731"/>
      <c r="B186" s="3732"/>
      <c r="C186" s="3732"/>
      <c r="D186" s="3732"/>
      <c r="E186" s="3732"/>
      <c r="F186" s="3732"/>
      <c r="G186" s="3732"/>
      <c r="H186" s="3732"/>
      <c r="I186" s="3732"/>
      <c r="J186" s="3732"/>
      <c r="K186" s="3732"/>
      <c r="L186" s="3733"/>
      <c r="M186" s="3734"/>
      <c r="N186" s="3735"/>
      <c r="O186" s="3735"/>
      <c r="P186" s="373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3899</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95</v>
      </c>
      <c r="S613" s="3740" t="s">
        <v>97</v>
      </c>
      <c r="T613" s="374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2578</v>
      </c>
      <c r="S614" s="3740" t="s">
        <v>634</v>
      </c>
      <c r="T614" s="374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2579</v>
      </c>
      <c r="S615" s="3740" t="s">
        <v>321</v>
      </c>
      <c r="T615" s="374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2580</v>
      </c>
      <c r="S616" s="3740" t="s">
        <v>2499</v>
      </c>
      <c r="T616" s="374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2581</v>
      </c>
      <c r="S617" s="3740"/>
      <c r="T617" s="374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2582</v>
      </c>
      <c r="S618" s="3740" t="s">
        <v>2023</v>
      </c>
      <c r="T618" s="374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2583</v>
      </c>
      <c r="S619" s="3740" t="s">
        <v>2499</v>
      </c>
      <c r="T619" s="374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2584</v>
      </c>
      <c r="S620" s="3740" t="s">
        <v>1339</v>
      </c>
      <c r="T620" s="374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2585</v>
      </c>
      <c r="S621" s="3740" t="s">
        <v>2025</v>
      </c>
      <c r="T621" s="374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2586</v>
      </c>
      <c r="S622" s="3740" t="s">
        <v>672</v>
      </c>
      <c r="T622" s="374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2587</v>
      </c>
      <c r="S623" s="3740" t="s">
        <v>634</v>
      </c>
      <c r="T623" s="374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2588</v>
      </c>
      <c r="S624" s="3740" t="s">
        <v>2188</v>
      </c>
      <c r="T624" s="374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2589</v>
      </c>
      <c r="S625" s="3740" t="s">
        <v>2548</v>
      </c>
      <c r="T625" s="374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2260</v>
      </c>
      <c r="S626" s="3740" t="s">
        <v>2545</v>
      </c>
      <c r="T626" s="374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2590</v>
      </c>
      <c r="S627" s="3740" t="s">
        <v>2188</v>
      </c>
      <c r="T627" s="374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2591</v>
      </c>
      <c r="S628" s="3740" t="s">
        <v>2502</v>
      </c>
      <c r="T628" s="374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2592</v>
      </c>
      <c r="S629" s="3740" t="s">
        <v>2023</v>
      </c>
      <c r="T629" s="374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1055</v>
      </c>
      <c r="S630" s="3740" t="s">
        <v>1468</v>
      </c>
      <c r="T630" s="374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913</v>
      </c>
      <c r="S631" s="3740" t="s">
        <v>1113</v>
      </c>
      <c r="T631" s="374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1056</v>
      </c>
      <c r="S632" s="3740" t="s">
        <v>634</v>
      </c>
      <c r="T632" s="374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1057</v>
      </c>
      <c r="S633" s="3740" t="s">
        <v>1926</v>
      </c>
      <c r="T633" s="374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1058</v>
      </c>
      <c r="S634" s="3740" t="s">
        <v>2021</v>
      </c>
      <c r="T634" s="374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1059</v>
      </c>
      <c r="S635" s="3740" t="s">
        <v>1106</v>
      </c>
      <c r="T635" s="374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1060</v>
      </c>
      <c r="S636" s="3740" t="s">
        <v>1532</v>
      </c>
      <c r="T636" s="374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1061</v>
      </c>
      <c r="S637" s="3740" t="s">
        <v>2499</v>
      </c>
      <c r="T637" s="374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1062</v>
      </c>
      <c r="S638" s="3740" t="s">
        <v>160</v>
      </c>
      <c r="T638" s="374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1063</v>
      </c>
      <c r="S639" s="3740" t="s">
        <v>1346</v>
      </c>
      <c r="T639" s="374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1064</v>
      </c>
      <c r="S640" s="3740" t="s">
        <v>1532</v>
      </c>
      <c r="T640" s="374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1065</v>
      </c>
      <c r="S641" s="3740" t="s">
        <v>1120</v>
      </c>
      <c r="T641" s="374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1066</v>
      </c>
      <c r="S642" s="3740" t="s">
        <v>2021</v>
      </c>
      <c r="T642" s="374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1067</v>
      </c>
      <c r="S644" s="3740" t="s">
        <v>2502</v>
      </c>
      <c r="T644" s="374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1619</v>
      </c>
      <c r="S645" s="3740" t="s">
        <v>2545</v>
      </c>
      <c r="T645" s="374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1068</v>
      </c>
      <c r="S646" s="3740"/>
      <c r="T646" s="374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185</v>
      </c>
      <c r="S647" s="3740" t="s">
        <v>160</v>
      </c>
      <c r="T647" s="374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1069</v>
      </c>
      <c r="S648" s="3740" t="s">
        <v>176</v>
      </c>
      <c r="T648" s="374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2301</v>
      </c>
      <c r="S649" s="3740" t="s">
        <v>1218</v>
      </c>
      <c r="T649" s="374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1070</v>
      </c>
      <c r="S650" s="3740" t="s">
        <v>634</v>
      </c>
      <c r="T650" s="374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1071</v>
      </c>
      <c r="S651" s="3740" t="s">
        <v>634</v>
      </c>
      <c r="T651" s="374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1072</v>
      </c>
      <c r="S652" s="3740" t="s">
        <v>634</v>
      </c>
      <c r="T652" s="374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1073</v>
      </c>
      <c r="S653" s="3740" t="s">
        <v>634</v>
      </c>
      <c r="T653" s="374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1074</v>
      </c>
      <c r="S654" s="3740" t="s">
        <v>1681</v>
      </c>
      <c r="T654" s="374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1075</v>
      </c>
      <c r="S655" s="3740" t="s">
        <v>964</v>
      </c>
      <c r="T655" s="374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1076</v>
      </c>
      <c r="S656" s="3740" t="s">
        <v>123</v>
      </c>
      <c r="T656" s="374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1077</v>
      </c>
      <c r="S657" s="3740" t="s">
        <v>634</v>
      </c>
      <c r="T657" s="374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1078</v>
      </c>
      <c r="S658" s="3740" t="s">
        <v>318</v>
      </c>
      <c r="T658" s="374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1079</v>
      </c>
      <c r="S659" s="3740" t="s">
        <v>322</v>
      </c>
      <c r="T659" s="374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840</v>
      </c>
      <c r="S660" s="3740" t="s">
        <v>1325</v>
      </c>
      <c r="T660" s="374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1080</v>
      </c>
      <c r="S661" s="3740" t="s">
        <v>672</v>
      </c>
      <c r="T661" s="374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1081</v>
      </c>
      <c r="S662" s="3740" t="s">
        <v>1532</v>
      </c>
      <c r="T662" s="374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1082</v>
      </c>
      <c r="S663" s="3740" t="s">
        <v>634</v>
      </c>
      <c r="T663" s="374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1083</v>
      </c>
      <c r="S664" s="3740" t="s">
        <v>664</v>
      </c>
      <c r="T664" s="374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1084</v>
      </c>
      <c r="S665" s="3740" t="s">
        <v>160</v>
      </c>
      <c r="T665" s="374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1085</v>
      </c>
      <c r="S666" s="3740" t="s">
        <v>1926</v>
      </c>
      <c r="T666" s="374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1086</v>
      </c>
      <c r="S667" s="3740" t="s">
        <v>2021</v>
      </c>
      <c r="T667" s="374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1087</v>
      </c>
      <c r="S668" s="3740" t="s">
        <v>634</v>
      </c>
      <c r="T668" s="374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1088</v>
      </c>
      <c r="S669" s="3740" t="s">
        <v>1681</v>
      </c>
      <c r="T669" s="374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1089</v>
      </c>
      <c r="S670" s="3740" t="s">
        <v>2502</v>
      </c>
      <c r="T670" s="374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1090</v>
      </c>
      <c r="S671" s="3740" t="s">
        <v>160</v>
      </c>
      <c r="T671" s="374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1091</v>
      </c>
      <c r="S672" s="3740" t="s">
        <v>160</v>
      </c>
      <c r="T672" s="374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ESZFazuvNYlr1q3P33Cy7cJlTTWKipFyV1AYLPY3DU0Enigu48JmWva/sUnPOV2K0pwCBTXPPHXKBSJJoWlx+Q==" saltValue="qf9z7DHXWbguvfR7JFki0g=="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Myrtle Terraces Phase 2</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16341.210159925025</v>
      </c>
    </row>
    <row r="9" spans="1:8" ht="21" customHeight="1">
      <c r="D9" s="1404">
        <v>2</v>
      </c>
      <c r="E9" s="1405">
        <f>-'Part VII-Pro Forma'!C23/12</f>
        <v>16341.210159925025</v>
      </c>
    </row>
    <row r="10" spans="1:8" ht="21" customHeight="1">
      <c r="D10" s="1404">
        <v>3</v>
      </c>
      <c r="E10" s="1405">
        <f>-'Part VII-Pro Forma'!D23/12</f>
        <v>16341.210159925025</v>
      </c>
    </row>
    <row r="11" spans="1:8" ht="21" customHeight="1">
      <c r="D11" s="1406">
        <v>4</v>
      </c>
      <c r="E11" s="1405">
        <f>-'Part VII-Pro Forma'!E23/12</f>
        <v>16341.210159925025</v>
      </c>
    </row>
    <row r="12" spans="1:8" ht="21" customHeight="1">
      <c r="D12" s="1406">
        <v>5</v>
      </c>
      <c r="E12" s="1405">
        <f>-'Part VII-Pro Forma'!F23/12</f>
        <v>16341.210159925025</v>
      </c>
    </row>
    <row r="13" spans="1:8" ht="21" customHeight="1">
      <c r="D13" s="1404">
        <v>6</v>
      </c>
      <c r="E13" s="1405">
        <f>-'Part VII-Pro Forma'!G23/12</f>
        <v>16341.210159925025</v>
      </c>
    </row>
    <row r="14" spans="1:8" ht="21" customHeight="1">
      <c r="D14" s="1404">
        <v>7</v>
      </c>
      <c r="E14" s="1405">
        <f>-'Part VII-Pro Forma'!H23/12</f>
        <v>16341.210159925025</v>
      </c>
    </row>
    <row r="15" spans="1:8" ht="21" customHeight="1">
      <c r="D15" s="1406">
        <v>8</v>
      </c>
      <c r="E15" s="1405">
        <f>-'Part VII-Pro Forma'!I23/12</f>
        <v>16341.210159925025</v>
      </c>
    </row>
    <row r="16" spans="1:8" ht="21" customHeight="1">
      <c r="D16" s="1404">
        <v>9</v>
      </c>
      <c r="E16" s="1405">
        <f>-'Part VII-Pro Forma'!J23/12</f>
        <v>16341.210159925025</v>
      </c>
    </row>
    <row r="17" spans="4:8" ht="21" customHeight="1">
      <c r="D17" s="1404">
        <v>10</v>
      </c>
      <c r="E17" s="1405">
        <f>-'Part VII-Pro Forma'!K23/12</f>
        <v>16341.210159925025</v>
      </c>
    </row>
    <row r="18" spans="4:8" ht="21" customHeight="1">
      <c r="D18" s="1406">
        <v>11</v>
      </c>
      <c r="E18" s="1405">
        <f>-'Part VII-Pro Forma'!B53/12</f>
        <v>16341.210159925025</v>
      </c>
    </row>
    <row r="19" spans="4:8" ht="21" customHeight="1">
      <c r="D19" s="1404">
        <v>12</v>
      </c>
      <c r="E19" s="1405">
        <f>-'Part VII-Pro Forma'!C53/12</f>
        <v>16341.210159925025</v>
      </c>
    </row>
    <row r="20" spans="4:8" ht="21" customHeight="1">
      <c r="D20" s="1404">
        <v>13</v>
      </c>
      <c r="E20" s="1405">
        <f>-'Part VII-Pro Forma'!D53/12</f>
        <v>16341.210159925025</v>
      </c>
    </row>
    <row r="21" spans="4:8" ht="21" customHeight="1">
      <c r="D21" s="1404">
        <v>14</v>
      </c>
      <c r="E21" s="1405">
        <f>-'Part VII-Pro Forma'!E53/12</f>
        <v>16341.210159925025</v>
      </c>
    </row>
    <row r="22" spans="4:8" ht="21" customHeight="1">
      <c r="D22" s="1404">
        <v>15</v>
      </c>
      <c r="E22" s="1405">
        <f>-'Part VII-Pro Forma'!F53/12</f>
        <v>16341.210159925025</v>
      </c>
    </row>
    <row r="23" spans="4:8" ht="21" customHeight="1">
      <c r="D23" s="1404">
        <v>16</v>
      </c>
      <c r="E23" s="1405">
        <f>-'Part VII-Pro Forma'!G53/12</f>
        <v>16341.210159925025</v>
      </c>
    </row>
    <row r="24" spans="4:8" ht="21" customHeight="1">
      <c r="D24" s="1404">
        <v>17</v>
      </c>
      <c r="E24" s="1405">
        <f>-'Part VII-Pro Forma'!H53/12</f>
        <v>16341.210159925025</v>
      </c>
      <c r="H24" s="580" t="s">
        <v>245</v>
      </c>
    </row>
    <row r="25" spans="4:8" ht="21" customHeight="1">
      <c r="D25" s="1404">
        <v>18</v>
      </c>
      <c r="E25" s="1405">
        <f>-'Part VII-Pro Forma'!I53/12</f>
        <v>16341.210159925025</v>
      </c>
    </row>
    <row r="26" spans="4:8" ht="21" customHeight="1">
      <c r="D26" s="1404">
        <v>19</v>
      </c>
      <c r="E26" s="1405">
        <f>-'Part VII-Pro Forma'!J53/12</f>
        <v>16341.210159925025</v>
      </c>
    </row>
    <row r="27" spans="4:8" ht="21" customHeight="1">
      <c r="D27" s="1404">
        <v>20</v>
      </c>
      <c r="E27" s="1405">
        <f>-'Part VII-Pro Forma'!K53/12</f>
        <v>16341.210159925025</v>
      </c>
    </row>
    <row r="28" spans="4:8" ht="21" customHeight="1">
      <c r="D28" s="1404">
        <v>21</v>
      </c>
      <c r="E28" s="1405">
        <f>-'Part VII-Pro Forma'!B83/12</f>
        <v>16341.210159925025</v>
      </c>
    </row>
    <row r="29" spans="4:8" ht="21" customHeight="1">
      <c r="D29" s="1404">
        <v>22</v>
      </c>
      <c r="E29" s="1405">
        <f>-'Part VII-Pro Forma'!C83/12</f>
        <v>16341.210159925025</v>
      </c>
    </row>
    <row r="30" spans="4:8" ht="21" customHeight="1">
      <c r="D30" s="1404">
        <v>23</v>
      </c>
      <c r="E30" s="1405">
        <f>-'Part VII-Pro Forma'!D83/12</f>
        <v>16341.210159925025</v>
      </c>
    </row>
    <row r="31" spans="4:8" ht="21" customHeight="1">
      <c r="D31" s="1404">
        <v>24</v>
      </c>
      <c r="E31" s="1405">
        <f>-'Part VII-Pro Forma'!E83/12</f>
        <v>16341.210159925025</v>
      </c>
    </row>
    <row r="32" spans="4:8" ht="21" customHeight="1">
      <c r="D32" s="1404">
        <v>25</v>
      </c>
      <c r="E32" s="1405">
        <f>-'Part VII-Pro Forma'!F83/12</f>
        <v>16341.210159925025</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Myrtle Terraces Phase 2</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4522</v>
      </c>
      <c r="D5" s="2249"/>
      <c r="E5" s="2250"/>
      <c r="F5" s="593"/>
      <c r="G5" s="2248" t="s">
        <v>4523</v>
      </c>
      <c r="H5" s="2249"/>
      <c r="I5" s="2250"/>
      <c r="J5" s="809"/>
      <c r="K5" s="2259" t="s">
        <v>4524</v>
      </c>
    </row>
    <row r="6" spans="1:11" s="814" customFormat="1" ht="15" customHeight="1">
      <c r="A6" s="813" t="s">
        <v>2732</v>
      </c>
      <c r="C6" s="815" t="s">
        <v>3558</v>
      </c>
      <c r="D6" s="815" t="s">
        <v>4525</v>
      </c>
      <c r="E6" s="815" t="s">
        <v>2006</v>
      </c>
      <c r="G6" s="815" t="s">
        <v>3559</v>
      </c>
      <c r="H6" s="815" t="s">
        <v>4526</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38</v>
      </c>
      <c r="E8" s="819">
        <f>C8*D8</f>
        <v>0</v>
      </c>
      <c r="G8" s="817"/>
      <c r="H8" s="818">
        <f>'Part VI-Revenues &amp; Expenses'!$K$62</f>
        <v>46</v>
      </c>
      <c r="I8" s="819">
        <f>G8*H8</f>
        <v>0</v>
      </c>
      <c r="K8" s="816" t="s">
        <v>3560</v>
      </c>
    </row>
    <row r="9" spans="1:11" s="593" customFormat="1" ht="13.5" customHeight="1">
      <c r="A9" s="593" t="s">
        <v>2731</v>
      </c>
      <c r="C9" s="817"/>
      <c r="D9" s="1407">
        <f>'Part VI-Revenues &amp; Expenses'!$L$58</f>
        <v>26</v>
      </c>
      <c r="E9" s="819">
        <f>C9*D9</f>
        <v>0</v>
      </c>
      <c r="G9" s="817"/>
      <c r="H9" s="818">
        <f>'Part VI-Revenues &amp; Expenses'!$L$62</f>
        <v>30</v>
      </c>
      <c r="I9" s="819">
        <f>G9*H9</f>
        <v>0</v>
      </c>
      <c r="K9" s="1414">
        <f>'Part IV-A-Uses of Funds'!$G$132</f>
        <v>13541444</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64</v>
      </c>
      <c r="E12" s="826"/>
      <c r="G12" s="825" t="s">
        <v>1806</v>
      </c>
      <c r="H12" s="1413">
        <f>SUM(H7:H11)</f>
        <v>76</v>
      </c>
      <c r="I12" s="826"/>
      <c r="K12" s="2252"/>
    </row>
    <row r="13" spans="1:11" s="593" customFormat="1" ht="13.5" customHeight="1" thickBot="1">
      <c r="A13" s="825" t="s">
        <v>3102</v>
      </c>
      <c r="B13" s="827"/>
      <c r="E13" s="828">
        <f>SUM(E7:E11)</f>
        <v>0</v>
      </c>
      <c r="G13" s="825" t="s">
        <v>3338</v>
      </c>
      <c r="H13" s="827"/>
      <c r="I13" s="829">
        <f>SUM(I7:I11)</f>
        <v>0</v>
      </c>
      <c r="K13" s="1414">
        <f>'Part VIII-Threshold Criteria'!$P$63</f>
        <v>13542364</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4310</v>
      </c>
      <c r="F18" s="1416"/>
      <c r="G18" s="1416"/>
      <c r="H18" s="1416"/>
      <c r="I18" s="1416"/>
      <c r="K18" s="1392">
        <f>Overview!$E$13</f>
        <v>64</v>
      </c>
    </row>
    <row r="19" spans="1:11" s="593" customFormat="1" ht="13.5" customHeight="1">
      <c r="A19" s="593" t="s">
        <v>3103</v>
      </c>
      <c r="E19" s="1410"/>
      <c r="K19" s="680">
        <f>Overview!$C$13</f>
        <v>76</v>
      </c>
    </row>
    <row r="20" spans="1:11" ht="3" customHeight="1">
      <c r="A20" s="831"/>
      <c r="E20" s="1411"/>
    </row>
    <row r="21" spans="1:11" s="593" customFormat="1" ht="13.5" customHeight="1">
      <c r="A21" s="593" t="s">
        <v>3104</v>
      </c>
      <c r="E21" s="1409" t="s">
        <v>3563</v>
      </c>
      <c r="K21" s="832">
        <f>K18/K19</f>
        <v>0.84210526315789469</v>
      </c>
    </row>
    <row r="22" spans="1:11" ht="6.75" customHeight="1">
      <c r="E22" s="1411"/>
    </row>
    <row r="23" spans="1:11" s="593" customFormat="1" ht="13.5" customHeight="1">
      <c r="A23" s="593" t="s">
        <v>3526</v>
      </c>
      <c r="C23" s="833"/>
      <c r="E23" s="1409" t="s">
        <v>3107</v>
      </c>
      <c r="K23" s="680">
        <f>K9</f>
        <v>13541444</v>
      </c>
    </row>
    <row r="24" spans="1:11" s="593" customFormat="1" ht="13.5" customHeight="1">
      <c r="A24" s="834" t="s">
        <v>1773</v>
      </c>
      <c r="E24" s="1410"/>
      <c r="K24" s="820">
        <f>'Part IV-A-Uses of Funds'!$G$122</f>
        <v>285928</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13255516</v>
      </c>
    </row>
    <row r="29" spans="1:11" ht="6.75" customHeight="1">
      <c r="A29" s="831"/>
      <c r="E29" s="1411"/>
      <c r="K29" s="839"/>
    </row>
    <row r="30" spans="1:11" s="593" customFormat="1" ht="15" customHeight="1">
      <c r="A30" s="827" t="s">
        <v>3110</v>
      </c>
      <c r="E30" s="1409" t="s">
        <v>3570</v>
      </c>
      <c r="F30" s="840"/>
      <c r="G30" s="840"/>
      <c r="H30" s="840"/>
      <c r="I30" s="840"/>
      <c r="K30" s="841">
        <f>K21*K28</f>
        <v>11162539.789473685</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2900000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17</v>
      </c>
    </row>
    <row r="39" spans="1:11" s="593" customFormat="1" ht="15.75" customHeight="1" thickBot="1">
      <c r="A39" s="2253"/>
      <c r="B39" s="2253"/>
      <c r="C39" s="2253"/>
      <c r="D39" s="2257">
        <f>K36</f>
        <v>2900000</v>
      </c>
      <c r="E39" s="2257"/>
      <c r="F39" s="2258">
        <f>K28</f>
        <v>13255516</v>
      </c>
      <c r="G39" s="2258"/>
      <c r="H39" s="2258"/>
      <c r="I39" s="848">
        <f>K19</f>
        <v>76</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2018-037  Myrtle Terraces Phase 2</v>
      </c>
      <c r="B1" s="2262"/>
      <c r="C1" s="2262"/>
      <c r="D1" s="2262"/>
      <c r="E1" s="2262"/>
      <c r="F1" s="2262"/>
      <c r="G1" s="2262"/>
      <c r="H1" s="2262"/>
    </row>
    <row r="3" spans="1:13" ht="12" customHeight="1">
      <c r="A3" s="2263" t="s">
        <v>3529</v>
      </c>
      <c r="B3" s="2263"/>
      <c r="C3" s="2263"/>
      <c r="D3" s="2263"/>
      <c r="E3" s="2263"/>
      <c r="F3" s="2263"/>
      <c r="G3" s="2263"/>
      <c r="H3" s="2263"/>
      <c r="I3" s="1474"/>
      <c r="J3" s="2265" t="s">
        <v>4311</v>
      </c>
      <c r="K3" s="2265"/>
      <c r="L3" s="882"/>
      <c r="M3" s="882"/>
    </row>
    <row r="4" spans="1:13">
      <c r="J4" s="2265"/>
      <c r="K4" s="2265"/>
    </row>
    <row r="5" spans="1:13" ht="12" customHeight="1">
      <c r="A5" s="809">
        <v>1</v>
      </c>
      <c r="C5" s="809" t="s">
        <v>3112</v>
      </c>
      <c r="E5" s="864" t="str">
        <f>Overview!H9</f>
        <v>BJS Lovejoy Place, LP</v>
      </c>
      <c r="J5" s="2265"/>
      <c r="K5" s="2265"/>
    </row>
    <row r="6" spans="1:13" ht="3" customHeight="1">
      <c r="H6" s="826"/>
      <c r="J6" s="2265"/>
      <c r="K6" s="2265"/>
    </row>
    <row r="7" spans="1:13" ht="12" customHeight="1">
      <c r="A7" s="809">
        <v>2</v>
      </c>
      <c r="C7" s="809" t="s">
        <v>3113</v>
      </c>
      <c r="E7" s="864" t="str">
        <f>'Part II-Development Team'!H6</f>
        <v>5030 Nesbit Ferry Lane</v>
      </c>
      <c r="J7" s="2265"/>
      <c r="K7" s="2265"/>
    </row>
    <row r="8" spans="1:13" ht="12" customHeight="1">
      <c r="E8" s="864" t="str">
        <f>+'Part II-Development Team'!H7&amp;","&amp;" "&amp;'Part II-Development Team'!H8&amp;" "&amp;LEFT('Part II-Development Team'!J8,5)</f>
        <v>Sandy Springs, GA 30350</v>
      </c>
      <c r="J8" s="2265"/>
      <c r="K8" s="2265"/>
    </row>
    <row r="9" spans="1:13" ht="12" customHeight="1">
      <c r="C9" s="809" t="s">
        <v>3114</v>
      </c>
      <c r="E9" s="2264">
        <f>'Part II-Development Team'!L7</f>
        <v>0</v>
      </c>
      <c r="F9" s="2264"/>
      <c r="J9" s="2265"/>
      <c r="K9" s="2265"/>
    </row>
    <row r="10" spans="1:13" ht="12" customHeight="1">
      <c r="C10" s="809" t="s">
        <v>3115</v>
      </c>
      <c r="E10" s="864" t="str">
        <f>'Part II-Development Team'!Q5</f>
        <v>Philip E. Searles</v>
      </c>
    </row>
    <row r="11" spans="1:13" ht="12" customHeight="1">
      <c r="C11" s="809" t="s">
        <v>4316</v>
      </c>
      <c r="E11" s="864" t="str">
        <f>'Part II-Development Team'!L9</f>
        <v>psearles@bjsfoundation.org</v>
      </c>
    </row>
    <row r="12" spans="1:13" ht="12" customHeight="1">
      <c r="C12" s="809" t="s">
        <v>4312</v>
      </c>
      <c r="E12" s="1475">
        <f>'Part II-Development Team'!H9</f>
        <v>6784676861</v>
      </c>
    </row>
    <row r="13" spans="1:13" ht="12" customHeight="1">
      <c r="C13" s="809" t="s">
        <v>4315</v>
      </c>
      <c r="E13" s="1475">
        <f>'Part II-Development Team'!Q7</f>
        <v>0</v>
      </c>
    </row>
    <row r="14" spans="1:13" ht="3" customHeight="1"/>
    <row r="15" spans="1:13" ht="12" customHeight="1">
      <c r="A15" s="809">
        <v>3</v>
      </c>
      <c r="C15" s="809" t="s">
        <v>3116</v>
      </c>
      <c r="E15" s="864" t="str">
        <f>Overview!C8</f>
        <v>Myrtle Terraces Phase 2</v>
      </c>
    </row>
    <row r="16" spans="1:13" ht="12" customHeight="1">
      <c r="C16" s="809" t="s">
        <v>3117</v>
      </c>
      <c r="E16" s="864" t="str">
        <f>'Part I-Project Information'!$F$35</f>
        <v>1326 Myrtle Street</v>
      </c>
    </row>
    <row r="17" spans="1:8" ht="12" customHeight="1">
      <c r="E17" s="864" t="str">
        <f>+'Part I-Project Information'!$F$38&amp;","&amp;" GA "&amp;LEFT('Part I-Project Information'!$J$38,5)</f>
        <v>Gainesville, GA 30501</v>
      </c>
    </row>
    <row r="18" spans="1:8" ht="3" customHeight="1"/>
    <row r="19" spans="1:8" ht="12" customHeight="1">
      <c r="A19" s="809">
        <v>4</v>
      </c>
      <c r="C19" s="809" t="s">
        <v>3118</v>
      </c>
      <c r="E19" s="864" t="str">
        <f>'Part II-Development Team'!H92</f>
        <v>Fairway Management, Inc.</v>
      </c>
    </row>
    <row r="20" spans="1:8" ht="12" customHeight="1">
      <c r="C20" s="809" t="s">
        <v>3119</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4312</v>
      </c>
      <c r="E22" s="1475">
        <f>'Part II-Development Team'!H96</f>
        <v>5734432021</v>
      </c>
    </row>
    <row r="23" spans="1:8" ht="12" customHeight="1">
      <c r="C23" s="809" t="s">
        <v>4315</v>
      </c>
      <c r="E23" s="1475">
        <f>'Part II-Development Team'!Q94</f>
        <v>5734432021</v>
      </c>
    </row>
    <row r="24" spans="1:8" ht="12" customHeight="1">
      <c r="C24" s="809" t="s">
        <v>4316</v>
      </c>
      <c r="E24" s="1475" t="str">
        <f>'Part II-Development Team'!L96</f>
        <v>rstevens@fairwaymanagement.com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8391776</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216</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BJS Lovejoy General, LLC</v>
      </c>
    </row>
    <row r="48" spans="1:7" ht="3" customHeight="1">
      <c r="E48" s="864"/>
    </row>
    <row r="49" spans="1:7" ht="12" customHeight="1">
      <c r="A49" s="809">
        <v>15</v>
      </c>
      <c r="C49" s="809" t="s">
        <v>4318</v>
      </c>
      <c r="E49" s="864" t="str">
        <f>'Part II-Development Team'!Q98</f>
        <v>Greg Clark</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76</v>
      </c>
    </row>
    <row r="53" spans="1:7" ht="3" customHeight="1">
      <c r="F53" s="854"/>
    </row>
    <row r="54" spans="1:7" ht="12" customHeight="1">
      <c r="A54" s="882">
        <v>17</v>
      </c>
      <c r="B54" s="882"/>
      <c r="C54" s="882" t="s">
        <v>3138</v>
      </c>
      <c r="D54" s="882"/>
      <c r="E54" s="882"/>
      <c r="F54" s="1482">
        <f>'Subsidy Layering WS'!K18</f>
        <v>64</v>
      </c>
      <c r="G54" s="882"/>
    </row>
    <row r="55" spans="1:7" ht="3" customHeight="1">
      <c r="F55" s="854"/>
    </row>
    <row r="56" spans="1:7" ht="12" customHeight="1">
      <c r="A56" s="809">
        <v>18</v>
      </c>
      <c r="C56" s="809" t="s">
        <v>3139</v>
      </c>
      <c r="F56" s="1482">
        <f>'Part VI-Revenues &amp; Expenses'!O61</f>
        <v>0</v>
      </c>
      <c r="G56" s="809" t="s">
        <v>4317</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BJS Lovejoy Place,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285928</v>
      </c>
    </row>
    <row r="72" spans="1:7" ht="3" customHeight="1">
      <c r="F72" s="1487"/>
    </row>
    <row r="73" spans="1:7" ht="12" customHeight="1">
      <c r="A73" s="809">
        <v>26</v>
      </c>
      <c r="C73" s="809" t="s">
        <v>3148</v>
      </c>
      <c r="F73" s="1487">
        <f>'Part IV-A-Uses of Funds'!$G$123</f>
        <v>19000</v>
      </c>
    </row>
    <row r="74" spans="1:7" ht="3" customHeight="1">
      <c r="F74" s="1487"/>
    </row>
    <row r="75" spans="1:7" ht="12" customHeight="1">
      <c r="A75" s="809">
        <v>27</v>
      </c>
      <c r="C75" s="809" t="s">
        <v>3149</v>
      </c>
      <c r="F75" s="1488">
        <f>'Part IV-A-Uses of Funds'!$G$121</f>
        <v>93940</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3340</v>
      </c>
      <c r="B1" s="2280"/>
      <c r="C1" s="2280"/>
      <c r="D1" s="2280"/>
      <c r="E1" s="2280"/>
      <c r="F1" s="2280"/>
      <c r="G1" s="2280"/>
      <c r="H1" s="2280"/>
      <c r="I1" s="2280"/>
      <c r="J1" s="2280"/>
    </row>
    <row r="2" spans="1:13" ht="15">
      <c r="A2" s="2280" t="str">
        <f>Overview!E8&amp;"  "&amp;Overview!C8</f>
        <v>2018-037  Myrtle Terraces Phase 2</v>
      </c>
      <c r="B2" s="2280"/>
      <c r="C2" s="2280"/>
      <c r="D2" s="2280"/>
      <c r="E2" s="2280"/>
      <c r="F2" s="2280"/>
      <c r="G2" s="2280"/>
      <c r="H2" s="2280"/>
      <c r="I2" s="2280"/>
      <c r="J2" s="2280"/>
    </row>
    <row r="3" spans="1:13" ht="6" customHeight="1">
      <c r="K3" s="2265" t="s">
        <v>4311</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BJS Lovejoy Place, LP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3"/>
      <c r="E13" s="2273"/>
      <c r="F13" s="2273"/>
      <c r="G13" s="2273"/>
      <c r="H13" s="2273"/>
      <c r="I13" s="2273"/>
      <c r="J13" s="2273"/>
    </row>
    <row r="14" spans="1:13" ht="3" customHeight="1">
      <c r="G14" s="746"/>
      <c r="H14" s="851"/>
      <c r="I14" s="851"/>
    </row>
    <row r="15" spans="1:13" ht="12" customHeight="1">
      <c r="A15" s="809" t="s">
        <v>3157</v>
      </c>
      <c r="C15" s="853" t="str">
        <f>'Preview term'!E10</f>
        <v>Philip E. Searles</v>
      </c>
      <c r="G15" s="746"/>
      <c r="I15" s="851"/>
    </row>
    <row r="16" spans="1:13" ht="12" customHeight="1">
      <c r="A16" s="864" t="s">
        <v>4527</v>
      </c>
      <c r="C16" s="853" t="str">
        <f>'Part II-Development Team'!Q6</f>
        <v>Manager</v>
      </c>
      <c r="G16" s="746"/>
      <c r="I16" s="851"/>
    </row>
    <row r="17" spans="1:9" ht="3" customHeight="1">
      <c r="G17" s="746"/>
      <c r="H17" s="851"/>
      <c r="I17" s="851"/>
    </row>
    <row r="18" spans="1:9" ht="12" customHeight="1">
      <c r="A18" s="809" t="s">
        <v>3158</v>
      </c>
      <c r="C18" s="853" t="str">
        <f>'Preview term'!$E$7</f>
        <v>5030 Nesbit Ferry Lane</v>
      </c>
      <c r="G18" s="746"/>
      <c r="I18" s="851"/>
    </row>
    <row r="19" spans="1:9" ht="12" customHeight="1">
      <c r="C19" s="853" t="str">
        <f>'Preview term'!$E$8</f>
        <v>Sandy Springs, GA 30350</v>
      </c>
      <c r="G19" s="746"/>
      <c r="I19" s="851"/>
    </row>
    <row r="20" spans="1:9" ht="3" customHeight="1">
      <c r="G20" s="746"/>
      <c r="H20" s="851"/>
      <c r="I20" s="851"/>
    </row>
    <row r="21" spans="1:9" ht="12" customHeight="1">
      <c r="A21" s="809" t="s">
        <v>3159</v>
      </c>
      <c r="C21" s="853" t="str">
        <f>CONCATENATE('Preview term'!E49," of  ",'Preview term'!G49)</f>
        <v>Greg Clark of  Coleman Talley, LLP</v>
      </c>
      <c r="G21" s="746"/>
      <c r="I21" s="851"/>
    </row>
    <row r="22" spans="1:9" ht="3" customHeight="1">
      <c r="C22" s="853"/>
      <c r="G22" s="746"/>
      <c r="I22" s="851"/>
    </row>
    <row r="23" spans="1:9" ht="12" customHeight="1">
      <c r="A23" s="809" t="s">
        <v>3160</v>
      </c>
      <c r="C23" s="853">
        <f>'Preview term'!E12</f>
        <v>6784676861</v>
      </c>
      <c r="G23" s="746"/>
      <c r="I23" s="851"/>
    </row>
    <row r="24" spans="1:9" ht="3" customHeight="1">
      <c r="C24" s="853"/>
      <c r="G24" s="746"/>
      <c r="I24" s="851"/>
    </row>
    <row r="25" spans="1:9" ht="12" customHeight="1">
      <c r="A25" s="809" t="s">
        <v>3161</v>
      </c>
      <c r="C25" s="1421" t="str">
        <f>'Preview term'!E11</f>
        <v>psearles@bjsfoundation.org</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Myrtle Terraces Phase 2</v>
      </c>
      <c r="I28" s="851"/>
    </row>
    <row r="29" spans="1:9" ht="3" customHeight="1">
      <c r="C29" s="853"/>
      <c r="I29" s="851"/>
    </row>
    <row r="30" spans="1:9" ht="12" customHeight="1">
      <c r="A30" s="809" t="s">
        <v>3164</v>
      </c>
      <c r="C30" s="853" t="str">
        <f>'Preview term'!E16</f>
        <v>1326 Myrtle Street</v>
      </c>
      <c r="I30" s="851"/>
    </row>
    <row r="31" spans="1:9">
      <c r="C31" s="851" t="str">
        <f>'Preview term'!E17</f>
        <v>Gainesville, GA 30501</v>
      </c>
      <c r="I31" s="851"/>
    </row>
    <row r="32" spans="1:9" ht="3" customHeight="1">
      <c r="C32" s="746"/>
      <c r="D32" s="746"/>
      <c r="I32" s="746"/>
    </row>
    <row r="33" spans="1:10" ht="12" customHeight="1">
      <c r="A33" s="809" t="s">
        <v>3165</v>
      </c>
      <c r="C33" s="746" t="s">
        <v>3166</v>
      </c>
      <c r="D33" s="1420">
        <f>'Preview term'!F54</f>
        <v>64</v>
      </c>
      <c r="I33" s="746"/>
    </row>
    <row r="34" spans="1:10" ht="12" customHeight="1">
      <c r="C34" s="746" t="s">
        <v>3167</v>
      </c>
      <c r="D34" s="855">
        <f>'Subsidy Layering WS'!H12-'Subsidy Layering WS'!D12</f>
        <v>12</v>
      </c>
      <c r="I34" s="746"/>
    </row>
    <row r="35" spans="1:10" ht="12" customHeight="1">
      <c r="C35" s="746" t="s">
        <v>3168</v>
      </c>
      <c r="D35" s="856">
        <f>SUM(D33:D34)</f>
        <v>76</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81"/>
      <c r="D39" s="2281"/>
      <c r="E39" s="2281"/>
      <c r="F39" s="2281"/>
      <c r="G39" s="2281"/>
      <c r="H39" s="2281"/>
      <c r="I39" s="2281"/>
      <c r="J39" s="2281"/>
    </row>
    <row r="40" spans="1:10" ht="3" customHeight="1">
      <c r="G40" s="746"/>
      <c r="H40" s="746"/>
      <c r="I40" s="746"/>
    </row>
    <row r="41" spans="1:10" ht="25.5" customHeight="1">
      <c r="A41" s="858" t="s">
        <v>3172</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3173</v>
      </c>
      <c r="C43" s="678" t="str">
        <f>'Part I-Project Information'!J39</f>
        <v>Hall</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3177</v>
      </c>
      <c r="B52" s="858"/>
      <c r="C52" s="863" t="s">
        <v>3178</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3179</v>
      </c>
      <c r="G54" s="746"/>
      <c r="H54" s="746"/>
      <c r="I54" s="746"/>
    </row>
    <row r="55" spans="1:10" ht="18" customHeight="1">
      <c r="A55" s="809" t="s">
        <v>3180</v>
      </c>
      <c r="C55" s="852" t="str">
        <f>Overview!C10</f>
        <v>BJS Lovejoy General,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8391776</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3"/>
      <c r="E68" s="2273"/>
      <c r="F68" s="2273"/>
      <c r="G68" s="2273"/>
      <c r="H68" s="2273"/>
      <c r="I68" s="2273"/>
      <c r="J68" s="2273"/>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216</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1948946.4835516913</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Sterling Bank Construction/Bridge Loan</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3352</v>
      </c>
      <c r="D96" s="746" t="s">
        <v>3206</v>
      </c>
      <c r="E96" s="864" t="str">
        <f>'Part III-Sources of Funds'!E37</f>
        <v>Sterling Bank Perm Loan</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1"/>
      <c r="E106" s="2271"/>
      <c r="F106" s="2271"/>
      <c r="G106" s="2271"/>
      <c r="H106" s="2271"/>
      <c r="I106" s="2271"/>
      <c r="J106" s="2272"/>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4320</v>
      </c>
      <c r="I113" s="746"/>
    </row>
    <row r="114" spans="1:10" ht="12" customHeight="1">
      <c r="C114" s="852" t="s">
        <v>4319</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75" t="s">
        <v>4321</v>
      </c>
      <c r="F119" s="2275"/>
      <c r="G119" s="2275"/>
      <c r="H119" s="2275"/>
      <c r="I119" s="2275"/>
      <c r="J119" s="2275"/>
    </row>
    <row r="120" spans="1:10" ht="12" customHeight="1">
      <c r="C120" s="746" t="s">
        <v>3217</v>
      </c>
      <c r="D120" s="1429"/>
      <c r="E120" s="2275"/>
      <c r="F120" s="2275"/>
      <c r="G120" s="2275"/>
      <c r="H120" s="2275"/>
      <c r="I120" s="2275"/>
      <c r="J120" s="2275"/>
    </row>
    <row r="121" spans="1:10" ht="12" customHeight="1">
      <c r="C121" s="746" t="s">
        <v>3218</v>
      </c>
      <c r="D121" s="1429"/>
      <c r="E121" s="2275"/>
      <c r="F121" s="2275"/>
      <c r="G121" s="2275"/>
      <c r="H121" s="2275"/>
      <c r="I121" s="2275"/>
      <c r="J121" s="2275"/>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Beverly J. Searles Foundation</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749278</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Fairway Management, Inc.</v>
      </c>
      <c r="G137" s="746"/>
      <c r="I137" s="746"/>
      <c r="J137" s="881"/>
    </row>
    <row r="138" spans="1:10" ht="3" customHeight="1">
      <c r="C138" s="852"/>
      <c r="G138" s="746"/>
      <c r="I138" s="746"/>
    </row>
    <row r="139" spans="1:10" ht="12" customHeight="1">
      <c r="A139" s="809" t="s">
        <v>3229</v>
      </c>
      <c r="C139" s="853" t="str">
        <f>C8</f>
        <v>BJS Lovejoy Place, LP</v>
      </c>
      <c r="G139" s="746"/>
      <c r="I139" s="851"/>
      <c r="J139" s="882"/>
    </row>
    <row r="140" spans="1:10" ht="3" customHeight="1">
      <c r="C140" s="853"/>
      <c r="G140" s="746"/>
      <c r="I140" s="851"/>
      <c r="J140" s="882"/>
    </row>
    <row r="141" spans="1:10" ht="12" customHeight="1">
      <c r="A141" s="809" t="s">
        <v>3230</v>
      </c>
      <c r="C141" s="853" t="str">
        <f>C18</f>
        <v>5030 Nesbit Ferry Lane</v>
      </c>
      <c r="G141" s="746"/>
      <c r="I141" s="851"/>
      <c r="J141" s="882"/>
    </row>
    <row r="142" spans="1:10">
      <c r="C142" s="853" t="str">
        <f>C19</f>
        <v>Sandy Springs, GA 30350</v>
      </c>
      <c r="G142" s="746"/>
      <c r="I142" s="851"/>
      <c r="J142" s="882"/>
    </row>
    <row r="143" spans="1:10" ht="3" customHeight="1">
      <c r="C143" s="883"/>
      <c r="G143" s="746"/>
      <c r="I143" s="851"/>
      <c r="J143" s="882"/>
    </row>
    <row r="144" spans="1:10" ht="12" customHeight="1">
      <c r="A144" s="809" t="s">
        <v>3231</v>
      </c>
      <c r="C144" s="853" t="str">
        <f>Overview!H10</f>
        <v>Affordable Equity Partners</v>
      </c>
      <c r="G144" s="746"/>
      <c r="I144" s="851"/>
      <c r="J144" s="881"/>
    </row>
    <row r="145" spans="1:10" ht="3" customHeight="1">
      <c r="C145" s="853"/>
      <c r="G145" s="746"/>
      <c r="I145" s="851"/>
      <c r="J145" s="882"/>
    </row>
    <row r="146" spans="1:10" ht="12" customHeight="1">
      <c r="A146" s="809" t="s">
        <v>3232</v>
      </c>
      <c r="C146" s="853" t="str">
        <f>Overview!K10</f>
        <v>Affordable Equity Partners</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3241</v>
      </c>
      <c r="C166" s="809" t="s">
        <v>3242</v>
      </c>
      <c r="E166" s="885">
        <f>'Preview term'!F71</f>
        <v>285928</v>
      </c>
      <c r="G166" s="746"/>
      <c r="I166" s="746"/>
    </row>
    <row r="167" spans="1:13" ht="12" customHeight="1">
      <c r="C167" s="809" t="s">
        <v>3540</v>
      </c>
      <c r="E167" s="2273"/>
      <c r="F167" s="2273"/>
      <c r="G167" s="2273"/>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19000</v>
      </c>
      <c r="G170" s="746"/>
      <c r="I170" s="746"/>
    </row>
    <row r="171" spans="1:13" ht="12" customHeight="1">
      <c r="C171" s="809" t="s">
        <v>3244</v>
      </c>
      <c r="E171" s="885">
        <f>'Preview term'!F73</f>
        <v>19000</v>
      </c>
      <c r="G171" s="746"/>
      <c r="I171" s="851"/>
      <c r="J171" s="882"/>
      <c r="K171" s="882"/>
      <c r="L171" s="882"/>
      <c r="M171" s="882"/>
    </row>
    <row r="172" spans="1:13" ht="12" customHeight="1">
      <c r="C172" s="809" t="s">
        <v>3245</v>
      </c>
      <c r="E172" s="880">
        <f>'Part VI-Revenues &amp; Expenses'!P179</f>
        <v>19000</v>
      </c>
      <c r="F172" s="851" t="s">
        <v>3246</v>
      </c>
      <c r="J172" s="882"/>
      <c r="K172" s="882"/>
      <c r="L172" s="882"/>
      <c r="M172" s="882"/>
    </row>
    <row r="173" spans="1:13">
      <c r="E173" s="885">
        <f>E172/12</f>
        <v>1583.3333333333333</v>
      </c>
      <c r="F173" s="746" t="s">
        <v>3098</v>
      </c>
    </row>
    <row r="174" spans="1:13" ht="12" customHeight="1">
      <c r="C174" s="809" t="s">
        <v>3541</v>
      </c>
      <c r="E174" s="2273"/>
      <c r="F174" s="2273"/>
      <c r="G174" s="2273"/>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3"/>
      <c r="G179" s="2273"/>
      <c r="H179" s="2273"/>
      <c r="I179" s="2273"/>
      <c r="J179" s="2273"/>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93940</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3341</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6" t="s">
        <v>2963</v>
      </c>
      <c r="B204" s="2266"/>
      <c r="C204" s="2266"/>
      <c r="D204" s="2266"/>
      <c r="E204" s="2266"/>
      <c r="F204" s="2266"/>
      <c r="G204" s="2266"/>
      <c r="H204" s="2266"/>
      <c r="I204" s="2266"/>
      <c r="J204" s="2266"/>
    </row>
    <row r="205" spans="1:10">
      <c r="A205" s="746" t="s">
        <v>2964</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Myrtle Terraces Phase 2</v>
      </c>
    </row>
    <row r="2" spans="1:11">
      <c r="A2" s="746" t="s">
        <v>3258</v>
      </c>
      <c r="H2" s="809" t="str">
        <f>Overview!E8</f>
        <v>2018-037</v>
      </c>
    </row>
    <row r="3" spans="1:11" ht="3" customHeight="1"/>
    <row r="4" spans="1:11" ht="51.75" customHeight="1">
      <c r="A4" s="2267" t="s">
        <v>3358</v>
      </c>
      <c r="B4" s="2267"/>
      <c r="C4" s="2267"/>
      <c r="D4" s="2267"/>
      <c r="E4" s="2267"/>
      <c r="F4" s="2267"/>
      <c r="G4" s="2267"/>
      <c r="H4" s="2267"/>
      <c r="J4" s="1444">
        <f>SUM('Part VII-Pro Forma'!B14:B16)/12</f>
        <v>52605.561599999994</v>
      </c>
      <c r="K4" s="1443" t="s">
        <v>4528</v>
      </c>
    </row>
    <row r="5" spans="1:11" ht="1.5" customHeight="1">
      <c r="C5" s="888"/>
      <c r="D5" s="888"/>
      <c r="E5" s="888"/>
      <c r="F5" s="888"/>
      <c r="G5" s="888"/>
      <c r="H5" s="888"/>
    </row>
    <row r="6" spans="1:11" ht="12.75" customHeight="1">
      <c r="B6" s="889" t="s">
        <v>2451</v>
      </c>
      <c r="C6" s="2267" t="s">
        <v>3259</v>
      </c>
      <c r="D6" s="2267"/>
      <c r="E6" s="2267"/>
      <c r="F6" s="2267"/>
      <c r="G6" s="2267"/>
      <c r="H6" s="2267"/>
    </row>
    <row r="7" spans="1:11" ht="12.75" customHeight="1">
      <c r="B7" s="889" t="s">
        <v>2452</v>
      </c>
      <c r="C7" s="2267" t="s">
        <v>3260</v>
      </c>
      <c r="D7" s="2267"/>
      <c r="E7" s="2267"/>
      <c r="F7" s="2267"/>
      <c r="G7" s="2267"/>
      <c r="H7" s="2267"/>
    </row>
    <row r="8" spans="1:11" ht="3" customHeight="1"/>
    <row r="9" spans="1:11">
      <c r="A9" s="809" t="s">
        <v>3261</v>
      </c>
    </row>
    <row r="10" spans="1:11" ht="1.5" customHeight="1"/>
    <row r="11" spans="1:11" ht="26.25" customHeight="1">
      <c r="A11" s="890" t="s">
        <v>1999</v>
      </c>
      <c r="B11" s="2286" t="s">
        <v>3355</v>
      </c>
      <c r="C11" s="2286"/>
      <c r="D11" s="2286"/>
      <c r="E11" s="2286"/>
      <c r="F11" s="2286"/>
      <c r="G11" s="2287">
        <f>'Part III-Sources of Funds'!I49+'Part III-Sources of Funds'!I50</f>
        <v>10560000</v>
      </c>
      <c r="H11" s="2287"/>
    </row>
    <row r="12" spans="1:11" ht="1.5" customHeight="1">
      <c r="G12" s="858"/>
      <c r="H12" s="858"/>
    </row>
    <row r="13" spans="1:11" ht="26.25" customHeight="1">
      <c r="A13" s="890" t="s">
        <v>2001</v>
      </c>
      <c r="B13" s="2286" t="s">
        <v>3356</v>
      </c>
      <c r="C13" s="2286"/>
      <c r="D13" s="2286"/>
      <c r="E13" s="2286"/>
      <c r="F13" s="2286"/>
      <c r="G13" s="2288" t="s">
        <v>3187</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3262</v>
      </c>
    </row>
    <row r="22" spans="1:8" ht="3" customHeight="1"/>
    <row r="23" spans="1:8" ht="26.25" customHeight="1">
      <c r="A23" s="2284" t="s">
        <v>3359</v>
      </c>
      <c r="B23" s="2284"/>
      <c r="C23" s="2284"/>
      <c r="D23" s="2284"/>
      <c r="E23" s="2284"/>
      <c r="F23" s="2284"/>
      <c r="G23" s="2284"/>
      <c r="H23" s="2284"/>
    </row>
    <row r="24" spans="1:8" ht="26.25" customHeight="1">
      <c r="A24" s="2285" t="s">
        <v>3263</v>
      </c>
      <c r="B24" s="2285"/>
      <c r="C24" s="2285"/>
      <c r="D24" s="2285"/>
      <c r="E24" s="2285"/>
      <c r="F24" s="2285"/>
      <c r="G24" s="2285"/>
      <c r="H24" s="2285"/>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67" t="s">
        <v>3265</v>
      </c>
      <c r="G28" s="2267"/>
      <c r="H28" s="2267"/>
    </row>
    <row r="29" spans="1:8" ht="12.75" customHeight="1">
      <c r="C29" s="895" t="s">
        <v>1365</v>
      </c>
      <c r="D29" s="893" t="s">
        <v>2004</v>
      </c>
      <c r="E29" s="2267" t="s">
        <v>3366</v>
      </c>
      <c r="F29" s="2267"/>
      <c r="G29" s="2267"/>
      <c r="H29" s="2267"/>
    </row>
    <row r="30" spans="1:8" ht="12.75" customHeight="1">
      <c r="E30" s="2267" t="s">
        <v>3546</v>
      </c>
      <c r="F30" s="2267"/>
      <c r="G30" s="2267"/>
      <c r="H30" s="2267"/>
    </row>
    <row r="31" spans="1:8" ht="12.75" customHeight="1">
      <c r="D31" s="896" t="s">
        <v>3365</v>
      </c>
      <c r="E31" s="2267" t="s">
        <v>3547</v>
      </c>
      <c r="F31" s="2267"/>
      <c r="G31" s="2267"/>
      <c r="H31" s="2267"/>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67" t="s">
        <v>3265</v>
      </c>
      <c r="G35" s="2267"/>
      <c r="H35" s="2267"/>
    </row>
    <row r="36" spans="1:11" ht="12.75" customHeight="1">
      <c r="C36" s="895" t="s">
        <v>1365</v>
      </c>
      <c r="D36" s="893" t="s">
        <v>2004</v>
      </c>
      <c r="E36" s="2267" t="s">
        <v>3367</v>
      </c>
      <c r="F36" s="2267"/>
      <c r="G36" s="2267"/>
      <c r="H36" s="2267"/>
    </row>
    <row r="37" spans="1:11" ht="12.75" customHeight="1">
      <c r="E37" s="2267" t="s">
        <v>3546</v>
      </c>
      <c r="F37" s="2267"/>
      <c r="G37" s="2267"/>
      <c r="H37" s="2267"/>
    </row>
    <row r="38" spans="1:11" ht="12.75" customHeight="1">
      <c r="D38" s="896" t="s">
        <v>3365</v>
      </c>
      <c r="E38" s="2267" t="s">
        <v>3547</v>
      </c>
      <c r="F38" s="2267"/>
      <c r="G38" s="2267"/>
      <c r="H38" s="2267"/>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67" t="s">
        <v>3265</v>
      </c>
      <c r="G42" s="2267"/>
      <c r="H42" s="2267"/>
      <c r="K42" s="809" t="s">
        <v>245</v>
      </c>
    </row>
    <row r="43" spans="1:11" ht="12.75" customHeight="1">
      <c r="C43" s="895" t="s">
        <v>1365</v>
      </c>
      <c r="D43" s="893" t="s">
        <v>2004</v>
      </c>
      <c r="E43" s="2267" t="s">
        <v>3367</v>
      </c>
      <c r="F43" s="2267"/>
      <c r="G43" s="2267"/>
      <c r="H43" s="2267"/>
    </row>
    <row r="44" spans="1:11" ht="12.75" customHeight="1">
      <c r="E44" s="2267" t="s">
        <v>3546</v>
      </c>
      <c r="F44" s="2267"/>
      <c r="G44" s="2267"/>
      <c r="H44" s="2267"/>
    </row>
    <row r="45" spans="1:11" ht="12.75" customHeight="1">
      <c r="D45" s="896" t="s">
        <v>3365</v>
      </c>
      <c r="E45" s="2267" t="s">
        <v>3547</v>
      </c>
      <c r="F45" s="2267"/>
      <c r="G45" s="2267"/>
      <c r="H45" s="2267"/>
    </row>
    <row r="46" spans="1:11" ht="9" customHeight="1"/>
    <row r="47" spans="1:11" ht="7.5" customHeight="1">
      <c r="E47" s="2267"/>
      <c r="F47" s="2267"/>
      <c r="G47" s="2267"/>
      <c r="H47" s="2267"/>
    </row>
    <row r="48" spans="1:11" ht="24.75" customHeight="1">
      <c r="A48" s="2283" t="s">
        <v>4292</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67" t="s">
        <v>3265</v>
      </c>
      <c r="G54" s="2267"/>
      <c r="H54" s="2267"/>
    </row>
    <row r="55" spans="1:11" ht="12.75" customHeight="1">
      <c r="C55" s="895" t="s">
        <v>1365</v>
      </c>
      <c r="D55" s="893" t="s">
        <v>2004</v>
      </c>
      <c r="E55" s="2267" t="s">
        <v>3555</v>
      </c>
      <c r="F55" s="2267"/>
      <c r="G55" s="2267"/>
      <c r="H55" s="2267"/>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67" t="s">
        <v>3265</v>
      </c>
      <c r="G59" s="2267"/>
      <c r="H59" s="2267"/>
    </row>
    <row r="60" spans="1:11" ht="12.75" customHeight="1">
      <c r="C60" s="895" t="s">
        <v>1365</v>
      </c>
      <c r="D60" s="893" t="s">
        <v>2004</v>
      </c>
      <c r="E60" s="2267" t="s">
        <v>3555</v>
      </c>
      <c r="F60" s="2267"/>
      <c r="G60" s="2267"/>
      <c r="H60" s="2267"/>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67" t="s">
        <v>3265</v>
      </c>
      <c r="G64" s="2267"/>
      <c r="H64" s="2267"/>
      <c r="K64" s="809" t="s">
        <v>245</v>
      </c>
    </row>
    <row r="65" spans="3:8" ht="12.75" customHeight="1">
      <c r="C65" s="895" t="s">
        <v>1365</v>
      </c>
      <c r="D65" s="893" t="s">
        <v>2004</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4335</v>
      </c>
      <c r="C1" s="2304"/>
      <c r="D1" s="2304"/>
      <c r="E1" s="2304"/>
      <c r="F1" s="2304"/>
      <c r="G1" s="2304"/>
      <c r="H1" s="2304"/>
      <c r="I1" s="2304"/>
    </row>
    <row r="2" spans="2:13" ht="15">
      <c r="B2" s="1491" t="s">
        <v>4323</v>
      </c>
      <c r="C2" s="857"/>
      <c r="D2" s="857"/>
      <c r="E2" s="857"/>
      <c r="F2" s="857"/>
      <c r="G2" s="857"/>
      <c r="H2" s="857"/>
      <c r="I2" s="857"/>
    </row>
    <row r="3" spans="2:13" ht="14.25">
      <c r="B3" s="1492" t="s">
        <v>4330</v>
      </c>
      <c r="C3" s="857"/>
      <c r="D3" s="857"/>
      <c r="E3" s="857"/>
      <c r="F3" s="857"/>
      <c r="G3" s="857"/>
      <c r="H3" s="857"/>
      <c r="I3" s="857"/>
    </row>
    <row r="4" spans="2:13">
      <c r="B4" s="2305" t="s">
        <v>3266</v>
      </c>
      <c r="C4" s="2305"/>
      <c r="D4" s="2305"/>
      <c r="E4" s="2311" t="s">
        <v>3267</v>
      </c>
      <c r="F4" s="2313"/>
      <c r="G4" s="2311" t="s">
        <v>623</v>
      </c>
      <c r="H4" s="2312"/>
      <c r="I4" s="2313"/>
      <c r="J4" s="1485" t="s">
        <v>3111</v>
      </c>
      <c r="K4" s="1485"/>
      <c r="L4" s="1493"/>
      <c r="M4" s="1493"/>
    </row>
    <row r="5" spans="2:13">
      <c r="B5" s="2306" t="str">
        <f>'Closing term sheet'!C8</f>
        <v>BJS Lovejoy Place, LP</v>
      </c>
      <c r="C5" s="2307"/>
      <c r="D5" s="2307"/>
      <c r="E5" s="2317"/>
      <c r="F5" s="2318"/>
      <c r="G5" s="2314" t="str">
        <f>'Closing term sheet'!C28</f>
        <v>Myrtle Terraces Phase 2</v>
      </c>
      <c r="H5" s="2315"/>
      <c r="I5" s="2316"/>
      <c r="K5" s="809"/>
    </row>
    <row r="6" spans="2:13" ht="4.5" customHeight="1">
      <c r="D6" s="1494"/>
      <c r="E6" s="1494"/>
      <c r="F6" s="1494"/>
      <c r="G6" s="1494"/>
      <c r="H6" s="1494"/>
      <c r="I6" s="1494"/>
      <c r="K6" s="809"/>
    </row>
    <row r="7" spans="2:13">
      <c r="B7" s="2308" t="s">
        <v>3268</v>
      </c>
      <c r="C7" s="2308"/>
      <c r="D7" s="1495"/>
      <c r="E7" s="1495"/>
      <c r="F7" s="1495"/>
      <c r="G7" s="1495"/>
      <c r="H7" s="2309">
        <f>'Preview term'!E9</f>
        <v>0</v>
      </c>
      <c r="I7" s="2310"/>
    </row>
    <row r="8" spans="2:13" ht="4.5" customHeight="1">
      <c r="B8" s="1495"/>
      <c r="C8" s="1495"/>
      <c r="D8" s="1495"/>
      <c r="E8" s="1495"/>
      <c r="F8" s="1495"/>
      <c r="G8" s="1495"/>
      <c r="H8" s="1495"/>
      <c r="I8" s="1495"/>
      <c r="J8" s="1495"/>
    </row>
    <row r="9" spans="2:13">
      <c r="B9" s="1496" t="s">
        <v>3269</v>
      </c>
      <c r="C9" s="1496"/>
      <c r="D9" s="1495"/>
      <c r="E9" s="866" t="s">
        <v>4325</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4322</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4326</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4327</v>
      </c>
      <c r="C19" s="1495"/>
      <c r="D19" s="1495"/>
      <c r="E19" s="1495"/>
      <c r="F19" s="1495"/>
      <c r="G19" s="1495"/>
      <c r="H19" s="1495"/>
      <c r="I19" s="1512"/>
    </row>
    <row r="20" spans="2:9" ht="7.5" customHeight="1">
      <c r="B20" s="1506"/>
      <c r="C20" s="1495"/>
      <c r="D20" s="1495"/>
      <c r="E20" s="1495"/>
      <c r="F20" s="1495"/>
      <c r="G20" s="1495"/>
      <c r="H20" s="1495"/>
      <c r="I20" s="1512"/>
    </row>
    <row r="21" spans="2:9">
      <c r="B21" s="1506" t="s">
        <v>4324</v>
      </c>
      <c r="C21" s="1495"/>
      <c r="D21" s="1495"/>
      <c r="E21" s="1495"/>
      <c r="F21" s="1495"/>
      <c r="G21" s="1495"/>
      <c r="H21" s="1495"/>
      <c r="I21" s="1507"/>
    </row>
    <row r="22" spans="2:9">
      <c r="B22" s="1511" t="s">
        <v>4328</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4329</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4331</v>
      </c>
    </row>
    <row r="34" spans="2:9" ht="3" customHeight="1">
      <c r="B34" s="1516"/>
      <c r="C34" s="1501"/>
      <c r="D34" s="1501"/>
      <c r="E34" s="1501"/>
      <c r="F34" s="1501"/>
      <c r="G34" s="1501"/>
      <c r="H34" s="1501"/>
      <c r="I34" s="1517"/>
    </row>
    <row r="35" spans="2:9">
      <c r="B35" s="1506" t="s">
        <v>4334</v>
      </c>
      <c r="C35" s="1495"/>
      <c r="D35" s="1495"/>
      <c r="F35" s="1521"/>
      <c r="H35" s="2289" t="s">
        <v>4343</v>
      </c>
      <c r="I35" s="2290"/>
    </row>
    <row r="36" spans="2:9">
      <c r="B36" s="1522" t="s">
        <v>4342</v>
      </c>
      <c r="C36" s="1520"/>
      <c r="D36" s="1520"/>
      <c r="E36" s="1495"/>
      <c r="F36" s="1523"/>
      <c r="G36" s="1524"/>
      <c r="H36" s="2289"/>
      <c r="I36" s="2290"/>
    </row>
    <row r="37" spans="2:9">
      <c r="B37" s="1522" t="s">
        <v>4340</v>
      </c>
      <c r="D37" s="1520"/>
      <c r="E37" s="1495"/>
      <c r="F37" s="1525"/>
      <c r="G37" s="1524"/>
      <c r="H37" s="2289"/>
      <c r="I37" s="2290"/>
    </row>
    <row r="38" spans="2:9">
      <c r="B38" s="1522" t="s">
        <v>4341</v>
      </c>
      <c r="D38" s="1495"/>
      <c r="E38" s="1495"/>
      <c r="F38" s="1525"/>
      <c r="G38" s="1524"/>
      <c r="H38" s="1524"/>
      <c r="I38" s="1526"/>
    </row>
    <row r="39" spans="2:9" ht="12.75" customHeight="1">
      <c r="B39" s="1522" t="s">
        <v>4339</v>
      </c>
      <c r="C39" s="1495"/>
      <c r="D39" s="1495"/>
      <c r="E39" s="1495"/>
      <c r="F39" s="1525"/>
      <c r="G39" s="1524"/>
      <c r="H39" s="1524"/>
      <c r="I39" s="1526"/>
    </row>
    <row r="40" spans="2:9">
      <c r="B40" s="1527" t="s">
        <v>4338</v>
      </c>
      <c r="C40" s="1528"/>
      <c r="D40" s="1529"/>
      <c r="E40" s="1530"/>
      <c r="F40" s="1525"/>
      <c r="G40" s="1530"/>
      <c r="H40" s="1507"/>
      <c r="I40" s="1505"/>
    </row>
    <row r="41" spans="2:9">
      <c r="B41" s="1527" t="s">
        <v>4337</v>
      </c>
      <c r="C41" s="1528"/>
      <c r="D41" s="1529"/>
      <c r="E41" s="1495"/>
      <c r="F41" s="1525"/>
      <c r="G41" s="1495"/>
      <c r="H41" s="1495"/>
      <c r="I41" s="1505"/>
    </row>
    <row r="42" spans="2:9">
      <c r="B42" s="1531" t="s">
        <v>4336</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4333</v>
      </c>
    </row>
    <row r="46" spans="2:9" ht="3" customHeight="1">
      <c r="B46" s="1516"/>
      <c r="C46" s="1501"/>
      <c r="D46" s="1501"/>
      <c r="E46" s="1501"/>
      <c r="F46" s="1501"/>
      <c r="G46" s="1501"/>
      <c r="H46" s="1501"/>
      <c r="I46" s="1517"/>
    </row>
    <row r="47" spans="2:9" ht="18">
      <c r="B47" s="1506" t="s">
        <v>4332</v>
      </c>
      <c r="C47" s="1495"/>
      <c r="D47" s="1533"/>
      <c r="E47" s="1534" t="str">
        <f>Overview!H7</f>
        <v>New Construction</v>
      </c>
      <c r="F47" s="833" t="s">
        <v>4344</v>
      </c>
      <c r="H47" s="1495"/>
      <c r="I47" s="1505"/>
    </row>
    <row r="48" spans="2:9">
      <c r="B48" s="1511" t="s">
        <v>3281</v>
      </c>
      <c r="C48" s="1520"/>
      <c r="D48" s="1520" t="s">
        <v>3282</v>
      </c>
      <c r="E48" s="1495"/>
      <c r="F48" s="2298" t="str">
        <f>'Closing term sheet'!$C$30</f>
        <v>1326 Myrtle Street</v>
      </c>
      <c r="G48" s="2299"/>
      <c r="H48" s="2299"/>
      <c r="I48" s="2300"/>
    </row>
    <row r="49" spans="2:9">
      <c r="B49" s="1511" t="s">
        <v>3283</v>
      </c>
      <c r="D49" s="1520" t="s">
        <v>3284</v>
      </c>
      <c r="E49" s="1495"/>
      <c r="F49" s="2301"/>
      <c r="G49" s="2302"/>
      <c r="H49" s="2302"/>
      <c r="I49" s="2303"/>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4345</v>
      </c>
      <c r="C52" s="2321" t="str">
        <f>'Part I-Project Information'!F38</f>
        <v>Gainesville</v>
      </c>
      <c r="D52" s="2322"/>
      <c r="E52" s="1539" t="s">
        <v>4346</v>
      </c>
      <c r="F52" s="1497" t="s">
        <v>856</v>
      </c>
      <c r="G52" s="1539" t="s">
        <v>4347</v>
      </c>
      <c r="H52" s="1540">
        <f>'Part I-Project Information'!J38</f>
        <v>305014912</v>
      </c>
      <c r="I52" s="1505"/>
    </row>
    <row r="53" spans="2:9">
      <c r="B53" s="1538" t="s">
        <v>4509</v>
      </c>
      <c r="D53" s="1541" t="e">
        <f>VLOOKUP("='Part I-Project Information'!$J$39",'DCA Underwriting Assumptions'!$G$155:$O$314,9)</f>
        <v>#N/A</v>
      </c>
      <c r="I53" s="1505"/>
    </row>
    <row r="54" spans="2:9">
      <c r="B54" s="1538" t="s">
        <v>4510</v>
      </c>
      <c r="D54" s="1495"/>
      <c r="E54" s="1495"/>
      <c r="F54" s="1495"/>
      <c r="G54" s="1495"/>
      <c r="I54" s="1505"/>
    </row>
    <row r="55" spans="2:9">
      <c r="B55" s="1531" t="s">
        <v>4511</v>
      </c>
      <c r="D55" s="1542">
        <f>'Closing term sheet'!$D$33</f>
        <v>64</v>
      </c>
      <c r="E55" s="1543"/>
      <c r="F55" s="866" t="s">
        <v>3286</v>
      </c>
      <c r="G55" s="1495"/>
      <c r="H55" s="1495"/>
      <c r="I55" s="1505"/>
    </row>
    <row r="56" spans="2:9">
      <c r="B56" s="1531" t="s">
        <v>4513</v>
      </c>
      <c r="D56" s="1544">
        <f>'Closing term sheet'!$D$62</f>
        <v>8391776</v>
      </c>
      <c r="E56" s="1545"/>
      <c r="F56" s="866" t="s">
        <v>3287</v>
      </c>
      <c r="G56" s="1495"/>
      <c r="H56" s="1495"/>
      <c r="I56" s="1505"/>
    </row>
    <row r="57" spans="2:9">
      <c r="B57" s="1522" t="s">
        <v>4512</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3289</v>
      </c>
      <c r="C61" s="2327"/>
      <c r="D61" s="2327"/>
      <c r="E61" s="2327"/>
      <c r="F61" s="2327"/>
      <c r="G61" s="2327"/>
      <c r="H61" s="2327"/>
      <c r="I61" s="2328"/>
    </row>
    <row r="62" spans="2:9" ht="7.5" customHeight="1">
      <c r="B62" s="2323"/>
      <c r="C62" s="2324"/>
      <c r="D62" s="2324"/>
      <c r="E62" s="1495"/>
      <c r="F62" s="1495"/>
      <c r="G62" s="1547"/>
      <c r="H62" s="1495"/>
      <c r="I62" s="1505"/>
    </row>
    <row r="63" spans="2:9">
      <c r="B63" s="1548" t="s">
        <v>3291</v>
      </c>
      <c r="C63" s="1495"/>
      <c r="D63" s="1542">
        <v>4</v>
      </c>
      <c r="F63" s="1495"/>
      <c r="G63" s="2308" t="s">
        <v>3290</v>
      </c>
      <c r="H63" s="2308"/>
      <c r="I63" s="2325"/>
    </row>
    <row r="64" spans="2:9">
      <c r="B64" s="1503"/>
      <c r="C64" s="1520" t="s">
        <v>3294</v>
      </c>
      <c r="D64" s="1520" t="s">
        <v>3295</v>
      </c>
      <c r="F64" s="1495"/>
      <c r="G64" s="878" t="s">
        <v>3292</v>
      </c>
      <c r="H64" s="1495"/>
      <c r="I64" s="1549">
        <f>'Closing term sheet'!$D$35</f>
        <v>76</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3302</v>
      </c>
      <c r="C81" s="2327"/>
      <c r="D81" s="2327"/>
      <c r="E81" s="2327"/>
      <c r="F81" s="2327"/>
      <c r="G81" s="2327"/>
      <c r="H81" s="2327"/>
      <c r="I81" s="2328"/>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4">
        <f>'Closing term sheet'!D62</f>
        <v>8391776</v>
      </c>
      <c r="G84" s="2294"/>
      <c r="H84" s="1495"/>
      <c r="I84" s="1505"/>
    </row>
    <row r="85" spans="2:9">
      <c r="B85" s="1503"/>
      <c r="C85" s="886" t="s">
        <v>3305</v>
      </c>
      <c r="D85" s="1495"/>
      <c r="E85" s="1495"/>
      <c r="F85" s="2320">
        <f>'Part III-Sources of Funds'!I44+'Part III-Sources of Funds'!I45</f>
        <v>81444.207773567614</v>
      </c>
      <c r="G85" s="2320"/>
      <c r="H85" s="1495"/>
      <c r="I85" s="1505"/>
    </row>
    <row r="86" spans="2:9">
      <c r="B86" s="1503"/>
      <c r="C86" s="886" t="s">
        <v>3306</v>
      </c>
      <c r="D86" s="1495"/>
      <c r="E86" s="1495"/>
      <c r="F86" s="2319"/>
      <c r="G86" s="2319"/>
      <c r="H86" s="1495"/>
      <c r="I86" s="1505"/>
    </row>
    <row r="87" spans="2:9">
      <c r="B87" s="1503"/>
      <c r="C87" s="1520" t="s">
        <v>3307</v>
      </c>
      <c r="D87" s="1495"/>
      <c r="E87" s="1495"/>
      <c r="F87" s="2320">
        <v>11000</v>
      </c>
      <c r="G87" s="2320"/>
      <c r="H87" s="1495"/>
      <c r="I87" s="1505"/>
    </row>
    <row r="88" spans="2:9">
      <c r="B88" s="1503"/>
      <c r="C88" s="886" t="s">
        <v>3308</v>
      </c>
      <c r="D88" s="1495"/>
      <c r="E88" s="1495"/>
      <c r="F88" s="2297"/>
      <c r="G88" s="2297"/>
      <c r="H88" s="1495"/>
      <c r="I88" s="1505"/>
    </row>
    <row r="89" spans="2:9">
      <c r="B89" s="1503"/>
      <c r="C89" s="866" t="s">
        <v>3309</v>
      </c>
      <c r="D89" s="1495"/>
      <c r="E89" s="1495"/>
      <c r="F89" s="2292">
        <f>SUM(F84:G88)</f>
        <v>8484220.2077735681</v>
      </c>
      <c r="G89" s="2292"/>
      <c r="H89" s="1495"/>
      <c r="I89" s="1505"/>
    </row>
    <row r="90" spans="2:9">
      <c r="B90" s="1503"/>
      <c r="C90" s="1495"/>
      <c r="D90" s="1495"/>
      <c r="E90" s="1495"/>
      <c r="F90" s="2293"/>
      <c r="G90" s="2293"/>
      <c r="H90" s="1495"/>
      <c r="I90" s="1505"/>
    </row>
    <row r="91" spans="2:9">
      <c r="B91" s="1506" t="s">
        <v>3310</v>
      </c>
      <c r="C91" s="1495"/>
      <c r="D91" s="1495"/>
      <c r="E91" s="1495"/>
      <c r="F91" s="1495"/>
      <c r="G91" s="1495"/>
      <c r="H91" s="1495"/>
      <c r="I91" s="1505"/>
    </row>
    <row r="92" spans="2:9">
      <c r="B92" s="1503"/>
      <c r="C92" s="886" t="s">
        <v>3311</v>
      </c>
      <c r="D92" s="1495"/>
      <c r="E92" s="1495"/>
      <c r="F92" s="2294"/>
      <c r="G92" s="2294"/>
      <c r="H92" s="1495"/>
      <c r="I92" s="1505"/>
    </row>
    <row r="93" spans="2:9">
      <c r="B93" s="1503"/>
      <c r="C93" s="886" t="s">
        <v>3312</v>
      </c>
      <c r="D93" s="1495"/>
      <c r="E93" s="1495"/>
      <c r="F93" s="2295"/>
      <c r="G93" s="2295"/>
      <c r="H93" s="1495"/>
      <c r="I93" s="1505"/>
    </row>
    <row r="94" spans="2:9">
      <c r="B94" s="1503"/>
      <c r="C94" s="886" t="s">
        <v>3313</v>
      </c>
      <c r="D94" s="1495"/>
      <c r="E94" s="1495"/>
      <c r="F94" s="2296" t="s">
        <v>3187</v>
      </c>
      <c r="G94" s="2291"/>
      <c r="H94" s="1495"/>
      <c r="I94" s="1505"/>
    </row>
    <row r="95" spans="2:9">
      <c r="B95" s="1503"/>
      <c r="C95" s="866" t="s">
        <v>3314</v>
      </c>
      <c r="D95" s="1495"/>
      <c r="E95" s="1495"/>
      <c r="F95" s="2292">
        <f>+SUM(F92:G94)</f>
        <v>0</v>
      </c>
      <c r="G95" s="2292"/>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4"/>
      <c r="G98" s="2294"/>
      <c r="H98" s="1495"/>
      <c r="I98" s="1505"/>
    </row>
    <row r="99" spans="2:9">
      <c r="B99" s="1503"/>
      <c r="C99" s="886" t="s">
        <v>3317</v>
      </c>
      <c r="D99" s="1495"/>
      <c r="E99" s="1495"/>
      <c r="F99" s="2295"/>
      <c r="G99" s="2295"/>
      <c r="H99" s="1495"/>
      <c r="I99" s="1505"/>
    </row>
    <row r="100" spans="2:9">
      <c r="B100" s="1503"/>
      <c r="C100" s="886" t="s">
        <v>3318</v>
      </c>
      <c r="D100" s="1495"/>
      <c r="E100" s="1495"/>
      <c r="F100" s="2297"/>
      <c r="G100" s="2297"/>
      <c r="H100" s="1495"/>
      <c r="I100" s="1505"/>
    </row>
    <row r="101" spans="2:9">
      <c r="B101" s="1503"/>
      <c r="C101" s="866" t="s">
        <v>3319</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3320</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3321</v>
      </c>
    </row>
    <row r="105" spans="2:9">
      <c r="B105" s="1506" t="s">
        <v>3322</v>
      </c>
      <c r="C105" s="1495"/>
      <c r="D105" s="1495"/>
      <c r="E105" s="1495"/>
      <c r="F105" s="2291">
        <f>+F103+F101+F95+F89</f>
        <v>8484220.2077735681</v>
      </c>
      <c r="G105" s="2291"/>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4126</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3701</v>
      </c>
      <c r="C13" s="2912"/>
      <c r="D13" s="2912"/>
      <c r="E13" s="2912"/>
      <c r="F13" s="2912"/>
      <c r="G13" s="2912"/>
      <c r="H13" s="2912"/>
      <c r="I13" s="2912"/>
      <c r="J13" s="2912"/>
      <c r="K13" s="2912"/>
      <c r="L13" s="2912"/>
      <c r="M13" s="2912"/>
    </row>
    <row r="14" spans="1:26" ht="47.25" customHeight="1">
      <c r="A14" s="2911" t="s">
        <v>1751</v>
      </c>
      <c r="B14" s="2912" t="s">
        <v>3702</v>
      </c>
      <c r="C14" s="2912"/>
      <c r="D14" s="2912"/>
      <c r="E14" s="2912"/>
      <c r="F14" s="2912"/>
      <c r="G14" s="2912"/>
      <c r="H14" s="2912"/>
      <c r="I14" s="2912"/>
      <c r="J14" s="2912"/>
      <c r="K14" s="2912"/>
      <c r="L14" s="2912"/>
      <c r="M14" s="2912"/>
    </row>
    <row r="15" spans="1:26" ht="117" customHeight="1">
      <c r="A15" s="2911" t="s">
        <v>1752</v>
      </c>
      <c r="B15" s="2912" t="s">
        <v>3703</v>
      </c>
      <c r="C15" s="2912"/>
      <c r="D15" s="2912"/>
      <c r="E15" s="2912"/>
      <c r="F15" s="2912"/>
      <c r="G15" s="2912"/>
      <c r="H15" s="2912"/>
      <c r="I15" s="2912"/>
      <c r="J15" s="2912"/>
      <c r="K15" s="2912"/>
      <c r="L15" s="2912"/>
      <c r="M15" s="2912"/>
    </row>
    <row r="16" spans="1:26" ht="147" customHeight="1">
      <c r="A16" s="2911" t="s">
        <v>2381</v>
      </c>
      <c r="B16" s="2912" t="s">
        <v>3479</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3478</v>
      </c>
      <c r="C18" s="2912"/>
      <c r="D18" s="2912"/>
      <c r="E18" s="2912"/>
      <c r="F18" s="2912"/>
      <c r="G18" s="2912"/>
      <c r="H18" s="2912"/>
      <c r="I18" s="2912"/>
      <c r="J18" s="2912"/>
      <c r="K18" s="2912"/>
      <c r="L18" s="2912"/>
      <c r="M18" s="2912"/>
    </row>
    <row r="19" spans="1:13" ht="48.75" customHeight="1">
      <c r="A19" s="2911" t="s">
        <v>99</v>
      </c>
      <c r="B19" s="2913" t="s">
        <v>3704</v>
      </c>
      <c r="C19" s="2913"/>
      <c r="D19" s="2913"/>
      <c r="E19" s="2913"/>
      <c r="F19" s="2913"/>
      <c r="G19" s="2913"/>
      <c r="H19" s="2913"/>
      <c r="I19" s="2913"/>
      <c r="J19" s="2913"/>
      <c r="K19" s="2913"/>
      <c r="L19" s="2913"/>
      <c r="M19" s="2913"/>
    </row>
    <row r="20" spans="1:13" ht="50.25" customHeight="1">
      <c r="A20" s="2911" t="s">
        <v>516</v>
      </c>
      <c r="B20" s="2912" t="s">
        <v>3481</v>
      </c>
      <c r="C20" s="2912"/>
      <c r="D20" s="2912"/>
      <c r="E20" s="2912"/>
      <c r="F20" s="2912"/>
      <c r="G20" s="2912"/>
      <c r="H20" s="2912"/>
      <c r="I20" s="2912"/>
      <c r="J20" s="2912"/>
      <c r="K20" s="2912"/>
      <c r="L20" s="2912"/>
      <c r="M20" s="2912"/>
    </row>
    <row r="21" spans="1:13" ht="31.5" customHeight="1">
      <c r="A21" s="2911" t="s">
        <v>517</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3510</v>
      </c>
      <c r="C25" s="2912"/>
      <c r="D25" s="2912"/>
      <c r="E25" s="2912"/>
      <c r="F25" s="2912"/>
      <c r="G25" s="2912"/>
      <c r="H25" s="2912"/>
      <c r="I25" s="2912"/>
      <c r="J25" s="2912"/>
      <c r="K25" s="2912"/>
      <c r="L25" s="2912"/>
      <c r="M25" s="2912"/>
    </row>
    <row r="26" spans="1:13" ht="31.5" customHeight="1">
      <c r="A26" s="2911" t="s">
        <v>1478</v>
      </c>
      <c r="B26" s="2912" t="s">
        <v>3511</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0TNpfq+iuNzh/1tEfyfn1gj5XOJez1AZXFNAZzpnb1NqDnQzuqVi0J/qij0OucCLYzLUCPtkgHcAOighga2UEg==" saltValue="yWlNi8R8gZToX+1s9Upra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3380</v>
      </c>
      <c r="G14" s="2342"/>
      <c r="H14" s="2342"/>
      <c r="I14" s="2342"/>
      <c r="J14" s="2343"/>
      <c r="K14" s="290"/>
      <c r="L14" s="597" t="s">
        <v>3603</v>
      </c>
      <c r="M14" s="290"/>
      <c r="N14" s="2341" t="s">
        <v>3380</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3377</v>
      </c>
      <c r="L15" s="598" t="s">
        <v>2630</v>
      </c>
      <c r="M15" s="598" t="s">
        <v>1308</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6">
        <f t="shared" ref="N32:R35" si="1">ROUNDDOWN(F32*1.1,0)</f>
        <v>149568</v>
      </c>
      <c r="O32" s="2896">
        <f t="shared" si="1"/>
        <v>195855</v>
      </c>
      <c r="P32" s="2896">
        <f t="shared" si="1"/>
        <v>237749</v>
      </c>
      <c r="Q32" s="2896">
        <f t="shared" si="1"/>
        <v>290785</v>
      </c>
      <c r="R32" s="2896">
        <f t="shared" si="1"/>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6">
        <f t="shared" si="1"/>
        <v>122202</v>
      </c>
      <c r="O33" s="2896">
        <f t="shared" si="1"/>
        <v>171083</v>
      </c>
      <c r="P33" s="2896">
        <f t="shared" si="1"/>
        <v>219963</v>
      </c>
      <c r="Q33" s="2896">
        <f t="shared" si="1"/>
        <v>293285</v>
      </c>
      <c r="R33" s="2896">
        <f t="shared" si="1"/>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6">
        <f t="shared" si="1"/>
        <v>136976</v>
      </c>
      <c r="O34" s="2896">
        <f t="shared" si="1"/>
        <v>179496</v>
      </c>
      <c r="P34" s="2896">
        <f t="shared" si="1"/>
        <v>218328</v>
      </c>
      <c r="Q34" s="2896">
        <f t="shared" si="1"/>
        <v>268142</v>
      </c>
      <c r="R34" s="2896">
        <f t="shared" si="1"/>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6">
        <f t="shared" si="1"/>
        <v>118415</v>
      </c>
      <c r="O35" s="2896">
        <f t="shared" si="1"/>
        <v>163563</v>
      </c>
      <c r="P35" s="2896">
        <f t="shared" si="1"/>
        <v>207445</v>
      </c>
      <c r="Q35" s="2896">
        <f t="shared" si="1"/>
        <v>270889</v>
      </c>
      <c r="R35" s="2896">
        <f t="shared" si="1"/>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2">ROUNDDOWN(F36*1.1,0)</f>
        <v>143882</v>
      </c>
      <c r="O36" s="2896">
        <f t="shared" si="2"/>
        <v>187852</v>
      </c>
      <c r="P36" s="2896">
        <f t="shared" si="2"/>
        <v>227522</v>
      </c>
      <c r="Q36" s="2896">
        <f t="shared" si="2"/>
        <v>277347</v>
      </c>
      <c r="R36" s="2896">
        <f t="shared" si="2"/>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2"/>
        <v>116912</v>
      </c>
      <c r="O37" s="2896">
        <f t="shared" si="2"/>
        <v>163676</v>
      </c>
      <c r="P37" s="2896">
        <f t="shared" si="2"/>
        <v>210442</v>
      </c>
      <c r="Q37" s="2896">
        <f t="shared" si="2"/>
        <v>280589</v>
      </c>
      <c r="R37" s="2896">
        <f t="shared" si="2"/>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2"/>
        <v>132779</v>
      </c>
      <c r="O38" s="2896">
        <f t="shared" si="2"/>
        <v>173429</v>
      </c>
      <c r="P38" s="2896">
        <f t="shared" si="2"/>
        <v>210398</v>
      </c>
      <c r="Q38" s="2896">
        <f t="shared" si="2"/>
        <v>257383</v>
      </c>
      <c r="R38" s="2896">
        <f t="shared" si="2"/>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2"/>
        <v>115899</v>
      </c>
      <c r="O39" s="2896">
        <f t="shared" si="2"/>
        <v>160305</v>
      </c>
      <c r="P39" s="2896">
        <f t="shared" si="2"/>
        <v>203593</v>
      </c>
      <c r="Q39" s="2896">
        <f t="shared" si="2"/>
        <v>266427</v>
      </c>
      <c r="R39" s="2896">
        <f t="shared" si="2"/>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6">
        <f t="shared" si="2"/>
        <v>140580</v>
      </c>
      <c r="O40" s="2896">
        <f t="shared" si="2"/>
        <v>183904</v>
      </c>
      <c r="P40" s="2896">
        <f t="shared" si="2"/>
        <v>223077</v>
      </c>
      <c r="Q40" s="2896">
        <f t="shared" si="2"/>
        <v>272540</v>
      </c>
      <c r="R40" s="2896">
        <f t="shared" si="2"/>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6">
        <f t="shared" si="2"/>
        <v>114649</v>
      </c>
      <c r="O41" s="2896">
        <f t="shared" si="2"/>
        <v>160509</v>
      </c>
      <c r="P41" s="2896">
        <f t="shared" si="2"/>
        <v>206369</v>
      </c>
      <c r="Q41" s="2896">
        <f t="shared" si="2"/>
        <v>275159</v>
      </c>
      <c r="R41" s="2896">
        <f t="shared" si="2"/>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6">
        <f t="shared" si="2"/>
        <v>129070</v>
      </c>
      <c r="O42" s="2896">
        <f t="shared" si="2"/>
        <v>168953</v>
      </c>
      <c r="P42" s="2896">
        <f t="shared" si="2"/>
        <v>205327</v>
      </c>
      <c r="Q42" s="2896">
        <f t="shared" si="2"/>
        <v>251845</v>
      </c>
      <c r="R42" s="2896">
        <f t="shared" si="2"/>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6">
        <f t="shared" si="2"/>
        <v>111940</v>
      </c>
      <c r="O43" s="2896">
        <f t="shared" si="2"/>
        <v>154689</v>
      </c>
      <c r="P43" s="2896">
        <f t="shared" si="2"/>
        <v>196281</v>
      </c>
      <c r="Q43" s="2896">
        <f t="shared" si="2"/>
        <v>256494</v>
      </c>
      <c r="R43" s="2896">
        <f t="shared" si="2"/>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6">
        <f t="shared" si="2"/>
        <v>148681</v>
      </c>
      <c r="O44" s="2896">
        <f t="shared" si="2"/>
        <v>194286</v>
      </c>
      <c r="P44" s="2896">
        <f t="shared" si="2"/>
        <v>235471</v>
      </c>
      <c r="Q44" s="2896">
        <f t="shared" si="2"/>
        <v>287320</v>
      </c>
      <c r="R44" s="2896">
        <f t="shared" si="2"/>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6">
        <f t="shared" si="2"/>
        <v>121006</v>
      </c>
      <c r="O45" s="2896">
        <f t="shared" si="2"/>
        <v>169408</v>
      </c>
      <c r="P45" s="2896">
        <f t="shared" si="2"/>
        <v>217812</v>
      </c>
      <c r="Q45" s="2896">
        <f t="shared" si="2"/>
        <v>290415</v>
      </c>
      <c r="R45" s="2896">
        <f t="shared" si="2"/>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6">
        <f t="shared" si="2"/>
        <v>136900</v>
      </c>
      <c r="O46" s="2896">
        <f t="shared" si="2"/>
        <v>178983</v>
      </c>
      <c r="P46" s="2896">
        <f t="shared" si="2"/>
        <v>217302</v>
      </c>
      <c r="Q46" s="2896">
        <f t="shared" si="2"/>
        <v>266138</v>
      </c>
      <c r="R46" s="2896">
        <f t="shared" si="2"/>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6">
        <f t="shared" si="2"/>
        <v>119161</v>
      </c>
      <c r="O47" s="2896">
        <f t="shared" si="2"/>
        <v>164753</v>
      </c>
      <c r="P47" s="2896">
        <f t="shared" si="2"/>
        <v>209159</v>
      </c>
      <c r="Q47" s="2896">
        <f t="shared" si="2"/>
        <v>273541</v>
      </c>
      <c r="R47" s="2896">
        <f t="shared" si="2"/>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6">
        <f t="shared" si="2"/>
        <v>135289</v>
      </c>
      <c r="O48" s="2896">
        <f t="shared" si="2"/>
        <v>177072</v>
      </c>
      <c r="P48" s="2896">
        <f t="shared" si="2"/>
        <v>214871</v>
      </c>
      <c r="Q48" s="2896">
        <f t="shared" si="2"/>
        <v>262664</v>
      </c>
      <c r="R48" s="2896">
        <f t="shared" si="2"/>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6">
        <f t="shared" si="2"/>
        <v>110437</v>
      </c>
      <c r="O49" s="2896">
        <f t="shared" si="2"/>
        <v>154613</v>
      </c>
      <c r="P49" s="2896">
        <f t="shared" si="2"/>
        <v>198788</v>
      </c>
      <c r="Q49" s="2896">
        <f t="shared" si="2"/>
        <v>265051</v>
      </c>
      <c r="R49" s="2896">
        <f t="shared" si="2"/>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6">
        <f t="shared" si="2"/>
        <v>124050</v>
      </c>
      <c r="O50" s="2896">
        <f t="shared" si="2"/>
        <v>162473</v>
      </c>
      <c r="P50" s="2896">
        <f t="shared" si="2"/>
        <v>197539</v>
      </c>
      <c r="Q50" s="2896">
        <f t="shared" si="2"/>
        <v>242456</v>
      </c>
      <c r="R50" s="2896">
        <f t="shared" si="2"/>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6">
        <f t="shared" si="2"/>
        <v>107407</v>
      </c>
      <c r="O51" s="2896">
        <f t="shared" si="2"/>
        <v>148392</v>
      </c>
      <c r="P51" s="2896">
        <f t="shared" si="2"/>
        <v>188246</v>
      </c>
      <c r="Q51" s="2896">
        <f t="shared" si="2"/>
        <v>245902</v>
      </c>
      <c r="R51" s="2896">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3977</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3893</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3978</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3978</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3979</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3979</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3979</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3875</v>
      </c>
      <c r="C78" s="177"/>
      <c r="D78" s="177"/>
      <c r="E78" s="175"/>
      <c r="F78" s="179" t="s">
        <v>3502</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3987</v>
      </c>
      <c r="G80" s="177"/>
      <c r="H80" s="175"/>
      <c r="I80" s="175"/>
      <c r="J80" s="179" t="s">
        <v>3983</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3984</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3985</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3986</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3981</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4295</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3892</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3911</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3980</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3927</v>
      </c>
      <c r="I127" s="175"/>
      <c r="J127" s="177" t="s">
        <v>3928</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3921</v>
      </c>
      <c r="I128" s="175"/>
      <c r="J128" s="177" t="s">
        <v>3929</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3930</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3976</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4231</v>
      </c>
      <c r="E151" s="292"/>
      <c r="F151" s="292"/>
    </row>
    <row r="152" spans="2:30" ht="10.5" customHeight="1">
      <c r="C152" s="2337"/>
      <c r="E152" s="292"/>
      <c r="F152" s="292"/>
    </row>
    <row r="153" spans="2:30" ht="10.5" customHeight="1">
      <c r="C153" s="2337"/>
      <c r="D153" s="1356" t="s">
        <v>3989</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3919</v>
      </c>
      <c r="O154" s="583" t="s">
        <v>4348</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4349</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4350</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4351</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4352</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4353</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4354</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4355</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4356</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4357</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4358</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4359</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4360</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4361</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4362</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4363</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4364</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4365</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4366</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4367</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4368</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4369</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4370</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4371</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4372</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4373</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4374</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4375</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4376</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4377</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4378</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4379</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4380</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4381</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4382</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4383</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4384</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4385</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4386</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4387</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4388</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4389</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4390</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4391</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4392</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4393</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4394</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4395</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4396</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4397</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4398</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4399</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4400</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4401</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4402</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4403</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4404</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4405</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4406</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4407</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4408</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4409</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4410</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4411</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4412</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4413</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4414</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4415</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4416</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4417</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4418</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4419</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4420</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4421</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4422</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4423</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4424</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4425</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4426</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4427</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4428</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4429</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4430</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4431</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4432</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4433</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4434</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4435</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4436</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4437</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901" t="s">
        <v>2616</v>
      </c>
      <c r="N244" s="2901" t="s">
        <v>1342</v>
      </c>
      <c r="O244" s="2900" t="s">
        <v>4438</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4439</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4440</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4441</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4442</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4443</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4444</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4445</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4446</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4447</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4448</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4449</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4450</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4451</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901" t="s">
        <v>2616</v>
      </c>
      <c r="N258" s="2901" t="s">
        <v>1217</v>
      </c>
      <c r="O258" s="2900" t="s">
        <v>4452</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4453</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4454</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4455</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4456</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4457</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4458</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4459</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4460</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4461</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4462</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4463</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4464</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4465</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4466</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4467</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4468</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4469</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4470</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4471</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4472</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4473</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4474</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4475</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4476</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4477</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4478</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4479</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4480</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4481</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4482</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4483</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4484</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4485</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4486</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4487</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4488</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4489</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4490</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4491</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4492</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4493</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4494</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4495</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4496</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4497</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4498</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4499</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4500</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4501</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4502</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4503</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4504</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4505</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4506</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4507</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4508</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4Ifv76gGI+0diHNNhCu8Ry7D/TK0xOjFPAas69TwISq36G0SMByE87U74/SFEoe2NGY1zbefxGj4EFYSLbg+3A==" saltValue="k5gjefTm9NxrX31uQzl7e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workbookViewId="0">
      <selection sqref="A1:XFD1048576"/>
    </sheetView>
  </sheetViews>
  <sheetFormatPr defaultRowHeight="12.75"/>
  <cols>
    <col min="1" max="1" width="9.42578125" style="683" bestFit="1" customWidth="1"/>
    <col min="2" max="2" width="10.7109375" style="683" bestFit="1" customWidth="1"/>
    <col min="3" max="7" width="10.42578125" style="683" bestFit="1" customWidth="1"/>
    <col min="8" max="8" width="13.140625" style="683" bestFit="1" customWidth="1"/>
    <col min="9" max="10" width="14.42578125" style="683" bestFit="1" customWidth="1"/>
    <col min="11" max="11" width="10.42578125" style="683" bestFit="1" customWidth="1"/>
    <col min="12"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Myrtle Terraces Phase 2</v>
      </c>
    </row>
    <row r="3" spans="1:16" ht="16.5">
      <c r="A3" s="2345" t="str">
        <f>CONCATENATE('Part I-Project Information'!F38,", ", 'Part I-Project Information'!J39," County")</f>
        <v>Gainesville, Hall County</v>
      </c>
    </row>
    <row r="5" spans="1:16" ht="12.75" customHeight="1">
      <c r="A5" s="2346" t="str">
        <f>'Project Narrative'!$A$5</f>
        <v xml:space="preserve">Myrtle Terraces Phase 2 will be the second phase of the wildly successful Myrtle Terraces in Gainesville, GA.  Phase 1, consisting of 84 units, opened in early 2015 and leased up within 7 weeks and now enjoys over 200 people on a waitlist.  The winner of the 2016 Charles L. Edson Tax Credit Excellence Award - Senior Housing, Myrtle Terraces Phase 1 pioneered a relationship with Brenau University that has resulted in our community being part of the curriculum for a number of advanced degrees all related to senior care.   The relationship with Brenau has grown to include other BJS communities, Sweetwater Terraces in Duluth, Wisteria Place of Mableton (under construction) and our other submitted application, Hamilton Mill.  Over the years we have evidence-based results that show real improvements in the quality of life and health of our residents
Myrtle Terraces Phase 2 was envisioned during the original development of Myrtle Terraces if the market would deem it appropriate.  As luck would have it Gainesville, GA has been a great city to do business in, with abundant local amenities such as the top rated heart hospital in the State.  When it comes to location, Gainesville is second to none. Located at the foothills of the Blue Ridge Mountains, the 19th largest City in the state is surrounded on three sides by Lake Sidney Lanier. Gainesville is small enough to know your neighbor, yet large enough to offer the services and cultural experiences of a much larger city.  Since the building of Phase 1 local development has added the largest Kroger in the Southeast and roughly a few hundred thousand square feet of retail/commercial/office within 1.5 miles of our site.
Phase 2 will consist of 76 units, of which 64 will be set aside for individuals who make less than 60% of the AMI (some at 50%).  Our close relationship with Brenau will see expanded services at Phase 2 and we are reaching out to other local community leaders, such as Gateway Domestic Abuse Center, to open our doors for their training and seminars.  We are also making a financial contribution to Gateway as our Foundation's motto; "A better way to build communities" focuses on improving communities both inside and outside our walls.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300751950, 305010000,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4517</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4726</v>
      </c>
      <c r="H16" s="2350"/>
      <c r="I16" s="2350"/>
      <c r="J16" s="2350"/>
      <c r="K16" s="2350"/>
      <c r="L16" s="2348"/>
      <c r="M16" s="2350"/>
      <c r="N16" s="2350"/>
      <c r="O16" s="2350"/>
      <c r="P16" s="2353" t="s">
        <v>3897</v>
      </c>
    </row>
    <row r="17" spans="1:16" ht="14.25" customHeight="1">
      <c r="A17" s="2350"/>
      <c r="B17" s="2354"/>
      <c r="C17" s="2354"/>
      <c r="D17" s="2354"/>
      <c r="E17" s="2354"/>
      <c r="F17" s="2348"/>
      <c r="G17" s="2352" t="s">
        <v>4727</v>
      </c>
      <c r="H17" s="2355"/>
      <c r="I17" s="2355"/>
      <c r="J17" s="2355"/>
      <c r="K17" s="2350"/>
      <c r="L17" s="2350"/>
      <c r="M17" s="2350"/>
      <c r="N17" s="2350"/>
      <c r="O17" s="2347" t="str">
        <f>'Part I-Project Information'!$O$6</f>
        <v>2018-037</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3825</v>
      </c>
      <c r="G20" s="2350"/>
      <c r="H20" s="2350"/>
      <c r="I20" s="2359">
        <f>'Part IV-A-Uses of Funds'!$J$175</f>
        <v>825000</v>
      </c>
      <c r="J20" s="2359"/>
      <c r="K20" s="2350"/>
      <c r="L20" s="2350" t="s">
        <v>3826</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3740</v>
      </c>
      <c r="J22" s="2347" t="s">
        <v>4728</v>
      </c>
      <c r="K22" s="2347"/>
      <c r="L22" s="2355"/>
      <c r="M22" s="2350"/>
      <c r="N22" s="2350"/>
      <c r="O22" s="2350" t="str">
        <f>'Part I-Project Information'!$O$11</f>
        <v>2018PA-048</v>
      </c>
      <c r="P22" s="2350"/>
    </row>
    <row r="23" spans="1:16" ht="13.5" customHeight="1">
      <c r="A23" s="2348"/>
      <c r="B23" s="2364" t="s">
        <v>4518</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3823</v>
      </c>
      <c r="K25" s="2350"/>
      <c r="L25" s="2350"/>
      <c r="M25" s="2350"/>
      <c r="N25" s="2350"/>
      <c r="O25" s="2350"/>
      <c r="P25" s="2350"/>
    </row>
    <row r="26" spans="1:16">
      <c r="A26" s="2348"/>
      <c r="B26" s="2350" t="s">
        <v>3898</v>
      </c>
      <c r="C26" s="2350"/>
      <c r="D26" s="2347"/>
      <c r="E26" s="2350"/>
      <c r="F26" s="2366">
        <f>'Part I-Project Information'!$F$15</f>
        <v>0</v>
      </c>
      <c r="G26" s="2366"/>
      <c r="H26" s="2366"/>
      <c r="I26" s="2366"/>
      <c r="J26" s="2366"/>
      <c r="K26" s="2366"/>
      <c r="L26" s="2350" t="s">
        <v>3822</v>
      </c>
      <c r="M26" s="2350"/>
      <c r="N26" s="2350"/>
      <c r="O26" s="2350">
        <f>'Part I-Project Information'!$O$15</f>
        <v>0</v>
      </c>
      <c r="P26" s="2350"/>
    </row>
    <row r="27" spans="1:16">
      <c r="A27" s="2348"/>
      <c r="B27" s="2350" t="s">
        <v>3824</v>
      </c>
      <c r="C27" s="2350"/>
      <c r="D27" s="2350"/>
      <c r="E27" s="2350"/>
      <c r="F27" s="2365">
        <f>'Part I-Project Information'!F16</f>
        <v>0</v>
      </c>
      <c r="G27" s="2350" t="s">
        <v>3881</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3909</v>
      </c>
      <c r="C31" s="2350"/>
      <c r="D31" s="2350"/>
      <c r="E31" s="2350"/>
      <c r="F31" s="2350" t="str">
        <f>'Part I-Project Information'!F20</f>
        <v>Beverly J. Searles Foundation</v>
      </c>
      <c r="G31" s="2350">
        <f>'Part I-Project Information'!G20</f>
        <v>0</v>
      </c>
      <c r="H31" s="2350">
        <f>'Part I-Project Information'!H20</f>
        <v>0</v>
      </c>
      <c r="I31" s="2350" t="s">
        <v>1810</v>
      </c>
      <c r="J31" s="2350" t="str">
        <f>'Part I-Project Information'!J20</f>
        <v>Philip E. Searles</v>
      </c>
      <c r="K31" s="2350">
        <f>'Part I-Project Information'!K20</f>
        <v>0</v>
      </c>
      <c r="L31" s="2350">
        <f>'Part I-Project Information'!L20</f>
        <v>0</v>
      </c>
      <c r="M31" s="2358" t="s">
        <v>1996</v>
      </c>
      <c r="N31" s="2350" t="str">
        <f>'Part I-Project Information'!N20</f>
        <v>President</v>
      </c>
      <c r="O31" s="2350">
        <f>'Part I-Project Information'!O20</f>
        <v>0</v>
      </c>
      <c r="P31" s="2350">
        <f>'Part I-Project Information'!P20</f>
        <v>0</v>
      </c>
    </row>
    <row r="32" spans="1:16" ht="12.75" customHeight="1">
      <c r="A32" s="2350"/>
      <c r="B32" s="2358" t="s">
        <v>1997</v>
      </c>
      <c r="C32" s="2350"/>
      <c r="D32" s="2350"/>
      <c r="E32" s="2350"/>
      <c r="F32" s="2350" t="str">
        <f>'Part I-Project Information'!F21</f>
        <v>4182 Westchester Trace NE</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3908</v>
      </c>
      <c r="N32" s="2368"/>
      <c r="O32" s="2368"/>
      <c r="P32" s="2368"/>
    </row>
    <row r="33" spans="1:16" ht="12.75" customHeight="1">
      <c r="A33" s="2350"/>
      <c r="B33" s="2358" t="s">
        <v>624</v>
      </c>
      <c r="C33" s="2350"/>
      <c r="D33" s="2350"/>
      <c r="E33" s="2350"/>
      <c r="F33" s="2350" t="str">
        <f>'Part I-Project Information'!F22</f>
        <v>Roswell</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2245</v>
      </c>
      <c r="C34" s="2350"/>
      <c r="D34" s="2350"/>
      <c r="E34" s="2350"/>
      <c r="F34" s="2370">
        <f>'Part I-Project Information'!F23</f>
        <v>300751950</v>
      </c>
      <c r="G34" s="2370">
        <f>'Part I-Project Information'!G23</f>
        <v>0</v>
      </c>
      <c r="H34" s="2370">
        <f>'Part I-Project Information'!H23</f>
        <v>0</v>
      </c>
      <c r="I34" s="2358" t="s">
        <v>1733</v>
      </c>
      <c r="J34" s="2371">
        <f>'Part I-Project Information'!J23</f>
        <v>0</v>
      </c>
      <c r="K34" s="2371">
        <f>'Part I-Project Information'!K23</f>
        <v>0</v>
      </c>
      <c r="L34" s="2355" t="s">
        <v>1732</v>
      </c>
      <c r="M34" s="2355">
        <f>'Part I-Project Information'!M23</f>
        <v>0</v>
      </c>
      <c r="N34" s="2358" t="s">
        <v>1734</v>
      </c>
      <c r="O34" s="2371">
        <f>'Part I-Project Information'!O23</f>
        <v>0</v>
      </c>
      <c r="P34" s="2371">
        <f>'Part I-Project Information'!P23</f>
        <v>0</v>
      </c>
    </row>
    <row r="35" spans="1:16">
      <c r="A35" s="2350"/>
      <c r="B35" s="2358" t="s">
        <v>2000</v>
      </c>
      <c r="C35" s="2350"/>
      <c r="D35" s="2350"/>
      <c r="E35" s="2350"/>
      <c r="F35" s="2350" t="str">
        <f>'Part I-Project Information'!F24</f>
        <v>psearles@bjsfoundation.org</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6784676861</v>
      </c>
      <c r="P35" s="2371">
        <f>'Part I-Project Information'!P24</f>
        <v>0</v>
      </c>
    </row>
    <row r="36" spans="1:16">
      <c r="A36" s="2348"/>
      <c r="B36" s="2347" t="s">
        <v>4110</v>
      </c>
      <c r="C36" s="2357"/>
      <c r="D36" s="2350"/>
      <c r="E36" s="2350"/>
      <c r="F36" s="2350"/>
      <c r="G36" s="2350"/>
      <c r="H36" s="2355"/>
      <c r="I36" s="2350"/>
      <c r="J36" s="2357"/>
      <c r="K36" s="2350"/>
      <c r="L36" s="2350"/>
      <c r="M36" s="2350"/>
      <c r="N36" s="2350"/>
      <c r="O36" s="2350"/>
      <c r="P36" s="2372"/>
    </row>
    <row r="37" spans="1:16">
      <c r="A37" s="2350"/>
      <c r="B37" s="2350" t="s">
        <v>3909</v>
      </c>
      <c r="C37" s="2350"/>
      <c r="D37" s="2350"/>
      <c r="E37" s="2350"/>
      <c r="F37" s="2350" t="str">
        <f>'Part I-Project Information'!F26</f>
        <v>Beverly J. Searles Foundation</v>
      </c>
      <c r="G37" s="2350">
        <f>'Part I-Project Information'!G26</f>
        <v>0</v>
      </c>
      <c r="H37" s="2350">
        <f>'Part I-Project Information'!H26</f>
        <v>0</v>
      </c>
      <c r="I37" s="2350" t="s">
        <v>1810</v>
      </c>
      <c r="J37" s="2350" t="str">
        <f>'Part I-Project Information'!J26</f>
        <v>David Russell</v>
      </c>
      <c r="K37" s="2350">
        <f>'Part I-Project Information'!K26</f>
        <v>0</v>
      </c>
      <c r="L37" s="2350">
        <f>'Part I-Project Information'!L26</f>
        <v>0</v>
      </c>
      <c r="M37" s="2358" t="s">
        <v>1996</v>
      </c>
      <c r="N37" s="2350" t="str">
        <f>'Part I-Project Information'!N26</f>
        <v>Director of Development</v>
      </c>
      <c r="O37" s="2350">
        <f>'Part I-Project Information'!O26</f>
        <v>0</v>
      </c>
      <c r="P37" s="2350">
        <f>'Part I-Project Information'!P26</f>
        <v>0</v>
      </c>
    </row>
    <row r="38" spans="1:16" ht="12.75" customHeight="1">
      <c r="A38" s="2350"/>
      <c r="B38" s="2358" t="s">
        <v>1997</v>
      </c>
      <c r="C38" s="2350"/>
      <c r="D38" s="2350"/>
      <c r="E38" s="2350"/>
      <c r="F38" s="2350" t="str">
        <f>'Part I-Project Information'!F27</f>
        <v>4182 Westchester Trace NE</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3908</v>
      </c>
      <c r="N38" s="2368"/>
      <c r="O38" s="2368"/>
      <c r="P38" s="2368"/>
    </row>
    <row r="39" spans="1:16" ht="12.75" customHeight="1">
      <c r="A39" s="2350"/>
      <c r="B39" s="2358" t="s">
        <v>624</v>
      </c>
      <c r="C39" s="2350"/>
      <c r="D39" s="2350"/>
      <c r="E39" s="2350"/>
      <c r="F39" s="2350" t="str">
        <f>'Part I-Project Information'!F28</f>
        <v>Roswell</v>
      </c>
      <c r="G39" s="2350">
        <f>'Part I-Project Information'!G28</f>
        <v>0</v>
      </c>
      <c r="H39" s="2350">
        <f>'Part I-Project Information'!H28</f>
        <v>0</v>
      </c>
      <c r="I39" s="2358" t="s">
        <v>1812</v>
      </c>
      <c r="J39" s="2369" t="str">
        <f>'Part I-Project Information'!J28</f>
        <v>GA</v>
      </c>
      <c r="K39" s="2350"/>
      <c r="L39" s="2350"/>
      <c r="M39" s="2368"/>
      <c r="N39" s="2368"/>
      <c r="O39" s="2368"/>
      <c r="P39" s="2368"/>
    </row>
    <row r="40" spans="1:16">
      <c r="A40" s="2350"/>
      <c r="B40" s="2358" t="s">
        <v>2245</v>
      </c>
      <c r="C40" s="2350"/>
      <c r="D40" s="2350"/>
      <c r="E40" s="2350"/>
      <c r="F40" s="2370">
        <f>'Part I-Project Information'!F29</f>
        <v>300751950</v>
      </c>
      <c r="G40" s="2370">
        <f>'Part I-Project Information'!G29</f>
        <v>0</v>
      </c>
      <c r="H40" s="2370">
        <f>'Part I-Project Information'!H29</f>
        <v>0</v>
      </c>
      <c r="I40" s="2358" t="s">
        <v>1733</v>
      </c>
      <c r="J40" s="2371">
        <f>'Part I-Project Information'!J29</f>
        <v>0</v>
      </c>
      <c r="K40" s="2371">
        <f>'Part I-Project Information'!K29</f>
        <v>0</v>
      </c>
      <c r="L40" s="2355" t="s">
        <v>1732</v>
      </c>
      <c r="M40" s="2355">
        <f>'Part I-Project Information'!M29</f>
        <v>0</v>
      </c>
      <c r="N40" s="2358" t="s">
        <v>1734</v>
      </c>
      <c r="O40" s="2371">
        <f>'Part I-Project Information'!O29</f>
        <v>0</v>
      </c>
      <c r="P40" s="2371">
        <f>'Part I-Project Information'!P29</f>
        <v>0</v>
      </c>
    </row>
    <row r="41" spans="1:16">
      <c r="A41" s="2350"/>
      <c r="B41" s="2358" t="s">
        <v>2000</v>
      </c>
      <c r="C41" s="2350"/>
      <c r="D41" s="2350"/>
      <c r="E41" s="2350"/>
      <c r="F41" s="2350" t="str">
        <f>'Part I-Project Information'!F30</f>
        <v>dwrussell@gmail.com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4048083828</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Myrtle Terraces Phase 2</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Yes - no Master Plan</v>
      </c>
      <c r="P45" s="2350">
        <f>'Part I-Project Information'!P34</f>
        <v>0</v>
      </c>
    </row>
    <row r="46" spans="1:16">
      <c r="A46" s="2353"/>
      <c r="B46" s="2350" t="s">
        <v>2716</v>
      </c>
      <c r="C46" s="2350"/>
      <c r="D46" s="2361"/>
      <c r="E46" s="2350"/>
      <c r="F46" s="2350" t="str">
        <f>'Part I-Project Information'!F35</f>
        <v>1326 Myrtle Street</v>
      </c>
      <c r="G46" s="2350">
        <f>'Part I-Project Information'!G35</f>
        <v>0</v>
      </c>
      <c r="H46" s="2350">
        <f>'Part I-Project Information'!H35</f>
        <v>0</v>
      </c>
      <c r="I46" s="2350">
        <f>'Part I-Project Information'!I35</f>
        <v>0</v>
      </c>
      <c r="J46" s="2350">
        <f>'Part I-Project Information'!J35</f>
        <v>0</v>
      </c>
      <c r="K46" s="2350">
        <f>'Part I-Project Information'!K35</f>
        <v>0</v>
      </c>
      <c r="L46" s="2350" t="s">
        <v>3707</v>
      </c>
      <c r="M46" s="2350"/>
      <c r="N46" s="2350"/>
      <c r="O46" s="2350" t="str">
        <f>'Part I-Project Information'!O35</f>
        <v>12-057</v>
      </c>
      <c r="P46" s="2350">
        <f>'Part I-Project Information'!P35</f>
        <v>0</v>
      </c>
    </row>
    <row r="47" spans="1:16">
      <c r="A47" s="2353"/>
      <c r="B47" s="2350" t="s">
        <v>4729</v>
      </c>
      <c r="C47" s="2350"/>
      <c r="D47" s="2361"/>
      <c r="E47" s="2350"/>
      <c r="F47" s="2350">
        <f>'Part I-Project Information'!F36</f>
        <v>0</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3706</v>
      </c>
      <c r="P47" s="2355">
        <f>'Part I-Project Information'!P36</f>
        <v>0</v>
      </c>
    </row>
    <row r="48" spans="1:16">
      <c r="A48" s="2353"/>
      <c r="B48" s="2350" t="s">
        <v>3762</v>
      </c>
      <c r="C48" s="2350"/>
      <c r="D48" s="2361"/>
      <c r="E48" s="2350"/>
      <c r="F48" s="2350" t="s">
        <v>3742</v>
      </c>
      <c r="G48" s="2373">
        <f>'Part I-Project Information'!G37</f>
        <v>34.301133999999998</v>
      </c>
      <c r="H48" s="2373">
        <f>'Part I-Project Information'!H37</f>
        <v>0</v>
      </c>
      <c r="I48" s="2355" t="s">
        <v>3743</v>
      </c>
      <c r="J48" s="2373">
        <f>'Part I-Project Information'!J37</f>
        <v>-83.807986</v>
      </c>
      <c r="K48" s="2373">
        <f>'Part I-Project Information'!K37</f>
        <v>0</v>
      </c>
      <c r="L48" s="2358" t="s">
        <v>2299</v>
      </c>
      <c r="M48" s="2350"/>
      <c r="N48" s="2350"/>
      <c r="O48" s="2374">
        <f>'Part I-Project Information'!O37</f>
        <v>8.1300000000000008</v>
      </c>
      <c r="P48" s="2374">
        <f>'Part I-Project Information'!P37</f>
        <v>0</v>
      </c>
    </row>
    <row r="49" spans="1:16" ht="16.5">
      <c r="A49" s="2348"/>
      <c r="B49" s="2350" t="s">
        <v>624</v>
      </c>
      <c r="C49" s="2350"/>
      <c r="D49" s="2350"/>
      <c r="E49" s="2350"/>
      <c r="F49" s="2350" t="str">
        <f>'Part I-Project Information'!F38</f>
        <v>Gainesville</v>
      </c>
      <c r="G49" s="2350">
        <f>'Part I-Project Information'!G38</f>
        <v>0</v>
      </c>
      <c r="H49" s="2350">
        <f>'Part I-Project Information'!H38</f>
        <v>0</v>
      </c>
      <c r="I49" s="2375" t="s">
        <v>4730</v>
      </c>
      <c r="J49" s="2370">
        <f>'Part I-Project Information'!J38</f>
        <v>305014912</v>
      </c>
      <c r="K49" s="2370">
        <f>'Part I-Project Information'!K38</f>
        <v>0</v>
      </c>
      <c r="L49" s="2347" t="str">
        <f>IF(AND(NOT(F45=""),NOT(F49="Select from list"),J49=""),"Enter Zip!","")</f>
        <v/>
      </c>
      <c r="M49" s="2376" t="s">
        <v>2925</v>
      </c>
      <c r="N49" s="2350"/>
      <c r="O49" s="2377" t="str">
        <f>'Part I-Project Information'!O38</f>
        <v>23580-13-139-0008.00</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Hall</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No</v>
      </c>
      <c r="G51" s="2350" t="s">
        <v>2799</v>
      </c>
      <c r="H51" s="2350"/>
      <c r="I51" s="2355" t="str">
        <f>'Part I-Project Information'!I40</f>
        <v>No</v>
      </c>
      <c r="J51" s="2355" t="s">
        <v>2819</v>
      </c>
      <c r="K51" s="2355" t="str">
        <f>'Part I-Project Information'!K40</f>
        <v>Urban</v>
      </c>
      <c r="L51" s="2350"/>
      <c r="M51" s="2358" t="s">
        <v>2628</v>
      </c>
      <c r="N51" s="2348" t="str">
        <f>'Part I-Project Information'!N40</f>
        <v>MSA</v>
      </c>
      <c r="O51" s="2350" t="str">
        <f>'Part I-Project Information'!O40</f>
        <v>Gainesville</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4731</v>
      </c>
      <c r="D53" s="2350"/>
      <c r="E53" s="2350"/>
      <c r="F53" s="2381" t="s">
        <v>2780</v>
      </c>
      <c r="G53" s="2381"/>
      <c r="H53" s="2350" t="s">
        <v>744</v>
      </c>
      <c r="I53" s="2350"/>
      <c r="J53" s="2350" t="s">
        <v>745</v>
      </c>
      <c r="K53" s="2350"/>
      <c r="L53" s="2382" t="s">
        <v>4540</v>
      </c>
      <c r="M53" s="2350"/>
      <c r="N53" s="2350"/>
      <c r="O53" s="2350"/>
      <c r="P53" s="2350"/>
    </row>
    <row r="54" spans="1:16">
      <c r="A54" s="2348"/>
      <c r="B54" s="2350" t="s">
        <v>4732</v>
      </c>
      <c r="C54" s="2350"/>
      <c r="D54" s="2347"/>
      <c r="E54" s="2350"/>
      <c r="F54" s="2383">
        <f>'Part I-Project Information'!F43</f>
        <v>9</v>
      </c>
      <c r="G54" s="2383">
        <f>'Part I-Project Information'!G43</f>
        <v>0</v>
      </c>
      <c r="H54" s="2383">
        <f>'Part I-Project Information'!H43</f>
        <v>49</v>
      </c>
      <c r="I54" s="2383">
        <f>'Part I-Project Information'!I43</f>
        <v>0</v>
      </c>
      <c r="J54" s="2383">
        <f>'Part I-Project Information'!J43</f>
        <v>29</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Gainesville</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www.gainesville.org</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Danny Dunagan</v>
      </c>
      <c r="G58" s="2386">
        <f>'Part I-Project Information'!G47</f>
        <v>0</v>
      </c>
      <c r="H58" s="2386">
        <f>'Part I-Project Information'!H47</f>
        <v>0</v>
      </c>
      <c r="I58" s="2355" t="s">
        <v>1996</v>
      </c>
      <c r="J58" s="2350">
        <f>'Part I-Project Information'!J47</f>
        <v>0</v>
      </c>
      <c r="K58" s="2350">
        <f>'Part I-Project Information'!K47</f>
        <v>0</v>
      </c>
      <c r="L58" s="2387"/>
      <c r="M58" s="2350"/>
      <c r="N58" s="2350"/>
      <c r="O58" s="2350"/>
      <c r="P58" s="2350"/>
    </row>
    <row r="59" spans="1:16">
      <c r="A59" s="2348"/>
      <c r="B59" s="2350" t="s">
        <v>1997</v>
      </c>
      <c r="C59" s="2350"/>
      <c r="D59" s="2350"/>
      <c r="E59" s="2350"/>
      <c r="F59" s="2386" t="str">
        <f>'Part I-Project Information'!F48</f>
        <v>300 Henry Ward Way</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Gainesville</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305010000</v>
      </c>
      <c r="G60" s="2370">
        <f>'Part I-Project Information'!G49</f>
        <v>0</v>
      </c>
      <c r="H60" s="2355" t="s">
        <v>1998</v>
      </c>
      <c r="I60" s="2371">
        <f>'Part I-Project Information'!I49</f>
        <v>7707187877</v>
      </c>
      <c r="J60" s="2371">
        <f>'Part I-Project Information'!J49</f>
        <v>0</v>
      </c>
      <c r="K60" s="2371">
        <f>'Part I-Project Information'!K49</f>
        <v>0</v>
      </c>
      <c r="L60" s="2358" t="s">
        <v>1813</v>
      </c>
      <c r="M60" s="2386" t="str">
        <f>'Part I-Project Information'!M49</f>
        <v>ddunagan@gainesville.org</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4733</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76</v>
      </c>
      <c r="I66" s="2357"/>
      <c r="J66" s="2357"/>
      <c r="K66" s="2358" t="s">
        <v>3698</v>
      </c>
      <c r="L66" s="2350"/>
      <c r="M66" s="2391" t="s">
        <v>3697</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2930</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3587</v>
      </c>
      <c r="J72" s="2353" t="s">
        <v>2131</v>
      </c>
      <c r="K72" s="2398" t="s">
        <v>2318</v>
      </c>
      <c r="L72" s="2350"/>
      <c r="M72" s="2350"/>
      <c r="N72" s="2350"/>
      <c r="O72" s="2350"/>
      <c r="P72" s="2355"/>
    </row>
    <row r="73" spans="1:16">
      <c r="A73" s="2348"/>
      <c r="B73" s="2369"/>
      <c r="C73" s="2357" t="s">
        <v>2293</v>
      </c>
      <c r="D73" s="2350"/>
      <c r="E73" s="2350"/>
      <c r="F73" s="2350"/>
      <c r="G73" s="2350"/>
      <c r="H73" s="2399">
        <f>SUM(H74:H75)</f>
        <v>64</v>
      </c>
      <c r="I73" s="2399">
        <f>SUM(I74:I75)</f>
        <v>0</v>
      </c>
      <c r="J73" s="2348"/>
      <c r="K73" s="2357" t="s">
        <v>2791</v>
      </c>
      <c r="L73" s="2350"/>
      <c r="M73" s="2350"/>
      <c r="N73" s="2350"/>
      <c r="O73" s="2350"/>
      <c r="P73" s="2399">
        <f>'Part VI-Revenues &amp; Expenses'!$O$115</f>
        <v>50430</v>
      </c>
    </row>
    <row r="74" spans="1:16">
      <c r="A74" s="2348"/>
      <c r="B74" s="2357"/>
      <c r="C74" s="2350"/>
      <c r="D74" s="2381" t="s">
        <v>387</v>
      </c>
      <c r="E74" s="2350"/>
      <c r="F74" s="2350"/>
      <c r="G74" s="2350"/>
      <c r="H74" s="2399">
        <f>'Part VI-Revenues &amp; Expenses'!$O$57</f>
        <v>16</v>
      </c>
      <c r="I74" s="2399">
        <f>'Part VI-Revenues &amp; Expenses'!$O$65</f>
        <v>0</v>
      </c>
      <c r="J74" s="2350"/>
      <c r="K74" s="2357" t="s">
        <v>2792</v>
      </c>
      <c r="L74" s="2350"/>
      <c r="M74" s="2350"/>
      <c r="N74" s="2350"/>
      <c r="O74" s="2350"/>
      <c r="P74" s="2399">
        <f>'Part VI-Revenues &amp; Expenses'!$O$116</f>
        <v>9180</v>
      </c>
    </row>
    <row r="75" spans="1:16">
      <c r="A75" s="2348"/>
      <c r="B75" s="2350"/>
      <c r="C75" s="2350"/>
      <c r="D75" s="2381" t="s">
        <v>1835</v>
      </c>
      <c r="E75" s="2381"/>
      <c r="F75" s="2350"/>
      <c r="G75" s="2350"/>
      <c r="H75" s="2399">
        <f>'Part VI-Revenues &amp; Expenses'!$O$56</f>
        <v>48</v>
      </c>
      <c r="I75" s="2399">
        <f>'Part VI-Revenues &amp; Expenses'!$O$64</f>
        <v>0</v>
      </c>
      <c r="J75" s="2350"/>
      <c r="K75" s="2357" t="s">
        <v>2793</v>
      </c>
      <c r="L75" s="2350"/>
      <c r="M75" s="2350"/>
      <c r="N75" s="2350"/>
      <c r="O75" s="2350"/>
      <c r="P75" s="2399">
        <f>P73+P74</f>
        <v>59610</v>
      </c>
    </row>
    <row r="76" spans="1:16">
      <c r="A76" s="2348"/>
      <c r="B76" s="2350"/>
      <c r="C76" s="2357" t="s">
        <v>255</v>
      </c>
      <c r="D76" s="2350"/>
      <c r="E76" s="2350"/>
      <c r="F76" s="2350"/>
      <c r="G76" s="2350"/>
      <c r="H76" s="2399">
        <f>'Part VI-Revenues &amp; Expenses'!$O$59</f>
        <v>12</v>
      </c>
      <c r="I76" s="2350"/>
      <c r="J76" s="2348"/>
      <c r="K76" s="2357" t="s">
        <v>2794</v>
      </c>
      <c r="L76" s="2350"/>
      <c r="M76" s="2350"/>
      <c r="N76" s="2350"/>
      <c r="O76" s="2350"/>
      <c r="P76" s="2399">
        <f>'Part VI-Revenues &amp; Expenses'!$O$118</f>
        <v>0</v>
      </c>
    </row>
    <row r="77" spans="1:16">
      <c r="A77" s="2348"/>
      <c r="B77" s="2350"/>
      <c r="C77" s="2357" t="s">
        <v>2423</v>
      </c>
      <c r="D77" s="2350"/>
      <c r="E77" s="2350"/>
      <c r="F77" s="2350"/>
      <c r="G77" s="2350"/>
      <c r="H77" s="2399">
        <f>H73+H76</f>
        <v>76</v>
      </c>
      <c r="I77" s="2350"/>
      <c r="J77" s="2348"/>
      <c r="K77" s="2357" t="s">
        <v>1432</v>
      </c>
      <c r="L77" s="2350"/>
      <c r="M77" s="2350"/>
      <c r="N77" s="2350"/>
      <c r="O77" s="2350"/>
      <c r="P77" s="2399">
        <f>+P75+P76</f>
        <v>59610</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76</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1</v>
      </c>
      <c r="I81" s="2350"/>
      <c r="J81" s="2350"/>
      <c r="K81" s="2357" t="s">
        <v>4100</v>
      </c>
      <c r="L81" s="2350"/>
      <c r="M81" s="2350"/>
      <c r="N81" s="2350"/>
      <c r="O81" s="2350"/>
      <c r="P81" s="2399">
        <f>'Part I-Project Information'!P70</f>
        <v>18000</v>
      </c>
    </row>
    <row r="82" spans="1:16">
      <c r="A82" s="2348"/>
      <c r="B82" s="2348"/>
      <c r="C82" s="2350"/>
      <c r="D82" s="2369" t="s">
        <v>2013</v>
      </c>
      <c r="E82" s="2350"/>
      <c r="F82" s="2350"/>
      <c r="G82" s="2350"/>
      <c r="H82" s="2399">
        <f>'Part I-Project Information'!H71</f>
        <v>0</v>
      </c>
      <c r="I82" s="2350"/>
      <c r="J82" s="2350"/>
      <c r="K82" s="2357" t="s">
        <v>254</v>
      </c>
      <c r="L82" s="2350"/>
      <c r="M82" s="2350"/>
      <c r="N82" s="2350"/>
      <c r="O82" s="2350"/>
      <c r="P82" s="2399">
        <f>+P77+P81</f>
        <v>77610</v>
      </c>
    </row>
    <row r="83" spans="1:16">
      <c r="A83" s="2348"/>
      <c r="B83" s="2348"/>
      <c r="C83" s="2350"/>
      <c r="D83" s="2369" t="s">
        <v>2014</v>
      </c>
      <c r="E83" s="2350"/>
      <c r="F83" s="2350"/>
      <c r="G83" s="2350"/>
      <c r="H83" s="2399">
        <f>+H81+H82</f>
        <v>1</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2860</v>
      </c>
      <c r="D85" s="2350"/>
      <c r="E85" s="2350"/>
      <c r="F85" s="2350"/>
      <c r="G85" s="2350"/>
      <c r="H85" s="2399">
        <f>'Part I-Project Information'!H74</f>
        <v>76</v>
      </c>
      <c r="I85" s="2350"/>
      <c r="J85" s="2350"/>
      <c r="K85" s="2346" t="s">
        <v>3882</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4734</v>
      </c>
      <c r="D89" s="2401"/>
      <c r="E89" s="2401"/>
      <c r="F89" s="2350"/>
      <c r="G89" s="2355"/>
      <c r="H89" s="2381" t="str">
        <f>'Part I-Project Information'!H78</f>
        <v>HFOP</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3903</v>
      </c>
      <c r="I91" s="2346"/>
      <c r="J91" s="2350"/>
      <c r="K91" s="2402" t="s">
        <v>2931</v>
      </c>
      <c r="L91" s="2399">
        <f>'Part I-Project Information'!L80</f>
        <v>0</v>
      </c>
      <c r="M91" s="2402" t="s">
        <v>2932</v>
      </c>
      <c r="N91" s="2399">
        <f>'Part I-Project Information'!N80</f>
        <v>0</v>
      </c>
      <c r="O91" s="2350"/>
      <c r="P91" s="2361" t="s">
        <v>3905</v>
      </c>
    </row>
    <row r="92" spans="1:16">
      <c r="A92" s="2348"/>
      <c r="B92" s="2348"/>
      <c r="C92" s="2350"/>
      <c r="D92" s="2358"/>
      <c r="E92" s="2401"/>
      <c r="F92" s="2350"/>
      <c r="G92" s="2350"/>
      <c r="H92" s="2346"/>
      <c r="I92" s="2346"/>
      <c r="J92" s="2350"/>
      <c r="K92" s="2361" t="s">
        <v>2933</v>
      </c>
      <c r="L92" s="2399">
        <f>'Part I-Project Information'!L81</f>
        <v>76</v>
      </c>
      <c r="M92" s="2361" t="s">
        <v>3904</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4</v>
      </c>
      <c r="I94" s="2350"/>
      <c r="J94" s="2350"/>
      <c r="K94" s="2350" t="s">
        <v>525</v>
      </c>
      <c r="L94" s="2350"/>
      <c r="M94" s="2350"/>
      <c r="N94" s="2403">
        <f>IF('Part VI-Revenues &amp; Expenses'!$O$62=0,0,H94/'Part VI-Revenues &amp; Expenses'!$O$62)</f>
        <v>5.2631578947368418E-2</v>
      </c>
      <c r="O94" s="2361" t="s">
        <v>3721</v>
      </c>
      <c r="P94" s="2404">
        <f>'DCA Underwriting Assumptions'!$Q$136</f>
        <v>0.05</v>
      </c>
    </row>
    <row r="95" spans="1:16">
      <c r="A95" s="2348"/>
      <c r="B95" s="2348"/>
      <c r="C95" s="2350"/>
      <c r="D95" s="2369" t="s">
        <v>2858</v>
      </c>
      <c r="E95" s="2369"/>
      <c r="F95" s="2369" t="s">
        <v>804</v>
      </c>
      <c r="G95" s="2350"/>
      <c r="H95" s="2399">
        <f>'Part VIII-Threshold Criteria'!K302</f>
        <v>0</v>
      </c>
      <c r="I95" s="2350"/>
      <c r="J95" s="2350"/>
      <c r="K95" s="2350" t="s">
        <v>2859</v>
      </c>
      <c r="L95" s="2350"/>
      <c r="M95" s="2350"/>
      <c r="N95" s="2403">
        <f>IF(H94=0,0,H95/H94)</f>
        <v>0</v>
      </c>
      <c r="O95" s="2361" t="s">
        <v>3721</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3721</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Yes</v>
      </c>
      <c r="I107" s="2350"/>
      <c r="J107" s="2350"/>
      <c r="K107" s="2381" t="s">
        <v>3927</v>
      </c>
      <c r="L107" s="2355">
        <f>'Part I-Project Information'!L96</f>
        <v>0</v>
      </c>
      <c r="M107" s="2350"/>
      <c r="N107" s="2350"/>
      <c r="O107" s="2361" t="s">
        <v>3921</v>
      </c>
      <c r="P107" s="2355">
        <f>'Part I-Project Information'!P96</f>
        <v>0</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f>'Part I-Project Information'!H98</f>
        <v>0</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3688</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1700000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Beverly J. Searles Foundation</v>
      </c>
      <c r="D131" s="2362">
        <f>'Part I-Project Information'!D120</f>
        <v>0</v>
      </c>
      <c r="E131" s="2362">
        <f>'Part I-Project Information'!E120</f>
        <v>0</v>
      </c>
      <c r="F131" s="2362" t="str">
        <f>'Part I-Project Information'!F120</f>
        <v>BJS Hamilton Mill</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Beverly J. Searles Foundation</v>
      </c>
      <c r="D132" s="2362">
        <f>'Part I-Project Information'!D121</f>
        <v>0</v>
      </c>
      <c r="E132" s="2362">
        <f>'Part I-Project Information'!E121</f>
        <v>0</v>
      </c>
      <c r="F132" s="2362" t="str">
        <f>'Part I-Project Information'!F121</f>
        <v>Myrtle Terraces Phase 2</v>
      </c>
      <c r="G132" s="2362">
        <f>'Part I-Project Information'!G121</f>
        <v>0</v>
      </c>
      <c r="H132" s="2362">
        <f>'Part I-Project Information'!H121</f>
        <v>0</v>
      </c>
      <c r="I132" s="2362" t="str">
        <f>'Part I-Project Information'!I121</f>
        <v>Direct</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f>'Part I-Project Information'!I147</f>
        <v>0</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4735</v>
      </c>
      <c r="D161" s="2369"/>
      <c r="E161" s="2369"/>
      <c r="F161" s="2355"/>
      <c r="G161" s="2355"/>
      <c r="H161" s="2350"/>
      <c r="I161" s="2375">
        <f>'Part I-Project Information'!I150</f>
        <v>0</v>
      </c>
      <c r="J161" s="2350"/>
      <c r="K161" s="2369" t="s">
        <v>1547</v>
      </c>
      <c r="L161" s="2369"/>
      <c r="M161" s="2355"/>
      <c r="N161" s="2355"/>
      <c r="O161" s="2375">
        <f>'Part I-Project Information'!O150</f>
        <v>0</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4736</v>
      </c>
      <c r="D168" s="2350"/>
      <c r="E168" s="2350"/>
      <c r="F168" s="2350"/>
      <c r="G168" s="2350"/>
      <c r="H168" s="2399">
        <f>'Part I-Project Information'!H157</f>
        <v>0</v>
      </c>
      <c r="I168" s="2356"/>
      <c r="J168" s="2414" t="s">
        <v>3751</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t="str">
        <f>'Part I-Project Information'!I163</f>
        <v>No</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2036</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4737</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2863</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f>'Part I-Project Information'!P175</f>
        <v>0</v>
      </c>
    </row>
    <row r="187" spans="1:16" ht="13.5">
      <c r="A187" s="2348"/>
      <c r="B187" s="2348"/>
      <c r="C187" s="2350" t="s">
        <v>1297</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44211</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f>'Part I-Project Information'!A186</f>
        <v>0</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2018-037 Myrtle Terraces Phase 2,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4516</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4313</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BJS Lovejoy Place,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Philip E. Searles</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5030 Nesbit Ferry Lane</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Manager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Sandy Springs</v>
      </c>
      <c r="I210" s="2350">
        <f>'Part II-Development Team'!I7</f>
        <v>0</v>
      </c>
      <c r="J210" s="2350">
        <f>'Part II-Development Team'!J7</f>
        <v>0</v>
      </c>
      <c r="K210" s="2355" t="s">
        <v>770</v>
      </c>
      <c r="L210" s="2350">
        <f>'Part II-Development Team'!L7</f>
        <v>0</v>
      </c>
      <c r="M210" s="2350">
        <f>'Part II-Development Team'!M7</f>
        <v>0</v>
      </c>
      <c r="N210" s="2350">
        <f>'Part II-Development Team'!N7</f>
        <v>0</v>
      </c>
      <c r="O210" s="2358" t="s">
        <v>1734</v>
      </c>
      <c r="P210" s="2350"/>
      <c r="Q210" s="2371">
        <f>'Part II-Development Team'!Q7</f>
        <v>0</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GA</v>
      </c>
      <c r="I211" s="2355" t="s">
        <v>2245</v>
      </c>
      <c r="J211" s="2370">
        <f>'Part II-Development Team'!J8</f>
        <v>303501116</v>
      </c>
      <c r="K211" s="2370">
        <f>'Part II-Development Team'!K8</f>
        <v>0</v>
      </c>
      <c r="L211" s="2350" t="s">
        <v>3713</v>
      </c>
      <c r="M211" s="2350">
        <f>'Part II-Development Team'!M8</f>
        <v>0</v>
      </c>
      <c r="N211" s="2350">
        <f>'Part II-Development Team'!N8</f>
        <v>0</v>
      </c>
      <c r="O211" s="2358" t="s">
        <v>1995</v>
      </c>
      <c r="P211" s="2350"/>
      <c r="Q211" s="2371">
        <f>'Part II-Development Team'!Q8</f>
        <v>6784676861</v>
      </c>
      <c r="R211" s="2371">
        <f>'Part II-Development Team'!R8</f>
        <v>0</v>
      </c>
      <c r="S211" s="2371">
        <f>'Part II-Development Team'!S8</f>
        <v>0</v>
      </c>
    </row>
    <row r="212" spans="1:19">
      <c r="A212" s="2350"/>
      <c r="B212" s="2350"/>
      <c r="C212" s="2350"/>
      <c r="D212" s="2423"/>
      <c r="E212" s="2358" t="s">
        <v>4314</v>
      </c>
      <c r="F212" s="2350"/>
      <c r="G212" s="2350"/>
      <c r="H212" s="2371">
        <f>'Part II-Development Team'!H9</f>
        <v>6784676861</v>
      </c>
      <c r="I212" s="2371">
        <f>'Part II-Development Team'!I9</f>
        <v>0</v>
      </c>
      <c r="J212" s="2375">
        <f>'Part II-Development Team'!J9</f>
        <v>0</v>
      </c>
      <c r="K212" s="2355" t="s">
        <v>2000</v>
      </c>
      <c r="L212" s="2366" t="str">
        <f>'Part II-Development Team'!L9</f>
        <v>psearles@bjsfoundation.org</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4313</v>
      </c>
      <c r="F213" s="2350"/>
      <c r="G213" s="2350"/>
      <c r="H213" s="2415"/>
      <c r="I213" s="2350"/>
      <c r="J213" s="2350"/>
      <c r="K213" s="2362"/>
      <c r="L213" s="2350"/>
      <c r="M213" s="2350"/>
      <c r="N213" s="2347" t="s">
        <v>4541</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BJS Lovejoy General,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Philip E. Searles</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5030 Nesbit Ferry Lane</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Manager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Sandy Springs</v>
      </c>
      <c r="I219" s="2350">
        <f>'Part II-Development Team'!I16</f>
        <v>0</v>
      </c>
      <c r="J219" s="2350">
        <f>'Part II-Development Team'!J16</f>
        <v>0</v>
      </c>
      <c r="K219" s="2355" t="s">
        <v>2722</v>
      </c>
      <c r="L219" s="2350" t="str">
        <f>'Part II-Development Team'!L16</f>
        <v>www.bjsfoundation.org</v>
      </c>
      <c r="M219" s="2350">
        <f>'Part II-Development Team'!M16</f>
        <v>0</v>
      </c>
      <c r="N219" s="2350">
        <f>'Part II-Development Team'!N16</f>
        <v>0</v>
      </c>
      <c r="O219" s="2358" t="s">
        <v>1734</v>
      </c>
      <c r="P219" s="2350"/>
      <c r="Q219" s="2371">
        <f>'Part II-Development Team'!Q16</f>
        <v>0</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GA</v>
      </c>
      <c r="I220" s="2350"/>
      <c r="J220" s="2350"/>
      <c r="K220" s="2355" t="s">
        <v>2245</v>
      </c>
      <c r="L220" s="2370">
        <f>'Part II-Development Team'!L17</f>
        <v>303501116</v>
      </c>
      <c r="M220" s="2370">
        <f>'Part II-Development Team'!M17</f>
        <v>0</v>
      </c>
      <c r="N220" s="2350"/>
      <c r="O220" s="2358" t="s">
        <v>1995</v>
      </c>
      <c r="P220" s="2350"/>
      <c r="Q220" s="2371">
        <f>'Part II-Development Team'!Q17</f>
        <v>6784676861</v>
      </c>
      <c r="R220" s="2371">
        <f>'Part II-Development Team'!R17</f>
        <v>0</v>
      </c>
      <c r="S220" s="2371">
        <f>'Part II-Development Team'!S17</f>
        <v>0</v>
      </c>
    </row>
    <row r="221" spans="1:19">
      <c r="A221" s="2350"/>
      <c r="B221" s="2350"/>
      <c r="C221" s="2350"/>
      <c r="D221" s="2423"/>
      <c r="E221" s="2358" t="s">
        <v>4314</v>
      </c>
      <c r="F221" s="2350"/>
      <c r="G221" s="2350"/>
      <c r="H221" s="2371">
        <f>'Part II-Development Team'!H18</f>
        <v>0</v>
      </c>
      <c r="I221" s="2371">
        <f>'Part II-Development Team'!I18</f>
        <v>0</v>
      </c>
      <c r="J221" s="2375">
        <f>'Part II-Development Team'!J18</f>
        <v>0</v>
      </c>
      <c r="K221" s="2355" t="s">
        <v>2000</v>
      </c>
      <c r="L221" s="2366" t="str">
        <f>'Part II-Development Team'!L18</f>
        <v>psearles@bjsfoundation.org</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4314</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4314</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4313</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Affordable Equity Partners</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Brian Kimes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206 Peach Way</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Columbia</v>
      </c>
      <c r="I238" s="2350">
        <f>'Part II-Development Team'!I35</f>
        <v>0</v>
      </c>
      <c r="J238" s="2350">
        <f>'Part II-Development Team'!J35</f>
        <v>0</v>
      </c>
      <c r="K238" s="2355" t="s">
        <v>2722</v>
      </c>
      <c r="L238" s="2350">
        <f>'Part II-Development Team'!L35</f>
        <v>0</v>
      </c>
      <c r="M238" s="2350">
        <f>'Part II-Development Team'!M35</f>
        <v>0</v>
      </c>
      <c r="N238" s="2350">
        <f>'Part II-Development Team'!N35</f>
        <v>0</v>
      </c>
      <c r="O238" s="2358" t="s">
        <v>1734</v>
      </c>
      <c r="P238" s="2350"/>
      <c r="Q238" s="2371">
        <f>'Part II-Development Team'!Q35</f>
        <v>5734432021</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MO</v>
      </c>
      <c r="I239" s="2350"/>
      <c r="J239" s="2350"/>
      <c r="K239" s="2355" t="s">
        <v>2245</v>
      </c>
      <c r="L239" s="2370">
        <f>'Part II-Development Team'!L36</f>
        <v>652034905</v>
      </c>
      <c r="M239" s="2370">
        <f>'Part II-Development Team'!M36</f>
        <v>0</v>
      </c>
      <c r="N239" s="2350"/>
      <c r="O239" s="2358" t="s">
        <v>1995</v>
      </c>
      <c r="P239" s="2350"/>
      <c r="Q239" s="2371">
        <f>'Part II-Development Team'!Q36</f>
        <v>5734248811</v>
      </c>
      <c r="R239" s="2371">
        <f>'Part II-Development Team'!R36</f>
        <v>0</v>
      </c>
      <c r="S239" s="2371">
        <f>'Part II-Development Team'!S36</f>
        <v>0</v>
      </c>
    </row>
    <row r="240" spans="1:19">
      <c r="A240" s="2350"/>
      <c r="B240" s="2350"/>
      <c r="C240" s="2350"/>
      <c r="D240" s="2423"/>
      <c r="E240" s="2358" t="s">
        <v>4314</v>
      </c>
      <c r="F240" s="2350"/>
      <c r="G240" s="2350"/>
      <c r="H240" s="2371">
        <f>'Part II-Development Team'!H37</f>
        <v>5734432021</v>
      </c>
      <c r="I240" s="2371">
        <f>'Part II-Development Team'!I37</f>
        <v>0</v>
      </c>
      <c r="J240" s="2375">
        <f>'Part II-Development Team'!J37</f>
        <v>0</v>
      </c>
      <c r="K240" s="2355" t="s">
        <v>2000</v>
      </c>
      <c r="L240" s="2366" t="str">
        <f>'Part II-Development Team'!L37</f>
        <v>bkimes@jespartners.com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Affordable Equity Partners</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Brian Kimes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206 Peach Way</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Columbia</v>
      </c>
      <c r="I244" s="2350">
        <f>'Part II-Development Team'!I41</f>
        <v>0</v>
      </c>
      <c r="J244" s="2350">
        <f>'Part II-Development Team'!J41</f>
        <v>0</v>
      </c>
      <c r="K244" s="2355" t="s">
        <v>2722</v>
      </c>
      <c r="L244" s="2350">
        <f>'Part II-Development Team'!L41</f>
        <v>0</v>
      </c>
      <c r="M244" s="2350">
        <f>'Part II-Development Team'!M41</f>
        <v>0</v>
      </c>
      <c r="N244" s="2350">
        <f>'Part II-Development Team'!N41</f>
        <v>0</v>
      </c>
      <c r="O244" s="2358" t="s">
        <v>1734</v>
      </c>
      <c r="P244" s="2350"/>
      <c r="Q244" s="2371">
        <f>'Part II-Development Team'!Q41</f>
        <v>5734432021</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2245</v>
      </c>
      <c r="L245" s="2370">
        <f>'Part II-Development Team'!L42</f>
        <v>652034905</v>
      </c>
      <c r="M245" s="2370">
        <f>'Part II-Development Team'!M42</f>
        <v>0</v>
      </c>
      <c r="N245" s="2350"/>
      <c r="O245" s="2358" t="s">
        <v>1995</v>
      </c>
      <c r="P245" s="2350"/>
      <c r="Q245" s="2371">
        <f>'Part II-Development Team'!Q42</f>
        <v>5734248811</v>
      </c>
      <c r="R245" s="2371">
        <f>'Part II-Development Team'!R42</f>
        <v>0</v>
      </c>
      <c r="S245" s="2371">
        <f>'Part II-Development Team'!S42</f>
        <v>0</v>
      </c>
    </row>
    <row r="246" spans="1:19">
      <c r="A246" s="2350"/>
      <c r="B246" s="2350"/>
      <c r="C246" s="2350"/>
      <c r="D246" s="2423"/>
      <c r="E246" s="2358" t="s">
        <v>4314</v>
      </c>
      <c r="F246" s="2350"/>
      <c r="G246" s="2350"/>
      <c r="H246" s="2371">
        <f>'Part II-Development Team'!H43</f>
        <v>5734432021</v>
      </c>
      <c r="I246" s="2371">
        <f>'Part II-Development Team'!I43</f>
        <v>0</v>
      </c>
      <c r="J246" s="2375">
        <f>'Part II-Development Team'!J43</f>
        <v>0</v>
      </c>
      <c r="K246" s="2355" t="s">
        <v>2000</v>
      </c>
      <c r="L246" s="2366" t="str">
        <f>'Part II-Development Team'!L43</f>
        <v>bkimes@aepartners.com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4313</v>
      </c>
      <c r="L248" s="2350"/>
      <c r="M248" s="2350"/>
      <c r="N248" s="2350"/>
      <c r="O248" s="2350"/>
      <c r="P248" s="2350"/>
      <c r="Q248" s="2350"/>
      <c r="R248" s="2350"/>
      <c r="S248" s="2350"/>
    </row>
    <row r="249" spans="1:19">
      <c r="A249" s="2350"/>
      <c r="B249" s="2350"/>
      <c r="C249" s="2350"/>
      <c r="D249" s="2350"/>
      <c r="E249" s="2350" t="s">
        <v>93</v>
      </c>
      <c r="F249" s="2350"/>
      <c r="G249" s="2350"/>
      <c r="H249" s="2350" t="str">
        <f>'Part II-Development Team'!H46</f>
        <v>Beverly J. Searles Foundation</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t="str">
        <f>'Part II-Development Team'!Q46</f>
        <v>Richard D. Searles</v>
      </c>
      <c r="R249" s="2350">
        <f>'Part II-Development Team'!R46</f>
        <v>0</v>
      </c>
      <c r="S249" s="2350">
        <f>'Part II-Development Team'!S46</f>
        <v>0</v>
      </c>
    </row>
    <row r="250" spans="1:19">
      <c r="A250" s="2350"/>
      <c r="B250" s="2350"/>
      <c r="C250" s="2350"/>
      <c r="D250" s="2423"/>
      <c r="E250" s="2358" t="s">
        <v>1031</v>
      </c>
      <c r="F250" s="2361"/>
      <c r="G250" s="2350"/>
      <c r="H250" s="2350" t="str">
        <f>'Part II-Development Team'!H47</f>
        <v>4182 Westchester Trace NE</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t="str">
        <f>'Part II-Development Team'!Q47</f>
        <v>Executive Director</v>
      </c>
      <c r="R250" s="2350">
        <f>'Part II-Development Team'!R47</f>
        <v>0</v>
      </c>
      <c r="S250" s="2350">
        <f>'Part II-Development Team'!S47</f>
        <v>0</v>
      </c>
    </row>
    <row r="251" spans="1:19">
      <c r="A251" s="2350"/>
      <c r="B251" s="2350"/>
      <c r="C251" s="2350"/>
      <c r="D251" s="2423"/>
      <c r="E251" s="2358" t="s">
        <v>624</v>
      </c>
      <c r="F251" s="2350"/>
      <c r="G251" s="2350"/>
      <c r="H251" s="2350" t="str">
        <f>'Part II-Development Team'!H48</f>
        <v>Roswell</v>
      </c>
      <c r="I251" s="2350">
        <f>'Part II-Development Team'!I48</f>
        <v>0</v>
      </c>
      <c r="J251" s="2350">
        <f>'Part II-Development Team'!J48</f>
        <v>0</v>
      </c>
      <c r="K251" s="2355" t="s">
        <v>2722</v>
      </c>
      <c r="L251" s="2350" t="str">
        <f>'Part II-Development Team'!L48</f>
        <v>www.bjsfoundation.org</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t="str">
        <f>'Part II-Development Team'!H49</f>
        <v>GA</v>
      </c>
      <c r="I252" s="2350"/>
      <c r="J252" s="2350"/>
      <c r="K252" s="2355" t="s">
        <v>2245</v>
      </c>
      <c r="L252" s="2370">
        <f>'Part II-Development Team'!L49</f>
        <v>300751950</v>
      </c>
      <c r="M252" s="2370">
        <f>'Part II-Development Team'!M49</f>
        <v>0</v>
      </c>
      <c r="N252" s="2350"/>
      <c r="O252" s="2358" t="s">
        <v>1995</v>
      </c>
      <c r="P252" s="2350"/>
      <c r="Q252" s="2371">
        <f>'Part II-Development Team'!Q49</f>
        <v>4044065219</v>
      </c>
      <c r="R252" s="2371">
        <f>'Part II-Development Team'!R49</f>
        <v>0</v>
      </c>
      <c r="S252" s="2371">
        <f>'Part II-Development Team'!S49</f>
        <v>0</v>
      </c>
    </row>
    <row r="253" spans="1:19">
      <c r="A253" s="2350"/>
      <c r="B253" s="2350"/>
      <c r="C253" s="2350"/>
      <c r="D253" s="2423"/>
      <c r="E253" s="2358" t="s">
        <v>4314</v>
      </c>
      <c r="F253" s="2350"/>
      <c r="G253" s="2350"/>
      <c r="H253" s="2371">
        <f>'Part II-Development Team'!H50</f>
        <v>0</v>
      </c>
      <c r="I253" s="2371">
        <f>'Part II-Development Team'!I50</f>
        <v>0</v>
      </c>
      <c r="J253" s="2375">
        <f>'Part II-Development Team'!J50</f>
        <v>0</v>
      </c>
      <c r="K253" s="2355" t="s">
        <v>2000</v>
      </c>
      <c r="L253" s="2366" t="str">
        <f>'Part II-Development Team'!L50</f>
        <v>ricksearles@crtrealty.com</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4313</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Beverly J. Searles Foundation</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Philip E. Searles</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4182 Westchester Trace NE</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Roswell</v>
      </c>
      <c r="I259" s="2350">
        <f>'Part II-Development Team'!I56</f>
        <v>0</v>
      </c>
      <c r="J259" s="2350">
        <f>'Part II-Development Team'!J56</f>
        <v>0</v>
      </c>
      <c r="K259" s="2355" t="s">
        <v>2722</v>
      </c>
      <c r="L259" s="2350" t="str">
        <f>'Part II-Development Team'!L56</f>
        <v>www.bjsfoundation.org</v>
      </c>
      <c r="M259" s="2350">
        <f>'Part II-Development Team'!M56</f>
        <v>0</v>
      </c>
      <c r="N259" s="2350">
        <f>'Part II-Development Team'!N56</f>
        <v>0</v>
      </c>
      <c r="O259" s="2358" t="s">
        <v>1734</v>
      </c>
      <c r="P259" s="2350"/>
      <c r="Q259" s="2371">
        <f>'Part II-Development Team'!Q56</f>
        <v>0</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GA</v>
      </c>
      <c r="I260" s="2350"/>
      <c r="J260" s="2350"/>
      <c r="K260" s="2355" t="s">
        <v>2245</v>
      </c>
      <c r="L260" s="2370">
        <f>'Part II-Development Team'!L57</f>
        <v>300751950</v>
      </c>
      <c r="M260" s="2370">
        <f>'Part II-Development Team'!M57</f>
        <v>0</v>
      </c>
      <c r="N260" s="2350"/>
      <c r="O260" s="2358" t="s">
        <v>1995</v>
      </c>
      <c r="P260" s="2350"/>
      <c r="Q260" s="2371">
        <f>'Part II-Development Team'!Q57</f>
        <v>6784676861</v>
      </c>
      <c r="R260" s="2371">
        <f>'Part II-Development Team'!R57</f>
        <v>0</v>
      </c>
      <c r="S260" s="2371">
        <f>'Part II-Development Team'!S57</f>
        <v>0</v>
      </c>
    </row>
    <row r="261" spans="1:19">
      <c r="A261" s="2350"/>
      <c r="B261" s="2350"/>
      <c r="C261" s="2350"/>
      <c r="D261" s="2423"/>
      <c r="E261" s="2358" t="s">
        <v>4314</v>
      </c>
      <c r="F261" s="2350"/>
      <c r="G261" s="2350"/>
      <c r="H261" s="2371">
        <f>'Part II-Development Team'!H58</f>
        <v>0</v>
      </c>
      <c r="I261" s="2371">
        <f>'Part II-Development Team'!I58</f>
        <v>0</v>
      </c>
      <c r="J261" s="2375">
        <f>'Part II-Development Team'!J58</f>
        <v>0</v>
      </c>
      <c r="K261" s="2355" t="s">
        <v>2000</v>
      </c>
      <c r="L261" s="2366" t="str">
        <f>'Part II-Development Team'!L58</f>
        <v>psearles@bjsfoundation.org</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4314</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4314</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4314</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4313</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4314</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Fairway Construction,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Steven Hickey</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3290 Northside Parkway, Suite 300</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Director of Accounting and Operations</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Atlanta</v>
      </c>
      <c r="I291" s="2350">
        <f>'Part II-Development Team'!I88</f>
        <v>0</v>
      </c>
      <c r="J291" s="2350">
        <f>'Part II-Development Team'!J88</f>
        <v>0</v>
      </c>
      <c r="K291" s="2355" t="s">
        <v>2722</v>
      </c>
      <c r="L291" s="2350">
        <f>'Part II-Development Team'!L88</f>
        <v>0</v>
      </c>
      <c r="M291" s="2350">
        <f>'Part II-Development Team'!M88</f>
        <v>0</v>
      </c>
      <c r="N291" s="2350">
        <f>'Part II-Development Team'!N88</f>
        <v>0</v>
      </c>
      <c r="O291" s="2358" t="s">
        <v>1734</v>
      </c>
      <c r="P291" s="2350"/>
      <c r="Q291" s="2371">
        <f>'Part II-Development Team'!Q88</f>
        <v>5734432021</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GA</v>
      </c>
      <c r="I292" s="2350"/>
      <c r="J292" s="2350"/>
      <c r="K292" s="2355" t="s">
        <v>2245</v>
      </c>
      <c r="L292" s="2370">
        <f>'Part II-Development Team'!L89</f>
        <v>303272216</v>
      </c>
      <c r="M292" s="2370">
        <f>'Part II-Development Team'!M89</f>
        <v>0</v>
      </c>
      <c r="N292" s="2350"/>
      <c r="O292" s="2358" t="s">
        <v>1995</v>
      </c>
      <c r="P292" s="2350"/>
      <c r="Q292" s="2371">
        <f>'Part II-Development Team'!Q89</f>
        <v>0</v>
      </c>
      <c r="R292" s="2371">
        <f>'Part II-Development Team'!R89</f>
        <v>0</v>
      </c>
      <c r="S292" s="2371">
        <f>'Part II-Development Team'!S89</f>
        <v>0</v>
      </c>
    </row>
    <row r="293" spans="1:19">
      <c r="A293" s="2350"/>
      <c r="B293" s="2350"/>
      <c r="C293" s="2350"/>
      <c r="D293" s="2423"/>
      <c r="E293" s="2358" t="s">
        <v>4314</v>
      </c>
      <c r="F293" s="2350"/>
      <c r="G293" s="2350"/>
      <c r="H293" s="2371">
        <f>'Part II-Development Team'!H90</f>
        <v>5734432021</v>
      </c>
      <c r="I293" s="2371">
        <f>'Part II-Development Team'!I90</f>
        <v>0</v>
      </c>
      <c r="J293" s="2375">
        <f>'Part II-Development Team'!J90</f>
        <v>0</v>
      </c>
      <c r="K293" s="2355" t="s">
        <v>2000</v>
      </c>
      <c r="L293" s="2366" t="str">
        <f>'Part II-Development Team'!L90</f>
        <v>shickey@fairwayconstruction.net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Fairway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Ryan Stevens</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3290 Northside Parkway, Suite 300</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Director of Operations</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Atlanta</v>
      </c>
      <c r="I297" s="2350">
        <f>'Part II-Development Team'!I94</f>
        <v>0</v>
      </c>
      <c r="J297" s="2350">
        <f>'Part II-Development Team'!J94</f>
        <v>0</v>
      </c>
      <c r="K297" s="2355" t="s">
        <v>2722</v>
      </c>
      <c r="L297" s="2350">
        <f>'Part II-Development Team'!L94</f>
        <v>0</v>
      </c>
      <c r="M297" s="2350">
        <f>'Part II-Development Team'!M94</f>
        <v>0</v>
      </c>
      <c r="N297" s="2350">
        <f>'Part II-Development Team'!N94</f>
        <v>0</v>
      </c>
      <c r="O297" s="2358" t="s">
        <v>1734</v>
      </c>
      <c r="P297" s="2350"/>
      <c r="Q297" s="2371">
        <f>'Part II-Development Team'!Q94</f>
        <v>5734432021</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GA</v>
      </c>
      <c r="I298" s="2350"/>
      <c r="J298" s="2350"/>
      <c r="K298" s="2355" t="s">
        <v>2245</v>
      </c>
      <c r="L298" s="2370">
        <f>'Part II-Development Team'!L95</f>
        <v>303272216</v>
      </c>
      <c r="M298" s="2370">
        <f>'Part II-Development Team'!M95</f>
        <v>0</v>
      </c>
      <c r="N298" s="2350"/>
      <c r="O298" s="2358" t="s">
        <v>1995</v>
      </c>
      <c r="P298" s="2350"/>
      <c r="Q298" s="2371">
        <f>'Part II-Development Team'!Q95</f>
        <v>5732683474</v>
      </c>
      <c r="R298" s="2371">
        <f>'Part II-Development Team'!R95</f>
        <v>0</v>
      </c>
      <c r="S298" s="2371">
        <f>'Part II-Development Team'!S95</f>
        <v>0</v>
      </c>
    </row>
    <row r="299" spans="1:19">
      <c r="A299" s="2350"/>
      <c r="B299" s="2350"/>
      <c r="C299" s="2350"/>
      <c r="D299" s="2423"/>
      <c r="E299" s="2358" t="s">
        <v>4314</v>
      </c>
      <c r="F299" s="2350"/>
      <c r="G299" s="2350"/>
      <c r="H299" s="2371">
        <f>'Part II-Development Team'!H96</f>
        <v>5734432021</v>
      </c>
      <c r="I299" s="2371">
        <f>'Part II-Development Team'!I96</f>
        <v>0</v>
      </c>
      <c r="J299" s="2375">
        <f>'Part II-Development Team'!J96</f>
        <v>0</v>
      </c>
      <c r="K299" s="2355" t="s">
        <v>2000</v>
      </c>
      <c r="L299" s="2366" t="str">
        <f>'Part II-Development Team'!L96</f>
        <v>rstevens@fairwaymanagement.com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Greg Clark</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 xml:space="preserve">910 N Patterson St </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2722</v>
      </c>
      <c r="L303" s="2350" t="str">
        <f>'Part II-Development Team'!L100</f>
        <v>www.colemantalley.com</v>
      </c>
      <c r="M303" s="2350">
        <f>'Part II-Development Team'!M100</f>
        <v>0</v>
      </c>
      <c r="N303" s="2350">
        <f>'Part II-Development Team'!N100</f>
        <v>0</v>
      </c>
      <c r="O303" s="2358" t="s">
        <v>1734</v>
      </c>
      <c r="P303" s="2350"/>
      <c r="Q303" s="2371">
        <f>'Part II-Development Team'!Q100</f>
        <v>2296718260</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316010000</v>
      </c>
      <c r="M304" s="2370">
        <f>'Part II-Development Team'!M101</f>
        <v>0</v>
      </c>
      <c r="N304" s="2350"/>
      <c r="O304" s="2358" t="s">
        <v>1995</v>
      </c>
      <c r="P304" s="2350"/>
      <c r="Q304" s="2371">
        <f>'Part II-Development Team'!Q101</f>
        <v>0</v>
      </c>
      <c r="R304" s="2371">
        <f>'Part II-Development Team'!R101</f>
        <v>0</v>
      </c>
      <c r="S304" s="2371">
        <f>'Part II-Development Team'!S101</f>
        <v>0</v>
      </c>
    </row>
    <row r="305" spans="1:19">
      <c r="A305" s="2357"/>
      <c r="B305" s="2357"/>
      <c r="C305" s="2357"/>
      <c r="D305" s="2357"/>
      <c r="E305" s="2358" t="s">
        <v>4314</v>
      </c>
      <c r="F305" s="2350"/>
      <c r="G305" s="2350"/>
      <c r="H305" s="2371">
        <f>'Part II-Development Team'!H102</f>
        <v>2296718260</v>
      </c>
      <c r="I305" s="2371">
        <f>'Part II-Development Team'!I102</f>
        <v>0</v>
      </c>
      <c r="J305" s="2375">
        <f>'Part II-Development Team'!J102</f>
        <v>0</v>
      </c>
      <c r="K305" s="2355" t="s">
        <v>2000</v>
      </c>
      <c r="L305" s="2366" t="str">
        <f>'Part II-Development Team'!L102</f>
        <v>greg.clark@colemantalley.com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Aprio, LLP</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Alison Fossyl</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Five Concourse Parkway Suite 1000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Atlanta</v>
      </c>
      <c r="I309" s="2350">
        <f>'Part II-Development Team'!I106</f>
        <v>0</v>
      </c>
      <c r="J309" s="2350">
        <f>'Part II-Development Team'!J106</f>
        <v>0</v>
      </c>
      <c r="K309" s="2355" t="s">
        <v>2722</v>
      </c>
      <c r="L309" s="2350" t="str">
        <f>'Part II-Development Team'!L106</f>
        <v>www.aprio.com</v>
      </c>
      <c r="M309" s="2350">
        <f>'Part II-Development Team'!M106</f>
        <v>0</v>
      </c>
      <c r="N309" s="2350">
        <f>'Part II-Development Team'!N106</f>
        <v>0</v>
      </c>
      <c r="O309" s="2358" t="s">
        <v>1734</v>
      </c>
      <c r="P309" s="2350"/>
      <c r="Q309" s="2371">
        <f>'Part II-Development Team'!Q106</f>
        <v>7703513271</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2245</v>
      </c>
      <c r="L310" s="2370">
        <f>'Part II-Development Team'!L107</f>
        <v>303286132</v>
      </c>
      <c r="M310" s="2370">
        <f>'Part II-Development Team'!M107</f>
        <v>0</v>
      </c>
      <c r="N310" s="2350"/>
      <c r="O310" s="2358" t="s">
        <v>1995</v>
      </c>
      <c r="P310" s="2350"/>
      <c r="Q310" s="2371">
        <f>'Part II-Development Team'!Q107</f>
        <v>4043142857</v>
      </c>
      <c r="R310" s="2371">
        <f>'Part II-Development Team'!R107</f>
        <v>0</v>
      </c>
      <c r="S310" s="2371">
        <f>'Part II-Development Team'!S107</f>
        <v>0</v>
      </c>
    </row>
    <row r="311" spans="1:19">
      <c r="A311" s="2357"/>
      <c r="B311" s="2357"/>
      <c r="C311" s="2357"/>
      <c r="D311" s="2357"/>
      <c r="E311" s="2358" t="s">
        <v>4314</v>
      </c>
      <c r="F311" s="2350"/>
      <c r="G311" s="2350"/>
      <c r="H311" s="2371">
        <f>'Part II-Development Team'!H108</f>
        <v>7703537115</v>
      </c>
      <c r="I311" s="2371">
        <f>'Part II-Development Team'!I108</f>
        <v>0</v>
      </c>
      <c r="J311" s="2375">
        <f>'Part II-Development Team'!J108</f>
        <v>0</v>
      </c>
      <c r="K311" s="2355" t="s">
        <v>2000</v>
      </c>
      <c r="L311" s="2366" t="str">
        <f>'Part II-Development Team'!L108</f>
        <v>alison.fossyl@aprio.com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Martin Riley Associates Architects, P.C.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Mike Riley</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215 Church Street Suite 200</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Principal</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Decatur</v>
      </c>
      <c r="I315" s="2350">
        <f>'Part II-Development Team'!I112</f>
        <v>0</v>
      </c>
      <c r="J315" s="2350">
        <f>'Part II-Development Team'!J112</f>
        <v>0</v>
      </c>
      <c r="K315" s="2355" t="s">
        <v>2722</v>
      </c>
      <c r="L315" s="2350" t="str">
        <f>'Part II-Development Team'!L112</f>
        <v>www.martinriley.com</v>
      </c>
      <c r="M315" s="2350">
        <f>'Part II-Development Team'!M112</f>
        <v>0</v>
      </c>
      <c r="N315" s="2350">
        <f>'Part II-Development Team'!N112</f>
        <v>0</v>
      </c>
      <c r="O315" s="2358" t="s">
        <v>1734</v>
      </c>
      <c r="P315" s="2350"/>
      <c r="Q315" s="2371">
        <f>'Part II-Development Team'!Q112</f>
        <v>4043732800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2245</v>
      </c>
      <c r="L316" s="2370">
        <f>'Part II-Development Team'!L113</f>
        <v>300303330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4314</v>
      </c>
      <c r="F317" s="2350"/>
      <c r="G317" s="2350"/>
      <c r="H317" s="2371">
        <f>'Part II-Development Team'!H114</f>
        <v>4043732800</v>
      </c>
      <c r="I317" s="2371">
        <f>'Part II-Development Team'!I114</f>
        <v>0</v>
      </c>
      <c r="J317" s="2375">
        <f>'Part II-Development Team'!J114</f>
        <v>0</v>
      </c>
      <c r="K317" s="2355" t="s">
        <v>2000</v>
      </c>
      <c r="L317" s="2366" t="str">
        <f>'Part II-Development Team'!L114</f>
        <v>mriley@martinriley.com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4738</v>
      </c>
      <c r="D320" s="2350"/>
      <c r="E320" s="2350"/>
      <c r="F320" s="2350"/>
      <c r="G320" s="2350"/>
      <c r="H320" s="2350" t="str">
        <f>'Part II-Development Team'!H117</f>
        <v>Beverly J. Searles Foundation</v>
      </c>
      <c r="I320" s="2350">
        <f>'Part II-Development Team'!I117</f>
        <v>0</v>
      </c>
      <c r="J320" s="2350">
        <f>'Part II-Development Team'!J117</f>
        <v>0</v>
      </c>
      <c r="K320" s="2355" t="s">
        <v>2490</v>
      </c>
      <c r="L320" s="2350" t="str">
        <f>'Part II-Development Team'!L117</f>
        <v>Richard D. Searles</v>
      </c>
      <c r="M320" s="2350">
        <f>'Part II-Development Team'!M117</f>
        <v>0</v>
      </c>
      <c r="N320" s="2350">
        <f>'Part II-Development Team'!N117</f>
        <v>0</v>
      </c>
      <c r="O320" s="2358" t="s">
        <v>3602</v>
      </c>
      <c r="P320" s="2350"/>
      <c r="Q320" s="2350" t="str">
        <f>'Part II-Development Team'!Q117</f>
        <v>(404) 406-5219</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4182 Westchester Trace NE</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Roswell</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300751950</v>
      </c>
      <c r="K322" s="2370">
        <f>'Part II-Development Team'!K119</f>
        <v>0</v>
      </c>
      <c r="L322" s="2355" t="s">
        <v>2000</v>
      </c>
      <c r="M322" s="2366" t="str">
        <f>'Part II-Development Team'!M119</f>
        <v>ricksearles@crtrealty.com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3910</v>
      </c>
      <c r="B324" s="2429"/>
      <c r="C324" s="2429"/>
      <c r="D324" s="2429"/>
      <c r="E324" s="2429"/>
      <c r="F324" s="2375" t="s">
        <v>2527</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2854</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2920</v>
      </c>
      <c r="E326" s="2346"/>
      <c r="F326" s="2431" t="str">
        <f>'Part II-Development Team'!F123</f>
        <v>Yes</v>
      </c>
      <c r="G326" s="2432" t="str">
        <f>'Part II-Development Team'!G123</f>
        <v>The BJS Foundation owns the land for this phase.  We have engaged Huber &amp; Associates to provide an appraisal for the land purchase and will sell the land for appraised value or less.</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2896</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2855</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3488</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3489</v>
      </c>
      <c r="E330" s="2346"/>
      <c r="F330" s="2431" t="str">
        <f>'Part II-Development Team'!F127</f>
        <v>Yes</v>
      </c>
      <c r="G330" s="2432" t="str">
        <f>'Part II-Development Team'!G127</f>
        <v>FWC is a JES Holdings Company, as is Affordable Equity Partners.</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2856</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Syndicator and Manager</v>
      </c>
      <c r="E332" s="2346">
        <f>'Part II-Development Team'!E129</f>
        <v>0</v>
      </c>
      <c r="F332" s="2431" t="str">
        <f>'Part II-Development Team'!F129</f>
        <v>Yes</v>
      </c>
      <c r="G332" s="2432" t="str">
        <f>'Part II-Development Team'!G129</f>
        <v>FWM is a JES Holdings Company, as is Affordable Equity Partners.</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4739</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3469</v>
      </c>
      <c r="F336" s="2346"/>
      <c r="G336" s="2346"/>
      <c r="H336" s="2346"/>
      <c r="I336" s="2346"/>
      <c r="J336" s="2346" t="s">
        <v>3470</v>
      </c>
      <c r="K336" s="2433" t="s">
        <v>4740</v>
      </c>
      <c r="L336" s="2433" t="s">
        <v>4741</v>
      </c>
      <c r="M336" s="2433" t="s">
        <v>4742</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4743</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t="str">
        <f>'Part II-Development Team'!I143</f>
        <v>No</v>
      </c>
      <c r="J346" s="2431" t="str">
        <f>'Part II-Development Team'!J143</f>
        <v>No</v>
      </c>
      <c r="K346" s="2436" t="str">
        <f>'Part II-Development Team'!K143</f>
        <v>Nonprofit</v>
      </c>
      <c r="L346" s="2437">
        <f>'Part II-Development Team'!L143</f>
        <v>0</v>
      </c>
      <c r="M346" s="2431" t="str">
        <f>'Part II-Development Team'!M143</f>
        <v>No</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Nonprofit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2018-037 Myrtle Terraces Phase 2, Gainesville, Hall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f>'Part III-Sources of Funds'!H5</f>
        <v>0</v>
      </c>
      <c r="I368" s="2358" t="s">
        <v>1549</v>
      </c>
      <c r="J368" s="2362"/>
      <c r="K368" s="2362"/>
      <c r="L368" s="2355">
        <f>'Part III-Sources of Funds'!L5</f>
        <v>0</v>
      </c>
      <c r="M368" s="2350" t="s">
        <v>3917</v>
      </c>
      <c r="N368" s="2362"/>
      <c r="O368" s="2362"/>
      <c r="P368" s="2362"/>
      <c r="Q368" s="2362"/>
    </row>
    <row r="369" spans="1:17" ht="13.5">
      <c r="A369" s="2348"/>
      <c r="B369" s="2355">
        <f>'Part III-Sources of Funds'!B6</f>
        <v>0</v>
      </c>
      <c r="C369" s="2358" t="s">
        <v>555</v>
      </c>
      <c r="D369" s="2350"/>
      <c r="E369" s="2362"/>
      <c r="F369" s="2362"/>
      <c r="G369" s="2362"/>
      <c r="H369" s="2355">
        <f>'Part III-Sources of Funds'!H6</f>
        <v>0</v>
      </c>
      <c r="I369" s="2358" t="s">
        <v>554</v>
      </c>
      <c r="J369" s="2362"/>
      <c r="K369" s="2362"/>
      <c r="L369" s="2355">
        <f>'Part III-Sources of Funds'!L6</f>
        <v>0</v>
      </c>
      <c r="M369" s="2358" t="s">
        <v>2618</v>
      </c>
      <c r="N369" s="2362"/>
      <c r="O369" s="2362"/>
      <c r="P369" s="2362"/>
      <c r="Q369" s="2362"/>
    </row>
    <row r="370" spans="1:17" ht="13.5">
      <c r="A370" s="2350"/>
      <c r="B370" s="2355">
        <f>'Part III-Sources of Funds'!B7</f>
        <v>0</v>
      </c>
      <c r="C370" s="2358" t="s">
        <v>3914</v>
      </c>
      <c r="D370" s="2362"/>
      <c r="E370" s="2362"/>
      <c r="F370" s="2408">
        <f>'Part III-Sources of Funds'!F7</f>
        <v>0</v>
      </c>
      <c r="G370" s="2408">
        <f>'Part III-Sources of Funds'!G7</f>
        <v>0</v>
      </c>
      <c r="H370" s="2355">
        <f>'Part III-Sources of Funds'!H7</f>
        <v>0</v>
      </c>
      <c r="I370" s="2358" t="s">
        <v>3705</v>
      </c>
      <c r="J370" s="2362"/>
      <c r="K370" s="2362"/>
      <c r="L370" s="2355">
        <f>'Part III-Sources of Funds'!L7</f>
        <v>0</v>
      </c>
      <c r="M370" s="2358" t="s">
        <v>2619</v>
      </c>
      <c r="N370" s="2362"/>
      <c r="O370" s="2362"/>
      <c r="P370" s="2362"/>
      <c r="Q370" s="2362"/>
    </row>
    <row r="371" spans="1:17" ht="13.5">
      <c r="A371" s="2348"/>
      <c r="B371" s="2355">
        <f>'Part III-Sources of Funds'!B8</f>
        <v>0</v>
      </c>
      <c r="C371" s="2358" t="s">
        <v>1816</v>
      </c>
      <c r="D371" s="2350"/>
      <c r="E371" s="2362"/>
      <c r="F371" s="2362"/>
      <c r="G371" s="2362"/>
      <c r="H371" s="2355">
        <f>'Part III-Sources of Funds'!H8</f>
        <v>0</v>
      </c>
      <c r="I371" s="2350" t="s">
        <v>2627</v>
      </c>
      <c r="J371" s="2362"/>
      <c r="K371" s="2362"/>
      <c r="L371" s="2355">
        <f>'Part III-Sources of Funds'!L8</f>
        <v>0</v>
      </c>
      <c r="M371" s="2358" t="s">
        <v>3710</v>
      </c>
      <c r="N371" s="2362"/>
      <c r="O371" s="2362"/>
      <c r="P371" s="2362"/>
      <c r="Q371" s="2362"/>
    </row>
    <row r="372" spans="1:17" ht="13.5">
      <c r="A372" s="2348"/>
      <c r="B372" s="2355">
        <f>'Part III-Sources of Funds'!B9</f>
        <v>0</v>
      </c>
      <c r="C372" s="2358" t="s">
        <v>556</v>
      </c>
      <c r="D372" s="2362"/>
      <c r="E372" s="2362"/>
      <c r="F372" s="2362"/>
      <c r="G372" s="2362"/>
      <c r="H372" s="2355">
        <f>'Part III-Sources of Funds'!H9</f>
        <v>0</v>
      </c>
      <c r="I372" s="2350" t="s">
        <v>2625</v>
      </c>
      <c r="J372" s="2362"/>
      <c r="K372" s="2362"/>
      <c r="L372" s="2355">
        <f>'Part III-Sources of Funds'!L9</f>
        <v>0</v>
      </c>
      <c r="M372" s="2358" t="s">
        <v>2626</v>
      </c>
      <c r="N372" s="2362"/>
      <c r="O372" s="2362"/>
      <c r="P372" s="2362"/>
      <c r="Q372" s="2362"/>
    </row>
    <row r="373" spans="1:17" ht="13.5">
      <c r="A373" s="2348"/>
      <c r="B373" s="2355">
        <f>'Part III-Sources of Funds'!B10</f>
        <v>0</v>
      </c>
      <c r="C373" s="2358" t="s">
        <v>3915</v>
      </c>
      <c r="D373" s="2362"/>
      <c r="E373" s="2362"/>
      <c r="F373" s="2362"/>
      <c r="G373" s="2439"/>
      <c r="H373" s="2355">
        <f>'Part III-Sources of Funds'!H10</f>
        <v>0</v>
      </c>
      <c r="I373" s="2350" t="s">
        <v>3745</v>
      </c>
      <c r="J373" s="2346"/>
      <c r="K373" s="2346"/>
      <c r="L373" s="2355">
        <f>'Part III-Sources of Funds'!L10</f>
        <v>0</v>
      </c>
      <c r="M373" s="2358" t="s">
        <v>3747</v>
      </c>
      <c r="N373" s="2362"/>
      <c r="O373" s="2362" t="str">
        <f>'Part III-Sources of Funds'!O10</f>
        <v>Specify Other PBRA Source here</v>
      </c>
      <c r="P373" s="2362">
        <f>'Part III-Sources of Funds'!P10</f>
        <v>0</v>
      </c>
      <c r="Q373" s="2362">
        <f>'Part III-Sources of Funds'!Q10</f>
        <v>0</v>
      </c>
    </row>
    <row r="374" spans="1:17" ht="13.5">
      <c r="A374" s="2348"/>
      <c r="B374" s="2355">
        <f>'Part III-Sources of Funds'!B11</f>
        <v>0</v>
      </c>
      <c r="C374" s="2358" t="s">
        <v>4744</v>
      </c>
      <c r="D374" s="2350"/>
      <c r="E374" s="2440">
        <f>'Part III-Sources of Funds'!E11</f>
        <v>0</v>
      </c>
      <c r="F374" s="2441">
        <f>'Part III-Sources of Funds'!F11</f>
        <v>0</v>
      </c>
      <c r="G374" s="2362"/>
      <c r="H374" s="2355">
        <f>'Part III-Sources of Funds'!H11</f>
        <v>0</v>
      </c>
      <c r="I374" s="2350" t="s">
        <v>3750</v>
      </c>
      <c r="J374" s="2362"/>
      <c r="K374" s="2362"/>
      <c r="L374" s="2355">
        <f>'Part III-Sources of Funds'!L11</f>
        <v>0</v>
      </c>
      <c r="M374" s="2350" t="s">
        <v>3644</v>
      </c>
      <c r="N374" s="2362"/>
      <c r="O374" s="2362"/>
      <c r="P374" s="2362"/>
      <c r="Q374" s="2362"/>
    </row>
    <row r="375" spans="1:17" ht="13.5">
      <c r="A375" s="2348"/>
      <c r="B375" s="2355">
        <f>'Part III-Sources of Funds'!B12</f>
        <v>0</v>
      </c>
      <c r="C375" s="2358" t="s">
        <v>4745</v>
      </c>
      <c r="D375" s="2362"/>
      <c r="E375" s="2440">
        <f>'Part III-Sources of Funds'!E12</f>
        <v>0</v>
      </c>
      <c r="F375" s="2441">
        <f>'Part III-Sources of Funds'!F12</f>
        <v>0</v>
      </c>
      <c r="G375" s="2362"/>
      <c r="H375" s="2355">
        <f>'Part III-Sources of Funds'!H12</f>
        <v>0</v>
      </c>
      <c r="I375" s="2412" t="s">
        <v>2814</v>
      </c>
      <c r="J375" s="2412"/>
      <c r="K375" s="2412"/>
      <c r="L375" s="2355">
        <f>'Part III-Sources of Funds'!L12</f>
        <v>0</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3746</v>
      </c>
      <c r="D376" s="2362"/>
      <c r="E376" s="2362" t="str">
        <f>'Part III-Sources of Funds'!E13</f>
        <v>Specify Other HOME Source here</v>
      </c>
      <c r="F376" s="2362">
        <f>'Part III-Sources of Funds'!F13</f>
        <v>0</v>
      </c>
      <c r="G376" s="2362">
        <f>'Part III-Sources of Funds'!G13</f>
        <v>0</v>
      </c>
      <c r="H376" s="2355">
        <f>'Part III-Sources of Funds'!H13</f>
        <v>0</v>
      </c>
      <c r="I376" s="2358" t="s">
        <v>3916</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3711</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ht="38.25">
      <c r="A382" s="2350"/>
      <c r="B382" s="2350" t="s">
        <v>1603</v>
      </c>
      <c r="C382" s="2350"/>
      <c r="D382" s="2350"/>
      <c r="E382" s="2350"/>
      <c r="F382" s="2350"/>
      <c r="G382" s="2350"/>
      <c r="H382" s="2429" t="str">
        <f>'Part III-Sources of Funds'!H19</f>
        <v>Sterling Bank Construction/Bridge Loan</v>
      </c>
      <c r="I382" s="2429">
        <f>'Part III-Sources of Funds'!I19</f>
        <v>0</v>
      </c>
      <c r="J382" s="2429">
        <f>'Part III-Sources of Funds'!J19</f>
        <v>0</v>
      </c>
      <c r="K382" s="2429">
        <f>'Part III-Sources of Funds'!K19</f>
        <v>0</v>
      </c>
      <c r="L382" s="2365">
        <f>'Part III-Sources of Funds'!L19</f>
        <v>8391776</v>
      </c>
      <c r="M382" s="2365">
        <f>'Part III-Sources of Funds'!M19</f>
        <v>0</v>
      </c>
      <c r="N382" s="2442">
        <f>'Part III-Sources of Funds'!N19</f>
        <v>5.5E-2</v>
      </c>
      <c r="O382" s="2442">
        <f>'Part III-Sources of Funds'!O19</f>
        <v>0</v>
      </c>
      <c r="P382" s="2443">
        <f>'Part III-Sources of Funds'!P19</f>
        <v>36</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Affordable Equity Partners</v>
      </c>
      <c r="I388" s="2429">
        <f>'Part III-Sources of Funds'!I25</f>
        <v>0</v>
      </c>
      <c r="J388" s="2429">
        <f>'Part III-Sources of Funds'!J25</f>
        <v>0</v>
      </c>
      <c r="K388" s="2429">
        <f>'Part III-Sources of Funds'!K25</f>
        <v>0</v>
      </c>
      <c r="L388" s="2365">
        <f>'Part III-Sources of Funds'!L25</f>
        <v>2180722</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Affordable Equity Partners</v>
      </c>
      <c r="I389" s="2429">
        <f>'Part III-Sources of Funds'!I26</f>
        <v>0</v>
      </c>
      <c r="J389" s="2429">
        <f>'Part III-Sources of Funds'!J26</f>
        <v>0</v>
      </c>
      <c r="K389" s="2429">
        <f>'Part III-Sources of Funds'!K26</f>
        <v>0</v>
      </c>
      <c r="L389" s="2365">
        <f>'Part III-Sources of Funds'!L26</f>
        <v>987278</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11559776</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11559776</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Sterling Bank Perm Loan</v>
      </c>
      <c r="F400" s="2429">
        <f>'Part III-Sources of Funds'!F37</f>
        <v>0</v>
      </c>
      <c r="G400" s="2429">
        <f>'Part III-Sources of Funds'!G37</f>
        <v>0</v>
      </c>
      <c r="H400" s="2429">
        <f>'Part III-Sources of Funds'!H37</f>
        <v>0</v>
      </c>
      <c r="I400" s="2386">
        <f>'Part III-Sources of Funds'!I37</f>
        <v>2900000</v>
      </c>
      <c r="J400" s="2350">
        <f>'Part III-Sources of Funds'!J37</f>
        <v>0</v>
      </c>
      <c r="K400" s="2447">
        <f>'Part III-Sources of Funds'!K37</f>
        <v>5.8999999999999997E-2</v>
      </c>
      <c r="L400" s="2355">
        <f>'Part III-Sources of Funds'!L37</f>
        <v>18</v>
      </c>
      <c r="M400" s="2355">
        <f>'Part III-Sources of Funds'!M37</f>
        <v>35</v>
      </c>
      <c r="N400" s="2448">
        <f>'Part III-Sources of Funds'!N37</f>
        <v>196094.52191910031</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IF(OR(I404&lt;=0,I404=""),"",IF(P404="Amortizing",-PMT(K404/12,M404*12,I404,0,0)*12,""))</f>
        <v/>
      </c>
      <c r="O404" s="2448"/>
      <c r="P404" s="2350"/>
      <c r="Q404" s="2350"/>
    </row>
    <row r="405" spans="1:17" ht="38.25">
      <c r="A405" s="2350"/>
      <c r="B405" s="2350" t="s">
        <v>230</v>
      </c>
      <c r="C405" s="2350"/>
      <c r="D405" s="2449">
        <f>'Part III-Sources of Funds'!D42</f>
        <v>5.1546835443037974E-2</v>
      </c>
      <c r="E405" s="2429" t="str">
        <f>'Part III-Sources of Funds'!E42</f>
        <v>Beverly J. Searles Foundation</v>
      </c>
      <c r="F405" s="2429">
        <f>'Part III-Sources of Funds'!F42</f>
        <v>0</v>
      </c>
      <c r="G405" s="2429">
        <f>'Part III-Sources of Funds'!G42</f>
        <v>0</v>
      </c>
      <c r="H405" s="2429">
        <f>'Part III-Sources of Funds'!H42</f>
        <v>0</v>
      </c>
      <c r="I405" s="2386">
        <f>'Part III-Sources of Funds'!I42</f>
        <v>81444</v>
      </c>
      <c r="J405" s="2350">
        <f>'Part III-Sources of Funds'!J42</f>
        <v>0</v>
      </c>
      <c r="K405" s="2447">
        <f>'Part III-Sources of Funds'!K42</f>
        <v>0</v>
      </c>
      <c r="L405" s="2355">
        <f>'Part III-Sources of Funds'!L42</f>
        <v>10</v>
      </c>
      <c r="M405" s="2355">
        <f>'Part III-Sources of Funds'!M42</f>
        <v>10</v>
      </c>
      <c r="N405" s="2448">
        <f>'Part III-Sources of Funds'!N42</f>
        <v>0</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4236</v>
      </c>
      <c r="C407" s="2350"/>
      <c r="D407" s="2362"/>
      <c r="E407" s="2362" t="s">
        <v>4129</v>
      </c>
      <c r="F407" s="2453">
        <f>'Part III-Sources of Funds'!F44</f>
        <v>391984.41329573095</v>
      </c>
      <c r="G407" s="2362"/>
      <c r="H407" s="2439" t="s">
        <v>4235</v>
      </c>
      <c r="I407" s="2453">
        <f>'Part IX A-Scoring Criteria'!O441</f>
        <v>57</v>
      </c>
      <c r="J407" s="2362"/>
      <c r="K407" s="2447"/>
      <c r="L407" s="2355"/>
      <c r="M407" s="2355"/>
      <c r="N407" s="2452"/>
      <c r="O407" s="2452"/>
      <c r="P407" s="2355"/>
      <c r="Q407" s="2355"/>
    </row>
    <row r="408" spans="1:17" ht="13.5">
      <c r="A408" s="2350"/>
      <c r="B408" s="2362" t="s">
        <v>4746</v>
      </c>
      <c r="C408" s="2350"/>
      <c r="D408" s="2449"/>
      <c r="E408" s="2362"/>
      <c r="F408" s="2454">
        <f>'Part III-Sources of Funds'!F45</f>
        <v>0.20777356761518709</v>
      </c>
      <c r="G408" s="2454">
        <f>'Part III-Sources of Funds'!G45</f>
        <v>0</v>
      </c>
      <c r="H408" s="2439" t="s">
        <v>4237</v>
      </c>
      <c r="I408" s="2454">
        <f>'Part III-Sources of Funds'!I45</f>
        <v>0.20777356761518709</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Affordable Equity Partners</v>
      </c>
      <c r="F412" s="2429">
        <f>'Part III-Sources of Funds'!F49</f>
        <v>0</v>
      </c>
      <c r="G412" s="2429">
        <f>'Part III-Sources of Funds'!G49</f>
        <v>0</v>
      </c>
      <c r="H412" s="2429">
        <f>'Part III-Sources of Funds'!H49</f>
        <v>0</v>
      </c>
      <c r="I412" s="2386">
        <f>'Part III-Sources of Funds'!I49</f>
        <v>7269075</v>
      </c>
      <c r="J412" s="2350">
        <f>'Part III-Sources of Funds'!J49</f>
        <v>0</v>
      </c>
      <c r="K412" s="2362"/>
      <c r="L412" s="2457">
        <f>'Part IV-A-Uses of Funds'!$J$175*10*'Part IV-A-Uses of Funds'!$N$168</f>
        <v>7342500</v>
      </c>
      <c r="M412" s="2457"/>
      <c r="N412" s="2458">
        <f>I412-L412</f>
        <v>-73425</v>
      </c>
      <c r="O412" s="2458"/>
      <c r="P412" s="2459" t="s">
        <v>2577</v>
      </c>
      <c r="Q412" s="2350"/>
    </row>
    <row r="413" spans="1:17" ht="38.25">
      <c r="A413" s="2350"/>
      <c r="B413" s="2350" t="s">
        <v>811</v>
      </c>
      <c r="C413" s="2350"/>
      <c r="D413" s="2350"/>
      <c r="E413" s="2429" t="str">
        <f>'Part III-Sources of Funds'!E50</f>
        <v>Affordable Equity Partners</v>
      </c>
      <c r="F413" s="2429">
        <f>'Part III-Sources of Funds'!F50</f>
        <v>0</v>
      </c>
      <c r="G413" s="2429">
        <f>'Part III-Sources of Funds'!G50</f>
        <v>0</v>
      </c>
      <c r="H413" s="2429">
        <f>'Part III-Sources of Funds'!H50</f>
        <v>0</v>
      </c>
      <c r="I413" s="2386">
        <f>'Part III-Sources of Funds'!I50</f>
        <v>3290925</v>
      </c>
      <c r="J413" s="2350">
        <f>'Part III-Sources of Funds'!J50</f>
        <v>0</v>
      </c>
      <c r="K413" s="2362"/>
      <c r="L413" s="2457">
        <f>'Part IV-A-Uses of Funds'!$J$175*10*'Part IV-A-Uses of Funds'!$Q$168</f>
        <v>3217500</v>
      </c>
      <c r="M413" s="2457"/>
      <c r="N413" s="2458">
        <f>I413-L413</f>
        <v>73425</v>
      </c>
      <c r="O413" s="2458"/>
      <c r="P413" s="2460">
        <f>I412/I422</f>
        <v>0.5368020574467538</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0.2430261499438317</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0.77982820739058556</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13541444</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13541444</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The Sterling Bank Perm Debt letter shows $3.1mm however this is a ceiling, not a floor, if Applicant needs to borrow less (as shown) that is not a problem.</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2018-037 Myrtle Terraces Phase 2,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2018-037 Myrtle Terraces Phase 2,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18000</v>
      </c>
      <c r="H444" s="2365">
        <f>'Part IV-A-Uses of Funds'!H8</f>
        <v>0</v>
      </c>
      <c r="I444" s="2350"/>
      <c r="J444" s="2365">
        <f>'Part IV-A-Uses of Funds'!J8</f>
        <v>18000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15000</v>
      </c>
      <c r="H445" s="2365">
        <f>'Part IV-A-Uses of Funds'!H9</f>
        <v>0</v>
      </c>
      <c r="I445" s="2350"/>
      <c r="J445" s="2365">
        <f>'Part IV-A-Uses of Funds'!J9</f>
        <v>15000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16000</v>
      </c>
      <c r="H446" s="2365">
        <f>'Part IV-A-Uses of Funds'!H10</f>
        <v>0</v>
      </c>
      <c r="I446" s="2350"/>
      <c r="J446" s="2365">
        <f>'Part IV-A-Uses of Funds'!J10</f>
        <v>16000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15000</v>
      </c>
      <c r="H447" s="2365">
        <f>'Part IV-A-Uses of Funds'!H11</f>
        <v>0</v>
      </c>
      <c r="I447" s="2350"/>
      <c r="J447" s="2365">
        <f>'Part IV-A-Uses of Funds'!J11</f>
        <v>15000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20000</v>
      </c>
      <c r="H448" s="2365">
        <f>'Part IV-A-Uses of Funds'!H12</f>
        <v>0</v>
      </c>
      <c r="I448" s="2350"/>
      <c r="J448" s="2365">
        <f>'Part IV-A-Uses of Funds'!J12</f>
        <v>20000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84000</v>
      </c>
      <c r="H453" s="2365"/>
      <c r="I453" s="2350"/>
      <c r="J453" s="2365">
        <f>SUM(J444:K452)</f>
        <v>84000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975000</v>
      </c>
      <c r="H455" s="2365">
        <f>'Part IV-A-Uses of Funds'!H19</f>
        <v>0</v>
      </c>
      <c r="I455" s="2350"/>
      <c r="J455" s="2380"/>
      <c r="K455" s="2365"/>
      <c r="L455" s="2380"/>
      <c r="M455" s="2380"/>
      <c r="N455" s="2365"/>
      <c r="O455" s="2350"/>
      <c r="P455" s="2380"/>
      <c r="Q455" s="2365"/>
      <c r="R455" s="2350"/>
      <c r="S455" s="2365">
        <f>'Part IV-A-Uses of Funds'!S19</f>
        <v>975000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975000</v>
      </c>
      <c r="H459" s="2365"/>
      <c r="I459" s="2350"/>
      <c r="J459" s="2380"/>
      <c r="K459" s="2365"/>
      <c r="L459" s="2380"/>
      <c r="M459" s="2365">
        <f>SUM(M457:N458)</f>
        <v>0</v>
      </c>
      <c r="N459" s="2365"/>
      <c r="O459" s="2350"/>
      <c r="P459" s="2380"/>
      <c r="Q459" s="2365"/>
      <c r="R459" s="2350"/>
      <c r="S459" s="2365">
        <f>SUM(S455:T458)</f>
        <v>975000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3753</v>
      </c>
      <c r="F461" s="2416">
        <f>IF('Part I-Project Information'!$O$37="","",G461/'Part I-Project Information'!$O$37)</f>
        <v>144907.74907749076</v>
      </c>
      <c r="G461" s="2365">
        <f>'Part IV-A-Uses of Funds'!G25</f>
        <v>1178100</v>
      </c>
      <c r="H461" s="2365">
        <f>'Part IV-A-Uses of Funds'!H25</f>
        <v>0</v>
      </c>
      <c r="I461" s="2350"/>
      <c r="J461" s="2365">
        <f>'Part IV-A-Uses of Funds'!J25</f>
        <v>1119195</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58905</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1178100</v>
      </c>
      <c r="H463" s="2365"/>
      <c r="I463" s="2350"/>
      <c r="J463" s="2365">
        <f>SUM(J461:K462)</f>
        <v>1119195</v>
      </c>
      <c r="K463" s="2365"/>
      <c r="L463" s="2380"/>
      <c r="M463" s="2365">
        <f>M461</f>
        <v>0</v>
      </c>
      <c r="N463" s="2365"/>
      <c r="O463" s="2350"/>
      <c r="P463" s="2365">
        <f>P461</f>
        <v>0</v>
      </c>
      <c r="Q463" s="2365"/>
      <c r="R463" s="2350"/>
      <c r="S463" s="2365">
        <f>SUM(S461:T462)</f>
        <v>58905</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6307171</v>
      </c>
      <c r="H465" s="2365">
        <f>'Part IV-A-Uses of Funds'!H29</f>
        <v>0</v>
      </c>
      <c r="I465" s="2350"/>
      <c r="J465" s="2365">
        <f>'Part IV-A-Uses of Funds'!J29</f>
        <v>6307171</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6307171</v>
      </c>
      <c r="H469" s="2365"/>
      <c r="I469" s="2350"/>
      <c r="J469" s="2365">
        <f>SUM(J465:K468)</f>
        <v>6307171</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3757</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449116.26</v>
      </c>
      <c r="F471" s="2474" t="e">
        <f>IF(($G$27+$G$33)=0,0,G471/($G$27+$G$33))</f>
        <v>#VALUE!</v>
      </c>
      <c r="G471" s="2365">
        <f>'Part IV-A-Uses of Funds'!G35</f>
        <v>449116</v>
      </c>
      <c r="H471" s="2365">
        <f>'Part IV-A-Uses of Funds'!H35</f>
        <v>0</v>
      </c>
      <c r="I471" s="2357"/>
      <c r="J471" s="2365">
        <f>'Part IV-A-Uses of Funds'!J35</f>
        <v>449116</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149705.42000000001</v>
      </c>
      <c r="F472" s="2474" t="e">
        <f>IF(($G$27+$G$33)=0,0,G472/($G$27+$G$33))</f>
        <v>#VALUE!</v>
      </c>
      <c r="G472" s="2365">
        <f>'Part IV-A-Uses of Funds'!G36</f>
        <v>149705</v>
      </c>
      <c r="H472" s="2365">
        <f>'Part IV-A-Uses of Funds'!H36</f>
        <v>0</v>
      </c>
      <c r="I472" s="2357"/>
      <c r="J472" s="2365">
        <f>'Part IV-A-Uses of Funds'!J36</f>
        <v>149705</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449116.26</v>
      </c>
      <c r="F473" s="2474" t="e">
        <f>IF(($G$27+$G$33)=0,0,G473/($G$27+$G$33))</f>
        <v>#VALUE!</v>
      </c>
      <c r="G473" s="2365">
        <f>'Part IV-A-Uses of Funds'!G37</f>
        <v>449116</v>
      </c>
      <c r="H473" s="2365">
        <f>'Part IV-A-Uses of Funds'!H37</f>
        <v>0</v>
      </c>
      <c r="I473" s="2357"/>
      <c r="J473" s="2365">
        <f>'Part IV-A-Uses of Funds'!J37</f>
        <v>449116</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3758</v>
      </c>
      <c r="C474" s="2350"/>
      <c r="D474" s="2472">
        <f>SUM(D471:D473)</f>
        <v>0.14000000000000001</v>
      </c>
      <c r="E474" s="2476">
        <f>SUM(E471:E473)</f>
        <v>1047937.9400000001</v>
      </c>
      <c r="F474" s="2467" t="s">
        <v>193</v>
      </c>
      <c r="G474" s="2365">
        <f>SUM(G471:H473)</f>
        <v>1047937</v>
      </c>
      <c r="H474" s="2365"/>
      <c r="I474" s="2350"/>
      <c r="J474" s="2365">
        <f>SUM(J471:K473)</f>
        <v>1047937</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4747</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4748</v>
      </c>
      <c r="C479" s="2479"/>
      <c r="D479" s="2350"/>
      <c r="E479" s="2349" t="s">
        <v>2762</v>
      </c>
      <c r="F479" s="2480">
        <f>B480/'Part VI-Revenues &amp; Expenses'!$O$60</f>
        <v>112279.05263157895</v>
      </c>
      <c r="G479" s="2481" t="s">
        <v>4749</v>
      </c>
      <c r="H479" s="2350"/>
      <c r="I479" s="2350"/>
      <c r="J479" s="2482">
        <f>B480/'Part VI-Revenues &amp; Expenses'!$O$62</f>
        <v>112279.05263157895</v>
      </c>
      <c r="K479" s="2482"/>
      <c r="L479" s="2350"/>
      <c r="M479" s="2483" t="s">
        <v>1414</v>
      </c>
      <c r="N479" s="2483"/>
      <c r="O479" s="2350"/>
      <c r="P479" s="2482">
        <f>B480/'Part I-Project Information'!$P$71</f>
        <v>109.94985182321865</v>
      </c>
      <c r="Q479" s="2482"/>
      <c r="R479" s="2350"/>
      <c r="S479" s="2389" t="s">
        <v>2796</v>
      </c>
      <c r="T479" s="2389"/>
      <c r="U479" s="2350"/>
      <c r="V479" s="2464"/>
      <c r="W479" s="1329">
        <f>'Part IV-A-Uses of Funds'!W43</f>
        <v>0</v>
      </c>
      <c r="X479" s="1329">
        <f>'Part IV-A-Uses of Funds'!X43</f>
        <v>0</v>
      </c>
    </row>
    <row r="480" spans="1:24">
      <c r="A480" s="2350"/>
      <c r="B480" s="2484">
        <f>G463+G469+G474+G477</f>
        <v>8533208</v>
      </c>
      <c r="C480" s="2484"/>
      <c r="D480" s="2350"/>
      <c r="E480" s="2349"/>
      <c r="F480" s="2480">
        <f>B480/'Part VI-Revenues &amp; Expenses'!$O$117</f>
        <v>143.15061231337023</v>
      </c>
      <c r="G480" s="2389" t="s">
        <v>4750</v>
      </c>
      <c r="H480" s="2350"/>
      <c r="I480" s="2350"/>
      <c r="J480" s="2482">
        <f>B480/'Part VI-Revenues &amp; Expenses'!$O$119</f>
        <v>143.15061231337023</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4241</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4240</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426660.4</v>
      </c>
      <c r="F483" s="2488">
        <f>G483/B480</f>
        <v>4.9999953124311512E-2</v>
      </c>
      <c r="G483" s="2365">
        <f>'Part IV-A-Uses of Funds'!G47</f>
        <v>426660</v>
      </c>
      <c r="H483" s="2365">
        <f>'Part IV-A-Uses of Funds'!H47</f>
        <v>0</v>
      </c>
      <c r="I483" s="2350"/>
      <c r="J483" s="2365">
        <f>'Part IV-A-Uses of Funds'!J47</f>
        <v>426660</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4751</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3759</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3760</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80000</v>
      </c>
      <c r="H490" s="2365">
        <f>'Part IV-A-Uses of Funds'!H54</f>
        <v>0</v>
      </c>
      <c r="I490" s="2350"/>
      <c r="J490" s="2365">
        <f>'Part IV-A-Uses of Funds'!J54</f>
        <v>80000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250000</v>
      </c>
      <c r="H491" s="2365">
        <f>'Part IV-A-Uses of Funds'!H55</f>
        <v>0</v>
      </c>
      <c r="I491" s="2350"/>
      <c r="J491" s="2365">
        <f>'Part IV-A-Uses of Funds'!J55</f>
        <v>189167</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60833</v>
      </c>
      <c r="T491" s="2365">
        <f>'Part IV-A-Uses of Funds'!T55</f>
        <v>0</v>
      </c>
      <c r="U491" s="2350"/>
      <c r="V491" s="2464"/>
      <c r="W491" s="1329"/>
      <c r="X491" s="1329"/>
    </row>
    <row r="492" spans="1:24">
      <c r="A492" s="2350"/>
      <c r="B492" s="2350" t="s">
        <v>2364</v>
      </c>
      <c r="C492" s="2350"/>
      <c r="D492" s="2350"/>
      <c r="E492" s="2350"/>
      <c r="F492" s="2350"/>
      <c r="G492" s="2365">
        <f>'Part IV-A-Uses of Funds'!G56</f>
        <v>8000</v>
      </c>
      <c r="H492" s="2365">
        <f>'Part IV-A-Uses of Funds'!H56</f>
        <v>0</v>
      </c>
      <c r="I492" s="2350"/>
      <c r="J492" s="2365">
        <f>'Part IV-A-Uses of Funds'!J56</f>
        <v>8000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15000</v>
      </c>
      <c r="H493" s="2365">
        <f>'Part IV-A-Uses of Funds'!H57</f>
        <v>0</v>
      </c>
      <c r="I493" s="2350"/>
      <c r="J493" s="2365">
        <f>'Part IV-A-Uses of Funds'!J57</f>
        <v>15000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12000</v>
      </c>
      <c r="H494" s="2365">
        <f>'Part IV-A-Uses of Funds'!H58</f>
        <v>0</v>
      </c>
      <c r="I494" s="2350"/>
      <c r="J494" s="2365">
        <f>'Part IV-A-Uses of Funds'!J58</f>
        <v>12000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22000</v>
      </c>
      <c r="H495" s="2365">
        <f>'Part IV-A-Uses of Funds'!H59</f>
        <v>0</v>
      </c>
      <c r="I495" s="2350"/>
      <c r="J495" s="2365">
        <f>'Part IV-A-Uses of Funds'!J59</f>
        <v>22000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27000</v>
      </c>
      <c r="H496" s="2365">
        <f>'Part IV-A-Uses of Funds'!H60</f>
        <v>0</v>
      </c>
      <c r="I496" s="2350"/>
      <c r="J496" s="2365">
        <f>'Part IV-A-Uses of Funds'!J60</f>
        <v>27000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414000</v>
      </c>
      <c r="H500" s="2365"/>
      <c r="I500" s="2350"/>
      <c r="J500" s="2365">
        <f>SUM(J488:K499)</f>
        <v>353167</v>
      </c>
      <c r="K500" s="2365"/>
      <c r="L500" s="2380"/>
      <c r="M500" s="2365">
        <f>SUM(M488:N499)</f>
        <v>0</v>
      </c>
      <c r="N500" s="2365"/>
      <c r="O500" s="2350"/>
      <c r="P500" s="2365">
        <f>SUM(P488:Q499)</f>
        <v>0</v>
      </c>
      <c r="Q500" s="2365"/>
      <c r="R500" s="2350"/>
      <c r="S500" s="2365">
        <f>SUM(S488:T499)</f>
        <v>60833</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225000</v>
      </c>
      <c r="H502" s="2365">
        <f>'Part IV-A-Uses of Funds'!H66</f>
        <v>0</v>
      </c>
      <c r="I502" s="2350"/>
      <c r="J502" s="2365">
        <f>'Part IV-A-Uses of Funds'!J66</f>
        <v>225000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30000</v>
      </c>
      <c r="H503" s="2365">
        <f>'Part IV-A-Uses of Funds'!H67</f>
        <v>0</v>
      </c>
      <c r="I503" s="2350"/>
      <c r="J503" s="2365">
        <f>'Part IV-A-Uses of Funds'!J67</f>
        <v>30000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3876</v>
      </c>
      <c r="E504" s="2491">
        <f>'DCA Underwriting Assumptions'!R513</f>
        <v>0</v>
      </c>
      <c r="F504" s="2347" t="str">
        <f>IF(G504&gt;E504,"CHECK!!!","")</f>
        <v/>
      </c>
      <c r="G504" s="2365">
        <f>'Part IV-A-Uses of Funds'!G68</f>
        <v>0</v>
      </c>
      <c r="H504" s="2365">
        <f>'Part IV-A-Uses of Funds'!H68</f>
        <v>0</v>
      </c>
      <c r="I504" s="2350"/>
      <c r="J504" s="2365">
        <f>'Part IV-A-Uses of Funds'!J68</f>
        <v>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24000</v>
      </c>
      <c r="H505" s="2365">
        <f>'Part IV-A-Uses of Funds'!H69</f>
        <v>0</v>
      </c>
      <c r="I505" s="2350"/>
      <c r="J505" s="2365">
        <f>'Part IV-A-Uses of Funds'!J69</f>
        <v>24000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17500</v>
      </c>
      <c r="H506" s="2365">
        <f>'Part IV-A-Uses of Funds'!H70</f>
        <v>0</v>
      </c>
      <c r="I506" s="2350"/>
      <c r="J506" s="2365">
        <f>'Part IV-A-Uses of Funds'!J70</f>
        <v>17500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25000</v>
      </c>
      <c r="H507" s="2365">
        <f>'Part IV-A-Uses of Funds'!H71</f>
        <v>0</v>
      </c>
      <c r="I507" s="2350"/>
      <c r="J507" s="2365">
        <f>'Part IV-A-Uses of Funds'!J71</f>
        <v>25000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75000</v>
      </c>
      <c r="H508" s="2365">
        <f>'Part IV-A-Uses of Funds'!H72</f>
        <v>0</v>
      </c>
      <c r="I508" s="2350"/>
      <c r="J508" s="2365">
        <f>'Part IV-A-Uses of Funds'!J72</f>
        <v>75000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12000</v>
      </c>
      <c r="H509" s="2365">
        <f>'Part IV-A-Uses of Funds'!H73</f>
        <v>0</v>
      </c>
      <c r="I509" s="2350"/>
      <c r="J509" s="2365">
        <f>'Part IV-A-Uses of Funds'!J73</f>
        <v>12000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12500</v>
      </c>
      <c r="H510" s="2365">
        <f>'Part IV-A-Uses of Funds'!H74</f>
        <v>0</v>
      </c>
      <c r="I510" s="2350"/>
      <c r="J510" s="2365">
        <f>'Part IV-A-Uses of Funds'!J74</f>
        <v>12500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15000</v>
      </c>
      <c r="H511" s="2365">
        <f>'Part IV-A-Uses of Funds'!H75</f>
        <v>0</v>
      </c>
      <c r="I511" s="2350"/>
      <c r="J511" s="2365">
        <f>'Part IV-A-Uses of Funds'!J75</f>
        <v>15000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436000</v>
      </c>
      <c r="H513" s="2365"/>
      <c r="I513" s="2350"/>
      <c r="J513" s="2365">
        <f>SUM(J502:K512)</f>
        <v>436000</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3761</v>
      </c>
      <c r="E514" s="2493">
        <f>G519/'Part VI-Revenues &amp; Expenses'!$O$62</f>
        <v>3110.6315789473683</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20000</v>
      </c>
      <c r="H515" s="2365">
        <f>'Part IV-A-Uses of Funds'!H79</f>
        <v>0</v>
      </c>
      <c r="I515" s="2350"/>
      <c r="J515" s="2365">
        <f>'Part IV-A-Uses of Funds'!J79</f>
        <v>20000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120826</v>
      </c>
      <c r="H516" s="2365">
        <f>'Part IV-A-Uses of Funds'!H80</f>
        <v>0</v>
      </c>
      <c r="I516" s="2350"/>
      <c r="J516" s="2365">
        <f>'Part IV-A-Uses of Funds'!J80</f>
        <v>120826</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f>'Part IV-A-Uses of Funds'!E81</f>
        <v>0</v>
      </c>
      <c r="F517" s="2350"/>
      <c r="G517" s="2365">
        <f>'Part IV-A-Uses of Funds'!G81</f>
        <v>35849</v>
      </c>
      <c r="H517" s="2365">
        <f>'Part IV-A-Uses of Funds'!H81</f>
        <v>0</v>
      </c>
      <c r="I517" s="2357"/>
      <c r="J517" s="2365">
        <f>'Part IV-A-Uses of Funds'!J81</f>
        <v>35849</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f>'Part IV-A-Uses of Funds'!E82</f>
        <v>0</v>
      </c>
      <c r="F518" s="2350"/>
      <c r="G518" s="2365">
        <f>'Part IV-A-Uses of Funds'!G82</f>
        <v>59733</v>
      </c>
      <c r="H518" s="2365">
        <f>'Part IV-A-Uses of Funds'!H82</f>
        <v>0</v>
      </c>
      <c r="I518" s="2357"/>
      <c r="J518" s="2365">
        <f>'Part IV-A-Uses of Funds'!J82</f>
        <v>59733</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236408</v>
      </c>
      <c r="H519" s="2365"/>
      <c r="I519" s="2350"/>
      <c r="J519" s="2365">
        <f>SUM(J515:K518)</f>
        <v>236408</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29000</v>
      </c>
      <c r="H521" s="2365">
        <f>'Part IV-A-Uses of Funds'!H85</f>
        <v>0</v>
      </c>
      <c r="I521" s="2350"/>
      <c r="J521" s="2365"/>
      <c r="K521" s="2365"/>
      <c r="L521" s="2380"/>
      <c r="M521" s="2365"/>
      <c r="N521" s="2365"/>
      <c r="O521" s="2350"/>
      <c r="P521" s="2365"/>
      <c r="Q521" s="2365"/>
      <c r="R521" s="2350"/>
      <c r="S521" s="2365">
        <f>'Part IV-A-Uses of Funds'!S85</f>
        <v>29000</v>
      </c>
      <c r="T521" s="2365">
        <f>'Part IV-A-Uses of Funds'!T85</f>
        <v>0</v>
      </c>
      <c r="U521" s="2350"/>
      <c r="V521" s="2464"/>
      <c r="W521" s="1329"/>
      <c r="X521" s="1329"/>
    </row>
    <row r="522" spans="1:24">
      <c r="A522" s="2350"/>
      <c r="B522" s="2350" t="s">
        <v>1287</v>
      </c>
      <c r="C522" s="2350"/>
      <c r="D522" s="2350"/>
      <c r="E522" s="2350"/>
      <c r="F522" s="2350"/>
      <c r="G522" s="2365">
        <f>'Part IV-A-Uses of Funds'!G86</f>
        <v>8000</v>
      </c>
      <c r="H522" s="2365">
        <f>'Part IV-A-Uses of Funds'!H86</f>
        <v>0</v>
      </c>
      <c r="I522" s="2350"/>
      <c r="J522" s="2365"/>
      <c r="K522" s="2365"/>
      <c r="L522" s="2380"/>
      <c r="M522" s="2365"/>
      <c r="N522" s="2365"/>
      <c r="O522" s="2350"/>
      <c r="P522" s="2365"/>
      <c r="Q522" s="2365"/>
      <c r="R522" s="2350"/>
      <c r="S522" s="2365">
        <f>'Part IV-A-Uses of Funds'!S86</f>
        <v>8000</v>
      </c>
      <c r="T522" s="2365">
        <f>'Part IV-A-Uses of Funds'!T86</f>
        <v>0</v>
      </c>
      <c r="U522" s="2350"/>
      <c r="V522" s="2464"/>
      <c r="W522" s="1329"/>
      <c r="X522" s="1329"/>
    </row>
    <row r="523" spans="1:24">
      <c r="A523" s="2350"/>
      <c r="B523" s="2350" t="s">
        <v>1288</v>
      </c>
      <c r="C523" s="2350"/>
      <c r="D523" s="2350"/>
      <c r="E523" s="2350"/>
      <c r="F523" s="2350"/>
      <c r="G523" s="2365">
        <f>'Part IV-A-Uses of Funds'!G87</f>
        <v>6000</v>
      </c>
      <c r="H523" s="2365">
        <f>'Part IV-A-Uses of Funds'!H87</f>
        <v>0</v>
      </c>
      <c r="I523" s="2350"/>
      <c r="J523" s="2365"/>
      <c r="K523" s="2365"/>
      <c r="L523" s="2380"/>
      <c r="M523" s="2365"/>
      <c r="N523" s="2365"/>
      <c r="O523" s="2350"/>
      <c r="P523" s="2365"/>
      <c r="Q523" s="2365"/>
      <c r="R523" s="2350"/>
      <c r="S523" s="2365">
        <f>'Part IV-A-Uses of Funds'!S87</f>
        <v>6000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43000</v>
      </c>
      <c r="H527" s="2365"/>
      <c r="I527" s="2350"/>
      <c r="J527" s="2365"/>
      <c r="K527" s="2365"/>
      <c r="L527" s="2380"/>
      <c r="M527" s="2365"/>
      <c r="N527" s="2365"/>
      <c r="O527" s="2350"/>
      <c r="P527" s="2365"/>
      <c r="Q527" s="2365"/>
      <c r="R527" s="2350"/>
      <c r="S527" s="2365">
        <f>SUM(S521:T526)</f>
        <v>43000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4752</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5500</v>
      </c>
      <c r="H533" s="2365">
        <f>'Part IV-A-Uses of Funds'!H97</f>
        <v>0</v>
      </c>
      <c r="I533" s="2350"/>
      <c r="J533" s="2380"/>
      <c r="K533" s="2380"/>
      <c r="L533" s="2496"/>
      <c r="M533" s="2380"/>
      <c r="N533" s="2380"/>
      <c r="O533" s="2350"/>
      <c r="P533" s="2380"/>
      <c r="Q533" s="2380"/>
      <c r="R533" s="2350"/>
      <c r="S533" s="2365">
        <f>'Part IV-A-Uses of Funds'!S97</f>
        <v>5500</v>
      </c>
      <c r="T533" s="2365">
        <f>'Part IV-A-Uses of Funds'!T97</f>
        <v>0</v>
      </c>
      <c r="U533" s="2350"/>
      <c r="V533" s="2464"/>
      <c r="W533" s="1329"/>
      <c r="X533" s="1329"/>
    </row>
    <row r="534" spans="1:24">
      <c r="A534" s="2350"/>
      <c r="B534" s="2350" t="s">
        <v>3982</v>
      </c>
      <c r="C534" s="2350"/>
      <c r="D534" s="2350"/>
      <c r="E534" s="2350"/>
      <c r="F534" s="2350"/>
      <c r="G534" s="2365">
        <f>'Part IV-A-Uses of Funds'!G98</f>
        <v>1000</v>
      </c>
      <c r="H534" s="2365">
        <f>'Part IV-A-Uses of Funds'!H98</f>
        <v>0</v>
      </c>
      <c r="I534" s="2350"/>
      <c r="J534" s="2380"/>
      <c r="K534" s="2380"/>
      <c r="L534" s="2496"/>
      <c r="M534" s="2380"/>
      <c r="N534" s="2380"/>
      <c r="O534" s="2350"/>
      <c r="P534" s="2380"/>
      <c r="Q534" s="2380"/>
      <c r="R534" s="2350"/>
      <c r="S534" s="2365">
        <f>'Part IV-A-Uses of Funds'!S98</f>
        <v>1000</v>
      </c>
      <c r="T534" s="2365">
        <f>'Part IV-A-Uses of Funds'!T98</f>
        <v>0</v>
      </c>
      <c r="U534" s="2350"/>
      <c r="V534" s="2464"/>
      <c r="W534" s="1329"/>
      <c r="X534" s="1329"/>
    </row>
    <row r="535" spans="1:24">
      <c r="A535" s="2350"/>
      <c r="B535" s="2350" t="s">
        <v>524</v>
      </c>
      <c r="C535" s="2350"/>
      <c r="D535" s="2350"/>
      <c r="E535" s="2497">
        <f>'DCA Underwriting Assumptions'!$Q$88*J611</f>
        <v>66000</v>
      </c>
      <c r="F535" s="2497"/>
      <c r="G535" s="2365">
        <f>'Part IV-A-Uses of Funds'!G99</f>
        <v>66000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66000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60800</v>
      </c>
      <c r="F536" s="2497"/>
      <c r="G536" s="2365">
        <f>'Part IV-A-Uses of Funds'!G100</f>
        <v>60800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60800</v>
      </c>
      <c r="T536" s="2365">
        <f>'Part IV-A-Uses of Funds'!T100</f>
        <v>0</v>
      </c>
      <c r="U536" s="2350"/>
      <c r="V536" s="2464"/>
      <c r="W536" s="1329"/>
      <c r="X536" s="1329"/>
    </row>
    <row r="537" spans="1:24">
      <c r="A537" s="2350"/>
      <c r="B537" s="2350" t="s">
        <v>4296</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4297</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139300</v>
      </c>
      <c r="H541" s="2365"/>
      <c r="I541" s="2350"/>
      <c r="J541" s="2380"/>
      <c r="K541" s="2380"/>
      <c r="L541" s="2380"/>
      <c r="M541" s="2380"/>
      <c r="N541" s="2380"/>
      <c r="O541" s="2350"/>
      <c r="P541" s="2380"/>
      <c r="Q541" s="2380"/>
      <c r="R541" s="2350"/>
      <c r="S541" s="2365">
        <f>SUM(S532:T540)</f>
        <v>139300</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0</v>
      </c>
      <c r="H543" s="2365">
        <f>'Part IV-A-Uses of Funds'!H107</f>
        <v>0</v>
      </c>
      <c r="I543" s="2350"/>
      <c r="J543" s="2365"/>
      <c r="K543" s="2365"/>
      <c r="L543" s="2380"/>
      <c r="M543" s="2365"/>
      <c r="N543" s="2365"/>
      <c r="O543" s="2350"/>
      <c r="P543" s="2365"/>
      <c r="Q543" s="2365"/>
      <c r="R543" s="2350"/>
      <c r="S543" s="2365">
        <f>'Part IV-A-Uses of Funds'!S107</f>
        <v>0</v>
      </c>
      <c r="T543" s="2365">
        <f>'Part IV-A-Uses of Funds'!T107</f>
        <v>0</v>
      </c>
      <c r="U543" s="2350"/>
      <c r="V543" s="2464"/>
      <c r="W543" s="1329"/>
      <c r="X543" s="1329"/>
    </row>
    <row r="544" spans="1:24">
      <c r="A544" s="2350"/>
      <c r="B544" s="2350" t="s">
        <v>282</v>
      </c>
      <c r="C544" s="2350"/>
      <c r="D544" s="2350"/>
      <c r="E544" s="2350"/>
      <c r="F544" s="2350"/>
      <c r="G544" s="2365">
        <f>'Part IV-A-Uses of Funds'!G108</f>
        <v>5000</v>
      </c>
      <c r="H544" s="2365">
        <f>'Part IV-A-Uses of Funds'!H108</f>
        <v>0</v>
      </c>
      <c r="I544" s="2350"/>
      <c r="J544" s="2365"/>
      <c r="K544" s="2365"/>
      <c r="L544" s="2380"/>
      <c r="M544" s="2365"/>
      <c r="N544" s="2365"/>
      <c r="O544" s="2350"/>
      <c r="P544" s="2365"/>
      <c r="Q544" s="2365"/>
      <c r="R544" s="2350"/>
      <c r="S544" s="2365">
        <f>'Part IV-A-Uses of Funds'!S108</f>
        <v>5000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5000</v>
      </c>
      <c r="H547" s="2365"/>
      <c r="I547" s="2350"/>
      <c r="J547" s="2365"/>
      <c r="K547" s="2365"/>
      <c r="L547" s="2380"/>
      <c r="M547" s="2365"/>
      <c r="N547" s="2365"/>
      <c r="O547" s="2350"/>
      <c r="P547" s="2365"/>
      <c r="Q547" s="2365"/>
      <c r="R547" s="2350"/>
      <c r="S547" s="2365">
        <f>SUM(S543:T546)</f>
        <v>5000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316000</v>
      </c>
      <c r="H549" s="2365">
        <f>'Part IV-A-Uses of Funds'!H113</f>
        <v>0</v>
      </c>
      <c r="I549" s="2350"/>
      <c r="J549" s="2365">
        <f>'Part IV-A-Uses of Funds'!J113</f>
        <v>316000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4250</v>
      </c>
      <c r="C550" s="2350"/>
      <c r="D550" s="2350"/>
      <c r="E550" s="2350"/>
      <c r="F550" s="2501">
        <f>'Part IV-A-Uses of Funds'!F114</f>
        <v>316000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3658</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1264000</v>
      </c>
      <c r="H553" s="2365">
        <f>'Part IV-A-Uses of Funds'!H117</f>
        <v>0</v>
      </c>
      <c r="I553" s="2350"/>
      <c r="J553" s="2365">
        <f>'Part IV-A-Uses of Funds'!J117</f>
        <v>1264000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1580000</v>
      </c>
      <c r="H554" s="2365"/>
      <c r="I554" s="2350"/>
      <c r="J554" s="2365">
        <f>SUM(J549:K553)</f>
        <v>1580000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60000</v>
      </c>
      <c r="H556" s="2365">
        <f>'Part IV-A-Uses of Funds'!H120</f>
        <v>0</v>
      </c>
      <c r="I556" s="2350"/>
      <c r="J556" s="2496"/>
      <c r="K556" s="2496"/>
      <c r="L556" s="2496"/>
      <c r="M556" s="2496"/>
      <c r="N556" s="2496"/>
      <c r="O556" s="2350"/>
      <c r="P556" s="2496"/>
      <c r="Q556" s="2496"/>
      <c r="R556" s="2350"/>
      <c r="S556" s="2365">
        <f>'Part IV-A-Uses of Funds'!S120</f>
        <v>60000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93940.25</v>
      </c>
      <c r="G557" s="2365">
        <f>'Part IV-A-Uses of Funds'!G121</f>
        <v>93940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93940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285927.76095955016</v>
      </c>
      <c r="G558" s="2365">
        <f>'Part IV-A-Uses of Funds'!G122</f>
        <v>285928</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285928</v>
      </c>
      <c r="T558" s="2365">
        <f>'Part IV-A-Uses of Funds'!T122</f>
        <v>0</v>
      </c>
      <c r="U558" s="2350"/>
      <c r="V558" s="2464"/>
      <c r="W558" s="1329"/>
      <c r="X558" s="1329"/>
    </row>
    <row r="559" spans="1:24">
      <c r="A559" s="2350"/>
      <c r="B559" s="2350" t="s">
        <v>1256</v>
      </c>
      <c r="C559" s="2350"/>
      <c r="D559" s="2350"/>
      <c r="E559" s="2350"/>
      <c r="F559" s="2350"/>
      <c r="G559" s="2365">
        <f>'Part IV-A-Uses of Funds'!G123</f>
        <v>19000</v>
      </c>
      <c r="H559" s="2365">
        <f>'Part IV-A-Uses of Funds'!H123</f>
        <v>0</v>
      </c>
      <c r="I559" s="2350"/>
      <c r="J559" s="2496"/>
      <c r="K559" s="2496"/>
      <c r="L559" s="2496"/>
      <c r="M559" s="2496"/>
      <c r="N559" s="2496"/>
      <c r="O559" s="2350"/>
      <c r="P559" s="2496"/>
      <c r="Q559" s="2496"/>
      <c r="R559" s="2350"/>
      <c r="S559" s="2365">
        <f>'Part IV-A-Uses of Funds'!S123</f>
        <v>19000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2763.1578947368421</v>
      </c>
      <c r="G560" s="2365">
        <f>'Part IV-A-Uses of Funds'!G124</f>
        <v>210000</v>
      </c>
      <c r="H560" s="2365">
        <f>'Part IV-A-Uses of Funds'!H124</f>
        <v>0</v>
      </c>
      <c r="I560" s="2350"/>
      <c r="J560" s="2365">
        <f>'Part IV-A-Uses of Funds'!J124</f>
        <v>210000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668868</v>
      </c>
      <c r="H562" s="2365"/>
      <c r="I562" s="2350"/>
      <c r="J562" s="2365">
        <f>SUM(J560:K561)</f>
        <v>210000</v>
      </c>
      <c r="K562" s="2365"/>
      <c r="L562" s="2380"/>
      <c r="M562" s="2365">
        <f>SUM(M560:N561)</f>
        <v>0</v>
      </c>
      <c r="N562" s="2365"/>
      <c r="O562" s="2350"/>
      <c r="P562" s="2365">
        <f>SUM(P560:Q561)</f>
        <v>0</v>
      </c>
      <c r="Q562" s="2365"/>
      <c r="R562" s="2350"/>
      <c r="S562" s="2365">
        <f>SUM(S556:T561)</f>
        <v>458868</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4753</v>
      </c>
      <c r="C568" s="2350"/>
      <c r="D568" s="2350"/>
      <c r="E568" s="2350"/>
      <c r="F568" s="2350"/>
      <c r="G568" s="2506">
        <f>G453+G459+G463+G469+G474+G477+G483+G500+G513+G519+G527+G541+G547+G554+G562+G566</f>
        <v>13541444</v>
      </c>
      <c r="H568" s="2506"/>
      <c r="I568" s="2350"/>
      <c r="J568" s="2506">
        <f>J453+J459+J463+J469+J474+J477+J483+J500+J513+J519+J527+J541+J547+J554+J562+J566</f>
        <v>11800538</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1740906</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4754</v>
      </c>
      <c r="C570" s="2479"/>
      <c r="D570" s="2508">
        <f>IF('Part VI-Revenues &amp; Expenses'!$O$62=0,0,G568/'Part VI-Revenues &amp; Expenses'!$O$62)</f>
        <v>178176.89473684211</v>
      </c>
      <c r="E570" s="2508"/>
      <c r="F570" s="2495" t="s">
        <v>2781</v>
      </c>
      <c r="G570" s="2508">
        <f>IF('Part I-Project Information'!$P$71=0,0,G568/'Part I-Project Information'!$P$71)</f>
        <v>174.4806597088004</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11800538</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11800538</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15340699.4</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0.84210526315789469</v>
      </c>
      <c r="K590" s="2514"/>
      <c r="L590" s="2350"/>
      <c r="M590" s="2514">
        <f>MIN('Part VI-Revenues &amp; Expenses'!$O$58/'Part VI-Revenues &amp; Expenses'!$O$60,'Part VI-Revenues &amp; Expenses'!$O$115/'Part VI-Revenues &amp; Expenses'!$O$117)</f>
        <v>0.84210526315789469</v>
      </c>
      <c r="N590" s="2514"/>
      <c r="O590" s="2350"/>
      <c r="P590" s="2514">
        <f>MIN('Part VI-Revenues &amp; Expenses'!$O$58/'Part VI-Revenues &amp; Expenses'!$O$60,'Part VI-Revenues &amp; Expenses'!$O$115/'Part VI-Revenues &amp; Expenses'!$O$117)</f>
        <v>0.84210526315789469</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12918483.705263158</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1162663.5334736842</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1162663.5334736842</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4755</v>
      </c>
      <c r="C598" s="2350"/>
      <c r="D598" s="2350"/>
      <c r="E598" s="2350"/>
      <c r="F598" s="2350"/>
      <c r="G598" s="2473" t="str">
        <f>IF(J599&gt;J598,"TDC exceeds QAP PUCL!","")</f>
        <v/>
      </c>
      <c r="H598" s="2473"/>
      <c r="I598" s="2473"/>
      <c r="J598" s="2443">
        <f>'Part VIII-Threshold Criteria'!$P$63</f>
        <v>13542364</v>
      </c>
      <c r="K598" s="2443"/>
      <c r="L598" s="2443"/>
      <c r="M598" s="2517" t="s">
        <v>2764</v>
      </c>
      <c r="N598" s="2517"/>
      <c r="O598" s="2517"/>
      <c r="P598" s="2517"/>
      <c r="Q598" s="2517"/>
      <c r="R598" s="2517"/>
      <c r="S598" s="2517" t="s">
        <v>3699</v>
      </c>
      <c r="T598" s="2517"/>
      <c r="U598" s="2350"/>
      <c r="V598" s="2464"/>
      <c r="W598" s="1329"/>
      <c r="X598" s="1329"/>
    </row>
    <row r="599" spans="1:24">
      <c r="A599" s="2350"/>
      <c r="B599" s="2350" t="s">
        <v>4756</v>
      </c>
      <c r="C599" s="2350"/>
      <c r="D599" s="2350"/>
      <c r="E599" s="2350"/>
      <c r="F599" s="2350"/>
      <c r="G599" s="2350"/>
      <c r="H599" s="2350"/>
      <c r="I599" s="2350"/>
      <c r="J599" s="2386">
        <f>'Part IV-A-Uses of Funds'!J163</f>
        <v>13541444</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2900000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10641444</v>
      </c>
      <c r="K601" s="2386"/>
      <c r="L601" s="2386"/>
      <c r="M601" s="2362" t="s">
        <v>2765</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1064144.3999999999</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4757</v>
      </c>
      <c r="C604" s="2350"/>
      <c r="D604" s="2350"/>
      <c r="E604" s="2350"/>
      <c r="F604" s="2350"/>
      <c r="G604" s="2350"/>
      <c r="H604" s="2350"/>
      <c r="I604" s="2350"/>
      <c r="J604" s="2521">
        <f>N604+Q604</f>
        <v>1.28</v>
      </c>
      <c r="K604" s="2521"/>
      <c r="L604" s="2521"/>
      <c r="M604" s="2355" t="s">
        <v>1301</v>
      </c>
      <c r="N604" s="2522">
        <f>'Part IV-A-Uses of Funds'!N168</f>
        <v>0.89</v>
      </c>
      <c r="O604" s="2522">
        <f>'Part IV-A-Uses of Funds'!O168</f>
        <v>0</v>
      </c>
      <c r="P604" s="2355" t="s">
        <v>618</v>
      </c>
      <c r="Q604" s="2522">
        <f>'Part IV-A-Uses of Funds'!Q168</f>
        <v>0.39</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831362.81249999988</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4758</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831362.81249999988</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4759</v>
      </c>
      <c r="C609" s="2350"/>
      <c r="D609" s="2350"/>
      <c r="E609" s="2350"/>
      <c r="F609" s="2350"/>
      <c r="G609" s="2350"/>
      <c r="H609" s="2350"/>
      <c r="I609" s="2350"/>
      <c r="J609" s="2445">
        <f>'Part IV-A-Uses of Funds'!J173</f>
        <v>825000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4760</v>
      </c>
      <c r="C611" s="2350"/>
      <c r="D611" s="2357"/>
      <c r="E611" s="2357"/>
      <c r="F611" s="2358"/>
      <c r="G611" s="2350"/>
      <c r="H611" s="2350"/>
      <c r="I611" s="2350"/>
      <c r="J611" s="2445">
        <f>IF(J609="",0,+MIN(J607,J609))</f>
        <v>825000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 xml:space="preserve">Our Contractor has reviewed the site plan and provided input as to the construction cost figures.  
</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2018-037 - Myrtle Terraces Phase 2  -  Gainesville  -  Hall,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3739</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4761</v>
      </c>
      <c r="B627" s="2528"/>
      <c r="C627" s="2528"/>
      <c r="D627" s="2528"/>
      <c r="E627" s="2526"/>
      <c r="F627" s="2529" t="s">
        <v>3730</v>
      </c>
      <c r="G627" s="2530"/>
      <c r="H627" s="2529" t="s">
        <v>3731</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3733</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3733</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3733</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3732</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3733</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3733</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3733</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3733</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3733</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4762</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3733</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3733</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4763</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3733</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3733</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4764</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3733</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2018-037 Myrtle Terraces Phase 2,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3832</v>
      </c>
    </row>
    <row r="716" spans="1:13">
      <c r="A716" s="2546" t="s">
        <v>622</v>
      </c>
      <c r="B716" s="2546" t="s">
        <v>2243</v>
      </c>
      <c r="F716" s="683" t="s">
        <v>2536</v>
      </c>
      <c r="I716" s="2547" t="str">
        <f>'Part V-Utility Allowances'!I7</f>
        <v>HUD</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3+ Story</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f>'Part V-Utility Allowances'!F12</f>
        <v>0</v>
      </c>
      <c r="G721" s="2552" t="str">
        <f>'Part V-Utility Allowances'!G12</f>
        <v>X</v>
      </c>
      <c r="I721" s="2549">
        <f>'Part V-Utility Allowances'!I12</f>
        <v>0</v>
      </c>
      <c r="J721" s="2549">
        <f>'Part V-Utility Allowances'!J12</f>
        <v>0</v>
      </c>
      <c r="K721" s="2549">
        <f>'Part V-Utility Allowances'!K12</f>
        <v>0</v>
      </c>
      <c r="L721" s="2549">
        <f>'Part V-Utility Allowances'!L12</f>
        <v>0</v>
      </c>
      <c r="M721" s="2549">
        <f>'Part V-Utility Allowances'!M12</f>
        <v>0</v>
      </c>
    </row>
    <row r="722" spans="1:13">
      <c r="B722" s="683" t="s">
        <v>1609</v>
      </c>
      <c r="D722" s="2441" t="str">
        <f>'Part V-Utility Allowances'!D13</f>
        <v>Electric</v>
      </c>
      <c r="E722" s="2441">
        <f>'Part V-Utility Allowances'!E13</f>
        <v>0</v>
      </c>
      <c r="F722" s="2552">
        <f>'Part V-Utility Allowances'!F13</f>
        <v>0</v>
      </c>
      <c r="G722" s="2552" t="str">
        <f>'Part V-Utility Allowances'!G13</f>
        <v>X</v>
      </c>
      <c r="I722" s="2549">
        <f>'Part V-Utility Allowances'!I13</f>
        <v>0</v>
      </c>
      <c r="J722" s="2549">
        <f>'Part V-Utility Allowances'!J13</f>
        <v>0</v>
      </c>
      <c r="K722" s="2549">
        <f>'Part V-Utility Allowances'!K13</f>
        <v>0</v>
      </c>
      <c r="L722" s="2549">
        <f>'Part V-Utility Allowances'!L13</f>
        <v>0</v>
      </c>
      <c r="M722" s="2549">
        <f>'Part V-Utility Allowances'!M13</f>
        <v>0</v>
      </c>
    </row>
    <row r="723" spans="1:13">
      <c r="B723" s="683" t="s">
        <v>1610</v>
      </c>
      <c r="D723" s="2441" t="str">
        <f>'Part V-Utility Allowances'!D14</f>
        <v>Electric</v>
      </c>
      <c r="E723" s="2441">
        <f>'Part V-Utility Allowances'!E14</f>
        <v>0</v>
      </c>
      <c r="F723" s="2552">
        <f>'Part V-Utility Allowances'!F14</f>
        <v>0</v>
      </c>
      <c r="G723" s="2552" t="str">
        <f>'Part V-Utility Allowances'!G14</f>
        <v>X</v>
      </c>
      <c r="I723" s="2549">
        <f>'Part V-Utility Allowances'!I14</f>
        <v>0</v>
      </c>
      <c r="J723" s="2549">
        <f>'Part V-Utility Allowances'!J14</f>
        <v>0</v>
      </c>
      <c r="K723" s="2549">
        <f>'Part V-Utility Allowances'!K14</f>
        <v>0</v>
      </c>
      <c r="L723" s="2549">
        <f>'Part V-Utility Allowances'!L14</f>
        <v>0</v>
      </c>
      <c r="M723" s="2549">
        <f>'Part V-Utility Allowances'!M14</f>
        <v>0</v>
      </c>
    </row>
    <row r="724" spans="1:13">
      <c r="B724" s="683" t="s">
        <v>471</v>
      </c>
      <c r="D724" s="683" t="s">
        <v>1608</v>
      </c>
      <c r="F724" s="2552">
        <f>'Part V-Utility Allowances'!F15</f>
        <v>0</v>
      </c>
      <c r="G724" s="2552" t="str">
        <f>'Part V-Utility Allowances'!G15</f>
        <v>X</v>
      </c>
      <c r="I724" s="2549">
        <f>'Part V-Utility Allowances'!I15</f>
        <v>0</v>
      </c>
      <c r="J724" s="2549">
        <f>'Part V-Utility Allowances'!J15</f>
        <v>0</v>
      </c>
      <c r="K724" s="2549">
        <f>'Part V-Utility Allowances'!K15</f>
        <v>0</v>
      </c>
      <c r="L724" s="2549">
        <f>'Part V-Utility Allowances'!L15</f>
        <v>0</v>
      </c>
      <c r="M724" s="2549">
        <f>'Part V-Utility Allowances'!M15</f>
        <v>0</v>
      </c>
    </row>
    <row r="725" spans="1:13">
      <c r="B725" s="683" t="s">
        <v>3829</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3830</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3831</v>
      </c>
      <c r="D727" s="683" t="s">
        <v>1608</v>
      </c>
      <c r="F727" s="2552">
        <f>'Part V-Utility Allowances'!F18</f>
        <v>0</v>
      </c>
      <c r="G727" s="2552" t="str">
        <f>'Part V-Utility Allowances'!G18</f>
        <v>X</v>
      </c>
      <c r="I727" s="2549">
        <f>'Part V-Utility Allowances'!I18</f>
        <v>0</v>
      </c>
      <c r="J727" s="2549">
        <f>'Part V-Utility Allowances'!J18</f>
        <v>0</v>
      </c>
      <c r="K727" s="2549">
        <f>'Part V-Utility Allowances'!K18</f>
        <v>0</v>
      </c>
      <c r="L727" s="2549">
        <f>'Part V-Utility Allowances'!L18</f>
        <v>0</v>
      </c>
      <c r="M727" s="2549">
        <f>'Part V-Utility Allowances'!M18</f>
        <v>0</v>
      </c>
    </row>
    <row r="728" spans="1:13">
      <c r="B728" s="683" t="s">
        <v>1382</v>
      </c>
      <c r="D728" s="683" t="s">
        <v>4542</v>
      </c>
      <c r="E728" s="2549" t="str">
        <f>'Part V-Utility Allowances'!E19</f>
        <v>Yes</v>
      </c>
      <c r="F728" s="2552">
        <f>'Part V-Utility Allowances'!F19</f>
        <v>0</v>
      </c>
      <c r="G728" s="2552" t="str">
        <f>'Part V-Utility Allowances'!G19</f>
        <v>X</v>
      </c>
      <c r="I728" s="2549">
        <f>'Part V-Utility Allowances'!I19</f>
        <v>0</v>
      </c>
      <c r="J728" s="2549">
        <f>'Part V-Utility Allowances'!J19</f>
        <v>0</v>
      </c>
      <c r="K728" s="2549">
        <f>'Part V-Utility Allowances'!K19</f>
        <v>0</v>
      </c>
      <c r="L728" s="2549">
        <f>'Part V-Utility Allowances'!L19</f>
        <v>0</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0</v>
      </c>
      <c r="K730" s="2551">
        <f>IF(SUM(K721:K729)=0,0,IF(OR($D721="&lt;&lt;Select Fuel &gt;&gt;",$D722="&lt;&lt;Select Fuel &gt;&gt;",$D723="&lt;&lt;Select Fuel &gt;&gt;"),"Select Fuel",IF($E728="&lt;Select&gt;","Submeter?",SUM(K721:K729))))</f>
        <v>0</v>
      </c>
      <c r="L730" s="2551">
        <f>IF(SUM(L721:L729)=0,0,IF(OR($D721="&lt;&lt;Select Fuel &gt;&gt;",$D722="&lt;&lt;Select Fuel &gt;&gt;",$D723="&lt;&lt;Select Fuel &gt;&gt;"),"Select Fuel",IF($E728="&lt;Select&gt;","Submeter?",SUM(L721:L729))))</f>
        <v>0</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3829</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3830</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3831</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4542</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4543</v>
      </c>
      <c r="F748" s="2549"/>
      <c r="G748" s="2549"/>
      <c r="I748" s="2551"/>
      <c r="J748" s="2551"/>
      <c r="K748" s="2551"/>
      <c r="L748" s="2551"/>
      <c r="M748" s="2551"/>
    </row>
    <row r="749" spans="1:13">
      <c r="A749" s="2546"/>
      <c r="B749" s="2546" t="s">
        <v>577</v>
      </c>
    </row>
    <row r="750" spans="1:13" ht="84">
      <c r="B750" s="1329" t="str">
        <f>'Part V-Utility Allowances'!B41</f>
        <v xml:space="preserve">As is typical with our senior communities, we will be paying all utilities.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2018-037 Myrtle Terraces Phase 2,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2018-037 Myrtle Terraces Phase 2,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4765</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1818</v>
      </c>
      <c r="E763" s="2543"/>
      <c r="F763" s="2549">
        <f>'Part VI-Revenues &amp; Expenses'!F6</f>
        <v>0</v>
      </c>
      <c r="G763" s="2561" t="s">
        <v>3689</v>
      </c>
      <c r="H763" s="2557" t="s">
        <v>3918</v>
      </c>
      <c r="I763" s="2561" t="s">
        <v>807</v>
      </c>
      <c r="J763" s="2561" t="s">
        <v>3692</v>
      </c>
      <c r="K763" s="2559"/>
      <c r="L763" s="2559"/>
      <c r="M763" s="2564" t="str">
        <f>'Part I-Project Information'!$O$40</f>
        <v>Gainesville</v>
      </c>
      <c r="N763" s="2564"/>
      <c r="O763" s="2565">
        <f>VLOOKUP('Part I-Project Information'!$O$40,'DCA Underwriting Assumptions'!$C$155:$D$265,2)</f>
        <v>61700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3690</v>
      </c>
      <c r="H764" s="2557"/>
      <c r="I764" s="2517" t="s">
        <v>3878</v>
      </c>
      <c r="J764" s="2561" t="s">
        <v>3693</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3690</v>
      </c>
      <c r="I765" s="2517"/>
      <c r="J765" s="2561" t="s">
        <v>4766</v>
      </c>
      <c r="K765" s="2569" t="s">
        <v>146</v>
      </c>
      <c r="L765" s="2569"/>
      <c r="M765" s="2561" t="s">
        <v>2383</v>
      </c>
      <c r="N765" s="2561" t="s">
        <v>537</v>
      </c>
      <c r="O765" s="2561" t="s">
        <v>385</v>
      </c>
      <c r="P765" s="2557"/>
      <c r="Q765" s="2569" t="s">
        <v>3597</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3387</v>
      </c>
      <c r="FH765" s="2547" t="s">
        <v>3387</v>
      </c>
      <c r="FI765" s="2547" t="s">
        <v>3387</v>
      </c>
      <c r="FJ765" s="2547" t="s">
        <v>3387</v>
      </c>
      <c r="FK765" s="2547" t="s">
        <v>3387</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1473</v>
      </c>
      <c r="HU765" s="2547" t="s">
        <v>1473</v>
      </c>
      <c r="HV765" s="2547" t="s">
        <v>1473</v>
      </c>
      <c r="HW765" s="2547" t="s">
        <v>1473</v>
      </c>
      <c r="HX765" s="2547" t="s">
        <v>1473</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3691</v>
      </c>
      <c r="H766" s="2561" t="s">
        <v>1490</v>
      </c>
      <c r="I766" s="2517"/>
      <c r="J766" s="2570" t="s">
        <v>352</v>
      </c>
      <c r="K766" s="2561" t="s">
        <v>1542</v>
      </c>
      <c r="L766" s="2561" t="s">
        <v>544</v>
      </c>
      <c r="M766" s="2561" t="s">
        <v>1488</v>
      </c>
      <c r="N766" s="2561" t="s">
        <v>3336</v>
      </c>
      <c r="O766" s="2561" t="s">
        <v>386</v>
      </c>
      <c r="P766" s="2557"/>
      <c r="Q766" s="2561" t="s">
        <v>3598</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0">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8</v>
      </c>
      <c r="F767" s="2574">
        <f>'Part VI-Revenues &amp; Expenses'!F10</f>
        <v>660</v>
      </c>
      <c r="G767" s="2574">
        <f>'Part VI-Revenues &amp; Expenses'!G10</f>
        <v>566</v>
      </c>
      <c r="H767" s="2574">
        <f>'Part VI-Revenues &amp; Expenses'!H10</f>
        <v>566</v>
      </c>
      <c r="I767" s="2574">
        <f>'Part VI-Revenues &amp; Expenses'!I10</f>
        <v>0</v>
      </c>
      <c r="J767" s="2575">
        <f>'Part VI-Revenues &amp; Expenses'!J10</f>
        <v>0</v>
      </c>
      <c r="K767" s="2576">
        <f t="shared" ref="K767:K804" si="1">MAX(0,H767-I767)</f>
        <v>566</v>
      </c>
      <c r="L767" s="2576">
        <f t="shared" ref="L767:L804" si="2">MAX(0,E767*K767)</f>
        <v>4528</v>
      </c>
      <c r="M767" s="2450" t="str">
        <f>'Part VI-Revenues &amp; Expenses'!M10</f>
        <v>No</v>
      </c>
      <c r="N767" s="2450" t="str">
        <f>'Part VI-Revenues &amp; Expenses'!N10</f>
        <v>3+ Story</v>
      </c>
      <c r="O767" s="2450" t="str">
        <f>'Part VI-Revenues &amp; Expenses'!O10</f>
        <v>New Construction</v>
      </c>
      <c r="P767" s="2556" t="str">
        <f>'Part VI-Revenues &amp; Expenses'!P10</f>
        <v>No</v>
      </c>
      <c r="Q767" s="2577">
        <f>'Part VI-Revenues &amp; Expenses'!Q10</f>
        <v>22640</v>
      </c>
      <c r="R767" s="2578">
        <f>'Part VI-Revenues &amp; Expenses'!R10</f>
        <v>0.48924905456509993</v>
      </c>
      <c r="S767" s="2577">
        <f>'Part VI-Revenues &amp; Expenses'!S10</f>
        <v>0</v>
      </c>
      <c r="T767" s="2578">
        <f>'Part VI-Revenues &amp; Expenses'!T10</f>
        <v>0</v>
      </c>
      <c r="U767" s="2500"/>
      <c r="V767" s="2500"/>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t="str">
        <f t="shared" ref="AB767:AB804" si="8">IF(AND(C767="Efficiency",B767="50% AMI",NOT(M767="Common Space")),E767,"")</f>
        <v/>
      </c>
      <c r="AC767" s="683">
        <f t="shared" ref="AC767:AC804" si="9">IF(AND(C767=1,B767="50% AMI",NOT(M767="Common Space")),E767,"")</f>
        <v>8</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t="str">
        <f t="shared" ref="CE767:CE804" si="63">IF(OR(AND(C767="Efficiency",B767="50% AMI",NOT(M767="Common Space")),AND(C767="Efficiency",B767="HOME 50% AMI",NOT(M767="Common Space"))),E767*F767,"")</f>
        <v/>
      </c>
      <c r="CF767" s="683">
        <f t="shared" ref="CF767:CF804" si="64">IF(OR(AND(C767=1,B767="50% AMI",NOT(M767="Common Space")),AND(C767=1,B767="HOME 50% AMI",NOT(M767="Common Space"))),E767*F767,"")</f>
        <v>5280</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f t="shared" ref="DE767:DE804" si="89">IF(AND($C767=1, $O767="New Construction",NOT($B767="Unrestricted"),NOT($B767="NSP 120% AMI"),NOT($B767="N/A-CS"),NOT($M767="Common Space")),$E767,"")</f>
        <v>8</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t="str">
        <f t="shared" ref="EH767:EH804" si="118">IF(AND($C767="Efficiency", $O767="Rehabilitation",NOT($B767="Unrestricted"),NOT($B767="NSP 120% AMI"),NOT($B767="N/A-CS"),NOT($M767="Common Space")),$E767,"")</f>
        <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2579" t="str">
        <f t="shared" ref="EW767:EW804" si="133">IF(AND($C767="Efficiency", NOT(OR($N767="SF Detached",$N767="Mfd Home",$N767="Duplex",$N767="Townhome"))),$E767,"")</f>
        <v/>
      </c>
      <c r="EX767" s="2579">
        <f t="shared" ref="EX767:EX804" si="134">IF(AND($C767=1, NOT(OR($N767="SF Detached",$N767="Mfd Home",$N767="Duplex",$N767="Townhome"))),$E767,"")</f>
        <v>8</v>
      </c>
      <c r="EY767" s="2579" t="str">
        <f t="shared" ref="EY767:EY804" si="135">IF(AND($C767=2, NOT(OR($N767="SF Detached",$N767="Mfd Home",$N767="Duplex",$N767="Townhome"))),$E767,"")</f>
        <v/>
      </c>
      <c r="EZ767" s="2579" t="str">
        <f t="shared" ref="EZ767:EZ804" si="136">IF(AND($C767=3, NOT(OR($N767="SF Detached",$N767="Mfd Home",$N767="Duplex",$N767="Townhome"))),$E767,"")</f>
        <v/>
      </c>
      <c r="FA767" s="2579" t="str">
        <f t="shared" ref="FA767:FA804" si="137">IF(AND($C767=4, NOT(OR($N767="SF Detached",$N767="Mfd Home",$N767="Duplex",$N767="Townhome"))),$E767,"")</f>
        <v/>
      </c>
      <c r="FB767" s="2579" t="str">
        <f t="shared" ref="FB767:FB804" si="138">IF(AND($C767="Efficiency", $N767="SF Detached",NOT($P767="Yes")),$E767,"")</f>
        <v/>
      </c>
      <c r="FC767" s="2579" t="str">
        <f t="shared" ref="FC767:FC804" si="139">IF(AND($C767=1, $N767="SF Detached",NOT($P767="Yes")),$E767,"")</f>
        <v/>
      </c>
      <c r="FD767" s="2579" t="str">
        <f t="shared" ref="FD767:FD804" si="140">IF(AND($C767=2, $N767="SF Detached",NOT($P767="Yes")),$E767,"")</f>
        <v/>
      </c>
      <c r="FE767" s="2579" t="str">
        <f t="shared" ref="FE767:FE804" si="141">IF(AND($C767=3, $N767="SF Detached",NOT($P767="Yes")),$E767,"")</f>
        <v/>
      </c>
      <c r="FF767" s="2579" t="str">
        <f t="shared" ref="FF767:FF804" si="142">IF(AND($C767=4, $N767="SF Detached",NOT($P767="Yes")),$E767,"")</f>
        <v/>
      </c>
      <c r="FG767" s="2579" t="str">
        <f t="shared" ref="FG767:FG804" si="143">IF(AND($C767="Efficiency", $N767="SF Detached",$P767="Yes"),$E767,"")</f>
        <v/>
      </c>
      <c r="FH767" s="2579" t="str">
        <f t="shared" ref="FH767:FH804" si="144">IF(AND($C767=1, $N767="SF Detached",$P767="Yes"),$E767,"")</f>
        <v/>
      </c>
      <c r="FI767" s="2579" t="str">
        <f t="shared" ref="FI767:FI804" si="145">IF(AND($C767=2, $N767="SF Detached",$P767="Yes"),$E767,"")</f>
        <v/>
      </c>
      <c r="FJ767" s="2579" t="str">
        <f t="shared" ref="FJ767:FJ804" si="146">IF(AND($C767=3, $N767="SF Detached",$P767="Yes"),$E767,"")</f>
        <v/>
      </c>
      <c r="FK767" s="2579" t="str">
        <f t="shared" ref="FK767:FK804" si="147">IF(AND($C767=4, $N767="SF Detached",$P767="Yes"),$E767,"")</f>
        <v/>
      </c>
      <c r="FL767" s="2579" t="str">
        <f t="shared" ref="FL767:FL804" si="148">IF(AND($C767="Efficiency", $N767="Mfd Home",NOT($P767="Yes")),$E767,"")</f>
        <v/>
      </c>
      <c r="FM767" s="2579" t="str">
        <f t="shared" ref="FM767:FM804" si="149">IF(AND($C767=1, $N767="Mfd Home",NOT($P767="Yes")),$E767,"")</f>
        <v/>
      </c>
      <c r="FN767" s="2579" t="str">
        <f t="shared" ref="FN767:FN804" si="150">IF(AND($C767=2, $N767="Mfd Home",NOT($P767="Yes")),$E767,"")</f>
        <v/>
      </c>
      <c r="FO767" s="2579" t="str">
        <f t="shared" ref="FO767:FO804" si="151">IF(AND($C767=3, $N767="Mfd Home",NOT($P767="Yes")),$E767,"")</f>
        <v/>
      </c>
      <c r="FP767" s="2579" t="str">
        <f t="shared" ref="FP767:FP804" si="152">IF(AND($C767=4, $N767="Mfd Home",NOT($P767="Yes")),$E767,"")</f>
        <v/>
      </c>
      <c r="FQ767" s="2579" t="str">
        <f t="shared" ref="FQ767:FQ804" si="153">IF(AND($C767="Efficiency", $N767="Mfd Home",$P767="Yes"),$E767,"")</f>
        <v/>
      </c>
      <c r="FR767" s="2579" t="str">
        <f t="shared" ref="FR767:FR804" si="154">IF(AND($C767=1, $N767="Mfd Home",$P767="Yes"),$E767,"")</f>
        <v/>
      </c>
      <c r="FS767" s="2579" t="str">
        <f t="shared" ref="FS767:FS804" si="155">IF(AND($C767=2, $N767="Mfd Home",$P767="Yes"),$E767,"")</f>
        <v/>
      </c>
      <c r="FT767" s="2579" t="str">
        <f t="shared" ref="FT767:FT804" si="156">IF(AND($C767=3, $N767="Mfd Home",$P767="Yes"),$E767,"")</f>
        <v/>
      </c>
      <c r="FU767" s="2579" t="str">
        <f t="shared" ref="FU767:FU804" si="157">IF(AND($C767=4, $N767="Mfd Home",$P767="Yes"),$E767,"")</f>
        <v/>
      </c>
      <c r="FV767" s="2579" t="str">
        <f t="shared" ref="FV767:FV804" si="158">IF(AND($C767="Efficiency", $N767="Duplex",NOT($P767="Yes")),$E767,"")</f>
        <v/>
      </c>
      <c r="FW767" s="2579" t="str">
        <f t="shared" ref="FW767:FW804" si="159">IF(AND($C767=1, $N767="Duplex",NOT($P767="Yes")),$E767,"")</f>
        <v/>
      </c>
      <c r="FX767" s="2579" t="str">
        <f t="shared" ref="FX767:FX804" si="160">IF(AND($C767=2, $N767="Duplex",NOT($P767="Yes")),$E767,"")</f>
        <v/>
      </c>
      <c r="FY767" s="2579" t="str">
        <f t="shared" ref="FY767:FY804" si="161">IF(AND($C767=3, $N767="Duplex",NOT($P767="Yes")),$E767,"")</f>
        <v/>
      </c>
      <c r="FZ767" s="2579" t="str">
        <f t="shared" ref="FZ767:FZ804" si="162">IF(AND($C767=4, $N767="Duplex",NOT($P767="Yes")),$E767,"")</f>
        <v/>
      </c>
      <c r="GA767" s="2579" t="str">
        <f t="shared" ref="GA767:GA804" si="163">IF(AND($C767="Efficiency", $N767="Duplex",$P767="Yes"),$E767,"")</f>
        <v/>
      </c>
      <c r="GB767" s="2579" t="str">
        <f t="shared" ref="GB767:GB804" si="164">IF(AND($C767=1, $N767="Duplex",$P767="Yes"),$E767,"")</f>
        <v/>
      </c>
      <c r="GC767" s="2579" t="str">
        <f t="shared" ref="GC767:GC804" si="165">IF(AND($C767=2, $N767="Duplex",$P767="Yes"),$E767,"")</f>
        <v/>
      </c>
      <c r="GD767" s="2579" t="str">
        <f t="shared" ref="GD767:GD804" si="166">IF(AND($C767=3, $N767="Duplex",$P767="Yes"),$E767,"")</f>
        <v/>
      </c>
      <c r="GE767" s="2579" t="str">
        <f t="shared" ref="GE767:GE804" si="167">IF(AND($C767=4, $N767="Duplex",$P767="Yes"),$E767,"")</f>
        <v/>
      </c>
      <c r="GF767" s="2579" t="str">
        <f t="shared" ref="GF767:GF804" si="168">IF(AND($C767="Efficiency", $N767="Townhome",NOT($P767="Yes")),$E767,"")</f>
        <v/>
      </c>
      <c r="GG767" s="2579" t="str">
        <f t="shared" ref="GG767:GG804" si="169">IF(AND($C767=1, $N767="Townhome",NOT($P767="Yes")),$E767,"")</f>
        <v/>
      </c>
      <c r="GH767" s="2579" t="str">
        <f t="shared" ref="GH767:GH804" si="170">IF(AND($C767=2, $N767="Townhome",NOT($P767="Yes")),$E767,"")</f>
        <v/>
      </c>
      <c r="GI767" s="2579" t="str">
        <f t="shared" ref="GI767:GI804" si="171">IF(AND($C767=3, $N767="Townhome",NOT($P767="Yes")),$E767,"")</f>
        <v/>
      </c>
      <c r="GJ767" s="2579" t="str">
        <f t="shared" ref="GJ767:GJ804" si="172">IF(AND($C767=4, $N767="Townhome",NOT($P767="Yes")),$E767,"")</f>
        <v/>
      </c>
      <c r="GK767" s="2579" t="str">
        <f t="shared" ref="GK767:GK804" si="173">IF(AND($C767="Efficiency", $N767="Townhome",$P767="Yes"),$E767,"")</f>
        <v/>
      </c>
      <c r="GL767" s="2579" t="str">
        <f t="shared" ref="GL767:GL804" si="174">IF(AND($C767=1, $N767="Townhome",$P767="Yes"),$E767,"")</f>
        <v/>
      </c>
      <c r="GM767" s="2579" t="str">
        <f t="shared" ref="GM767:GM804" si="175">IF(AND($C767=2, $N767="Townhome",$P767="Yes"),$E767,"")</f>
        <v/>
      </c>
      <c r="GN767" s="2579" t="str">
        <f t="shared" ref="GN767:GN804" si="176">IF(AND($C767=3, $N767="Townhome",$P767="Yes"),$E767,"")</f>
        <v/>
      </c>
      <c r="GO767" s="2579" t="str">
        <f t="shared" ref="GO767:GO804" si="177">IF(AND($C767=4, $N767="Townhome",$P767="Yes"),$E767,"")</f>
        <v/>
      </c>
      <c r="GP767" s="2579" t="str">
        <f t="shared" ref="GP767:GP804" si="178">IF(AND($C767="Efficiency", $N767="1-Story",NOT($P767="Yes")),$E767,"")</f>
        <v/>
      </c>
      <c r="GQ767" s="2579" t="str">
        <f t="shared" ref="GQ767:GQ804" si="179">IF(AND($C767=1, $N767="1-Story",NOT($P767="Yes")),$E767,"")</f>
        <v/>
      </c>
      <c r="GR767" s="2579" t="str">
        <f t="shared" ref="GR767:GR804" si="180">IF(AND($C767=2, $N767="1-Story",NOT($P767="Yes")),$E767,"")</f>
        <v/>
      </c>
      <c r="GS767" s="2579" t="str">
        <f t="shared" ref="GS767:GS804" si="181">IF(AND($C767=3, $N767="1-Story",NOT($P767="Yes")),$E767,"")</f>
        <v/>
      </c>
      <c r="GT767" s="2579" t="str">
        <f t="shared" ref="GT767:GT804" si="182">IF(AND($C767=4, $N767="1-Story",NOT($P767="Yes")),$E767,"")</f>
        <v/>
      </c>
      <c r="GU767" s="2579" t="str">
        <f t="shared" ref="GU767:GU804" si="183">IF(AND($C767="Efficiency", $N767="1-Story",$P767="Yes"),$E767,"")</f>
        <v/>
      </c>
      <c r="GV767" s="2579" t="str">
        <f t="shared" ref="GV767:GV804" si="184">IF(AND($C767=1, $N767="1-Story",$P767="Yes"),$E767,"")</f>
        <v/>
      </c>
      <c r="GW767" s="2579" t="str">
        <f t="shared" ref="GW767:GW804" si="185">IF(AND($C767=2, $N767="1-Story",$P767="Yes"),$E767,"")</f>
        <v/>
      </c>
      <c r="GX767" s="2579" t="str">
        <f t="shared" ref="GX767:GX804" si="186">IF(AND($C767=3, $N767="1-Story",$P767="Yes"),$E767,"")</f>
        <v/>
      </c>
      <c r="GY767" s="2579" t="str">
        <f t="shared" ref="GY767:GY804" si="187">IF(AND($C767=4, $N767="1-Story",$P767="Yes"),$E767,"")</f>
        <v/>
      </c>
      <c r="GZ767" s="2579" t="str">
        <f t="shared" ref="GZ767:GZ804" si="188">IF(AND($C767="Efficiency", $N767="2-Story",NOT($P767="Yes")),$E767,"")</f>
        <v/>
      </c>
      <c r="HA767" s="2579" t="str">
        <f t="shared" ref="HA767:HA804" si="189">IF(AND($C767=1, $N767="2-Story",NOT($P767="Yes")),$E767,"")</f>
        <v/>
      </c>
      <c r="HB767" s="2579" t="str">
        <f t="shared" ref="HB767:HB804" si="190">IF(AND($C767=2, $N767="2-Story",NOT($P767="Yes")),$E767,"")</f>
        <v/>
      </c>
      <c r="HC767" s="2579" t="str">
        <f t="shared" ref="HC767:HC804" si="191">IF(AND($C767=3, $N767="2-Story",NOT($P767="Yes")),$E767,"")</f>
        <v/>
      </c>
      <c r="HD767" s="2579" t="str">
        <f t="shared" ref="HD767:HD804" si="192">IF(AND($C767=4, $N767="2-Story",NOT($P767="Yes")),$E767,"")</f>
        <v/>
      </c>
      <c r="HE767" s="2579" t="str">
        <f t="shared" ref="HE767:HE804" si="193">IF(AND($C767="Efficiency", $N767="2-Story",$P767="Yes"),$E767,"")</f>
        <v/>
      </c>
      <c r="HF767" s="2579" t="str">
        <f t="shared" ref="HF767:HF804" si="194">IF(AND($C767=1, $N767="2-Story",$P767="Yes"),$E767,"")</f>
        <v/>
      </c>
      <c r="HG767" s="2579" t="str">
        <f t="shared" ref="HG767:HG804" si="195">IF(AND($C767=2, $N767="2-Story",$P767="Yes"),$E767,"")</f>
        <v/>
      </c>
      <c r="HH767" s="2579" t="str">
        <f t="shared" ref="HH767:HH804" si="196">IF(AND($C767=3, $N767="2-Story",$P767="Yes"),$E767,"")</f>
        <v/>
      </c>
      <c r="HI767" s="2579" t="str">
        <f t="shared" ref="HI767:HI804" si="197">IF(AND($C767=4, $N767="2-Story",$P767="Yes"),$E767,"")</f>
        <v/>
      </c>
      <c r="HJ767" s="2579" t="str">
        <f t="shared" ref="HJ767:HJ804" si="198">IF(AND($C767="Efficiency", $N767="2-Story Walkup",NOT($P767="Yes")),$E767,"")</f>
        <v/>
      </c>
      <c r="HK767" s="2579" t="str">
        <f t="shared" ref="HK767:HK804" si="199">IF(AND($C767=1, $N767="2-Story Walkup",NOT($P767="Yes")),$E767,"")</f>
        <v/>
      </c>
      <c r="HL767" s="2579" t="str">
        <f t="shared" ref="HL767:HL804" si="200">IF(AND($C767=2, $N767="2-Story Walkup",NOT($P767="Yes")),$E767,"")</f>
        <v/>
      </c>
      <c r="HM767" s="2579" t="str">
        <f t="shared" ref="HM767:HM804" si="201">IF(AND($C767=3, $N767="2-Story Walkup",NOT($P767="Yes")),$E767,"")</f>
        <v/>
      </c>
      <c r="HN767" s="2579" t="str">
        <f t="shared" ref="HN767:HN804" si="202">IF(AND($C767=4, $N767="2-Story Walkup",NOT($P767="Yes")),$E767,"")</f>
        <v/>
      </c>
      <c r="HO767" s="2579" t="str">
        <f t="shared" ref="HO767:HO804" si="203">IF(AND($C767="Efficiency", $N767="2-Story Walkup",$P767="Yes"),$E767,"")</f>
        <v/>
      </c>
      <c r="HP767" s="2579" t="str">
        <f t="shared" ref="HP767:HP804" si="204">IF(AND($C767=1, $N767="2-Story Walkup",$P767="Yes"),$E767,"")</f>
        <v/>
      </c>
      <c r="HQ767" s="2579" t="str">
        <f t="shared" ref="HQ767:HQ804" si="205">IF(AND($C767=2, $N767="2-Story Walkup",$P767="Yes"),$E767,"")</f>
        <v/>
      </c>
      <c r="HR767" s="2579" t="str">
        <f t="shared" ref="HR767:HR804" si="206">IF(AND($C767=3, $N767="2-Story Walkup",$P767="Yes"),$E767,"")</f>
        <v/>
      </c>
      <c r="HS767" s="2579" t="str">
        <f t="shared" ref="HS767:HS804" si="207">IF(AND($C767=4, $N767="2-Story Walkup",$P767="Yes"),$E767,"")</f>
        <v/>
      </c>
      <c r="HT767" s="2579" t="str">
        <f t="shared" ref="HT767:HT804" si="208">IF(AND($C767="Efficiency", $N767="3+ Story",NOT($P767="Yes")),$E767,"")</f>
        <v/>
      </c>
      <c r="HU767" s="2579">
        <f t="shared" ref="HU767:HU804" si="209">IF(AND($C767=1, $N767="3+ Story",NOT($P767="Yes")),$E767,"")</f>
        <v>8</v>
      </c>
      <c r="HV767" s="2579" t="str">
        <f t="shared" ref="HV767:HV804" si="210">IF(AND($C767=2, $N767="3+ Story",NOT($P767="Yes")),$E767,"")</f>
        <v/>
      </c>
      <c r="HW767" s="2579" t="str">
        <f t="shared" ref="HW767:HW804" si="211">IF(AND($C767=3, $N767="3+ Story",NOT($P767="Yes")),$E767,"")</f>
        <v/>
      </c>
      <c r="HX767" s="2579" t="str">
        <f t="shared" ref="HX767:HX804" si="212">IF(AND($C767=4, $N767="3+ Story",NOT($P767="Yes")),$E767,"")</f>
        <v/>
      </c>
      <c r="HY767" s="2579" t="str">
        <f t="shared" ref="HY767:HY804" si="213">IF(AND($C767="Efficiency", $N767="3+ Story",$P767="Yes"),$E767,"")</f>
        <v/>
      </c>
      <c r="HZ767" s="2579" t="str">
        <f t="shared" ref="HZ767:HZ804" si="214">IF(AND($C767=1, $N767="3+ Story",$P767="Yes"),$E767,"")</f>
        <v/>
      </c>
      <c r="IA767" s="2579" t="str">
        <f t="shared" ref="IA767:IA804" si="215">IF(AND($C767=2, $N767="3+ Story",$P767="Yes"),$E767,"")</f>
        <v/>
      </c>
      <c r="IB767" s="2579" t="str">
        <f t="shared" ref="IB767:IB804" si="216">IF(AND($C767=3, $N767="3+ Story",$P767="Yes"),$E767,"")</f>
        <v/>
      </c>
      <c r="IC767" s="2579" t="str">
        <f t="shared" ref="IC767:IC804" si="217">IF(AND($C767=4, $N767="3+ Story",$P767="Yes"),$E767,"")</f>
        <v/>
      </c>
      <c r="ID767" s="2551" t="str">
        <f t="shared" ref="ID767:ID804" si="218">IF(AND($B767="NSP 120% AMI",$C767="Efficiency", NOT($M767="Common Space")),$E767,"")</f>
        <v/>
      </c>
      <c r="IE767" s="2551" t="str">
        <f t="shared" ref="IE767:IE804" si="219">IF(AND($B767="NSP 120% AMI",$C767=1,NOT($M767="Common Space")),$E767,"")</f>
        <v/>
      </c>
      <c r="IF767" s="2551" t="str">
        <f t="shared" ref="IF767:IF804" si="220">IF(AND($B767="NSP 120% AMI",$C767=2,NOT($M767="Common Space")),$E767,"")</f>
        <v/>
      </c>
      <c r="IG767" s="2551" t="str">
        <f t="shared" ref="IG767:IG804" si="221">IF(AND($B767="NSP 120% AMI",$C767=3,NOT($M767="Common Space")),$E767,"")</f>
        <v/>
      </c>
      <c r="IH767" s="2551"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8</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0"/>
        <v/>
      </c>
      <c r="B768" s="2571" t="str">
        <f>'Part VI-Revenues &amp; Expenses'!B11</f>
        <v>60% AMI</v>
      </c>
      <c r="C768" s="2572">
        <f>'Part VI-Revenues &amp; Expenses'!C11</f>
        <v>1</v>
      </c>
      <c r="D768" s="2573">
        <f>'Part VI-Revenues &amp; Expenses'!D11</f>
        <v>1</v>
      </c>
      <c r="E768" s="2574">
        <f>'Part VI-Revenues &amp; Expenses'!E11</f>
        <v>30</v>
      </c>
      <c r="F768" s="2574">
        <f>'Part VI-Revenues &amp; Expenses'!F11</f>
        <v>660</v>
      </c>
      <c r="G768" s="2574">
        <f>'Part VI-Revenues &amp; Expenses'!G11</f>
        <v>680</v>
      </c>
      <c r="H768" s="2574">
        <f>'Part VI-Revenues &amp; Expenses'!H11</f>
        <v>680</v>
      </c>
      <c r="I768" s="2574">
        <f>'Part VI-Revenues &amp; Expenses'!I11</f>
        <v>0</v>
      </c>
      <c r="J768" s="2575">
        <f>'Part VI-Revenues &amp; Expenses'!J11</f>
        <v>0</v>
      </c>
      <c r="K768" s="2576">
        <f t="shared" si="1"/>
        <v>680</v>
      </c>
      <c r="L768" s="2576">
        <f t="shared" si="2"/>
        <v>20400</v>
      </c>
      <c r="M768" s="2450" t="str">
        <f>'Part VI-Revenues &amp; Expenses'!M11</f>
        <v>No</v>
      </c>
      <c r="N768" s="2450" t="str">
        <f>'Part VI-Revenues &amp; Expenses'!N11</f>
        <v>3+ Story</v>
      </c>
      <c r="O768" s="2450" t="str">
        <f>'Part VI-Revenues &amp; Expenses'!O11</f>
        <v>New Construction</v>
      </c>
      <c r="P768" s="2556" t="str">
        <f>'Part VI-Revenues &amp; Expenses'!P11</f>
        <v>No</v>
      </c>
      <c r="Q768" s="2577">
        <f>'Part VI-Revenues &amp; Expenses'!Q11</f>
        <v>27200</v>
      </c>
      <c r="R768" s="2578">
        <f>'Part VI-Revenues &amp; Expenses'!R11</f>
        <v>0.5877903835764452</v>
      </c>
      <c r="S768" s="2577">
        <f>'Part VI-Revenues &amp; Expenses'!S11</f>
        <v>0</v>
      </c>
      <c r="T768" s="2578">
        <f>'Part VI-Revenues &amp; Expenses'!T11</f>
        <v>0</v>
      </c>
      <c r="U768" s="2500"/>
      <c r="V768" s="2500"/>
      <c r="W768" s="683" t="str">
        <f t="shared" si="3"/>
        <v/>
      </c>
      <c r="X768" s="683">
        <f t="shared" si="4"/>
        <v>30</v>
      </c>
      <c r="Y768" s="683" t="str">
        <f t="shared" si="5"/>
        <v/>
      </c>
      <c r="Z768" s="683" t="str">
        <f t="shared" si="6"/>
        <v/>
      </c>
      <c r="AA768" s="683" t="str">
        <f t="shared" si="7"/>
        <v/>
      </c>
      <c r="AB768" s="683" t="str">
        <f t="shared" si="8"/>
        <v/>
      </c>
      <c r="AC768" s="683" t="str">
        <f t="shared" si="9"/>
        <v/>
      </c>
      <c r="AD768" s="683" t="str">
        <f t="shared" si="10"/>
        <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f t="shared" si="59"/>
        <v>19800</v>
      </c>
      <c r="CB768" s="683" t="str">
        <f t="shared" si="60"/>
        <v/>
      </c>
      <c r="CC768" s="683" t="str">
        <f t="shared" si="61"/>
        <v/>
      </c>
      <c r="CD768" s="683" t="str">
        <f t="shared" si="62"/>
        <v/>
      </c>
      <c r="CE768" s="683" t="str">
        <f t="shared" si="63"/>
        <v/>
      </c>
      <c r="CF768" s="683" t="str">
        <f t="shared" si="64"/>
        <v/>
      </c>
      <c r="CG768" s="683" t="str">
        <f t="shared" si="65"/>
        <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f t="shared" si="89"/>
        <v>30</v>
      </c>
      <c r="DF768" s="683" t="str">
        <f t="shared" si="90"/>
        <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t="str">
        <f t="shared" si="118"/>
        <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2579" t="str">
        <f t="shared" si="133"/>
        <v/>
      </c>
      <c r="EX768" s="2579">
        <f t="shared" si="134"/>
        <v>30</v>
      </c>
      <c r="EY768" s="2579" t="str">
        <f t="shared" si="135"/>
        <v/>
      </c>
      <c r="EZ768" s="2579" t="str">
        <f t="shared" si="136"/>
        <v/>
      </c>
      <c r="FA768" s="2579" t="str">
        <f t="shared" si="137"/>
        <v/>
      </c>
      <c r="FB768" s="2579" t="str">
        <f t="shared" si="138"/>
        <v/>
      </c>
      <c r="FC768" s="2579" t="str">
        <f t="shared" si="139"/>
        <v/>
      </c>
      <c r="FD768" s="2579" t="str">
        <f t="shared" si="140"/>
        <v/>
      </c>
      <c r="FE768" s="2579" t="str">
        <f t="shared" si="141"/>
        <v/>
      </c>
      <c r="FF768" s="2579" t="str">
        <f t="shared" si="142"/>
        <v/>
      </c>
      <c r="FG768" s="2579" t="str">
        <f t="shared" si="143"/>
        <v/>
      </c>
      <c r="FH768" s="2579" t="str">
        <f t="shared" si="144"/>
        <v/>
      </c>
      <c r="FI768" s="2579" t="str">
        <f t="shared" si="145"/>
        <v/>
      </c>
      <c r="FJ768" s="2579" t="str">
        <f t="shared" si="146"/>
        <v/>
      </c>
      <c r="FK768" s="2579" t="str">
        <f t="shared" si="147"/>
        <v/>
      </c>
      <c r="FL768" s="2579" t="str">
        <f t="shared" si="148"/>
        <v/>
      </c>
      <c r="FM768" s="2579" t="str">
        <f t="shared" si="149"/>
        <v/>
      </c>
      <c r="FN768" s="2579" t="str">
        <f t="shared" si="150"/>
        <v/>
      </c>
      <c r="FO768" s="2579" t="str">
        <f t="shared" si="151"/>
        <v/>
      </c>
      <c r="FP768" s="2579" t="str">
        <f t="shared" si="152"/>
        <v/>
      </c>
      <c r="FQ768" s="2579" t="str">
        <f t="shared" si="153"/>
        <v/>
      </c>
      <c r="FR768" s="2579" t="str">
        <f t="shared" si="154"/>
        <v/>
      </c>
      <c r="FS768" s="2579" t="str">
        <f t="shared" si="155"/>
        <v/>
      </c>
      <c r="FT768" s="2579" t="str">
        <f t="shared" si="156"/>
        <v/>
      </c>
      <c r="FU768" s="2579" t="str">
        <f t="shared" si="157"/>
        <v/>
      </c>
      <c r="FV768" s="2579" t="str">
        <f t="shared" si="158"/>
        <v/>
      </c>
      <c r="FW768" s="2579" t="str">
        <f t="shared" si="159"/>
        <v/>
      </c>
      <c r="FX768" s="2579" t="str">
        <f t="shared" si="160"/>
        <v/>
      </c>
      <c r="FY768" s="2579" t="str">
        <f t="shared" si="161"/>
        <v/>
      </c>
      <c r="FZ768" s="2579" t="str">
        <f t="shared" si="162"/>
        <v/>
      </c>
      <c r="GA768" s="2579" t="str">
        <f t="shared" si="163"/>
        <v/>
      </c>
      <c r="GB768" s="2579" t="str">
        <f t="shared" si="164"/>
        <v/>
      </c>
      <c r="GC768" s="2579" t="str">
        <f t="shared" si="165"/>
        <v/>
      </c>
      <c r="GD768" s="2579" t="str">
        <f t="shared" si="166"/>
        <v/>
      </c>
      <c r="GE768" s="2579" t="str">
        <f t="shared" si="167"/>
        <v/>
      </c>
      <c r="GF768" s="2579" t="str">
        <f t="shared" si="168"/>
        <v/>
      </c>
      <c r="GG768" s="2579" t="str">
        <f t="shared" si="169"/>
        <v/>
      </c>
      <c r="GH768" s="2579" t="str">
        <f t="shared" si="170"/>
        <v/>
      </c>
      <c r="GI768" s="2579" t="str">
        <f t="shared" si="171"/>
        <v/>
      </c>
      <c r="GJ768" s="2579" t="str">
        <f t="shared" si="172"/>
        <v/>
      </c>
      <c r="GK768" s="2579" t="str">
        <f t="shared" si="173"/>
        <v/>
      </c>
      <c r="GL768" s="2579" t="str">
        <f t="shared" si="174"/>
        <v/>
      </c>
      <c r="GM768" s="2579" t="str">
        <f t="shared" si="175"/>
        <v/>
      </c>
      <c r="GN768" s="2579" t="str">
        <f t="shared" si="176"/>
        <v/>
      </c>
      <c r="GO768" s="2579" t="str">
        <f t="shared" si="177"/>
        <v/>
      </c>
      <c r="GP768" s="2579" t="str">
        <f t="shared" si="178"/>
        <v/>
      </c>
      <c r="GQ768" s="2579" t="str">
        <f t="shared" si="179"/>
        <v/>
      </c>
      <c r="GR768" s="2579" t="str">
        <f t="shared" si="180"/>
        <v/>
      </c>
      <c r="GS768" s="2579" t="str">
        <f t="shared" si="181"/>
        <v/>
      </c>
      <c r="GT768" s="2579" t="str">
        <f t="shared" si="182"/>
        <v/>
      </c>
      <c r="GU768" s="2579" t="str">
        <f t="shared" si="183"/>
        <v/>
      </c>
      <c r="GV768" s="2579" t="str">
        <f t="shared" si="184"/>
        <v/>
      </c>
      <c r="GW768" s="2579" t="str">
        <f t="shared" si="185"/>
        <v/>
      </c>
      <c r="GX768" s="2579" t="str">
        <f t="shared" si="186"/>
        <v/>
      </c>
      <c r="GY768" s="2579" t="str">
        <f t="shared" si="187"/>
        <v/>
      </c>
      <c r="GZ768" s="2579" t="str">
        <f t="shared" si="188"/>
        <v/>
      </c>
      <c r="HA768" s="2579" t="str">
        <f t="shared" si="189"/>
        <v/>
      </c>
      <c r="HB768" s="2579" t="str">
        <f t="shared" si="190"/>
        <v/>
      </c>
      <c r="HC768" s="2579" t="str">
        <f t="shared" si="191"/>
        <v/>
      </c>
      <c r="HD768" s="2579" t="str">
        <f t="shared" si="192"/>
        <v/>
      </c>
      <c r="HE768" s="2579" t="str">
        <f t="shared" si="193"/>
        <v/>
      </c>
      <c r="HF768" s="2579" t="str">
        <f t="shared" si="194"/>
        <v/>
      </c>
      <c r="HG768" s="2579" t="str">
        <f t="shared" si="195"/>
        <v/>
      </c>
      <c r="HH768" s="2579" t="str">
        <f t="shared" si="196"/>
        <v/>
      </c>
      <c r="HI768" s="2579" t="str">
        <f t="shared" si="197"/>
        <v/>
      </c>
      <c r="HJ768" s="2579" t="str">
        <f t="shared" si="198"/>
        <v/>
      </c>
      <c r="HK768" s="2579" t="str">
        <f t="shared" si="199"/>
        <v/>
      </c>
      <c r="HL768" s="2579" t="str">
        <f t="shared" si="200"/>
        <v/>
      </c>
      <c r="HM768" s="2579" t="str">
        <f t="shared" si="201"/>
        <v/>
      </c>
      <c r="HN768" s="2579" t="str">
        <f t="shared" si="202"/>
        <v/>
      </c>
      <c r="HO768" s="2579" t="str">
        <f t="shared" si="203"/>
        <v/>
      </c>
      <c r="HP768" s="2579" t="str">
        <f t="shared" si="204"/>
        <v/>
      </c>
      <c r="HQ768" s="2579" t="str">
        <f t="shared" si="205"/>
        <v/>
      </c>
      <c r="HR768" s="2579" t="str">
        <f t="shared" si="206"/>
        <v/>
      </c>
      <c r="HS768" s="2579" t="str">
        <f t="shared" si="207"/>
        <v/>
      </c>
      <c r="HT768" s="2579" t="str">
        <f t="shared" si="208"/>
        <v/>
      </c>
      <c r="HU768" s="2579">
        <f t="shared" si="209"/>
        <v>30</v>
      </c>
      <c r="HV768" s="2579" t="str">
        <f t="shared" si="210"/>
        <v/>
      </c>
      <c r="HW768" s="2579" t="str">
        <f t="shared" si="211"/>
        <v/>
      </c>
      <c r="HX768" s="2579" t="str">
        <f t="shared" si="212"/>
        <v/>
      </c>
      <c r="HY768" s="2579" t="str">
        <f t="shared" si="213"/>
        <v/>
      </c>
      <c r="HZ768" s="2579" t="str">
        <f t="shared" si="214"/>
        <v/>
      </c>
      <c r="IA768" s="2579" t="str">
        <f t="shared" si="215"/>
        <v/>
      </c>
      <c r="IB768" s="2579" t="str">
        <f t="shared" si="216"/>
        <v/>
      </c>
      <c r="IC768" s="2579" t="str">
        <f t="shared" si="217"/>
        <v/>
      </c>
      <c r="ID768" s="2551" t="str">
        <f t="shared" si="218"/>
        <v/>
      </c>
      <c r="IE768" s="2551" t="str">
        <f t="shared" si="219"/>
        <v/>
      </c>
      <c r="IF768" s="2551" t="str">
        <f t="shared" si="220"/>
        <v/>
      </c>
      <c r="IG768" s="2551" t="str">
        <f t="shared" si="221"/>
        <v/>
      </c>
      <c r="IH768" s="2551"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2549">
        <f t="shared" ref="JC768:JC804" si="243">IF(AND($C768="Efficiency",$E768&gt;0,OR($N768="1-Story",$N768="2-Story",$N768="3+ Story",$N768="2-Story Walkup",$N768="Townhome"),OR($O768="Acquisition/Rehab",$O768="Rehabilitation"),NOT($P768="Yes")),$E768,0)</f>
        <v>0</v>
      </c>
      <c r="JD768" s="2549">
        <f t="shared" ref="JD768:JD804" si="244">IF(AND($C768=1,$E768&gt;0,OR($N768="1-Story",$N768="2-Story",$N768="3+ Story",$N768="2-Story Walkup",$N768="Townhome"),OR($O768="Acquisition/Rehab",$O768="Rehabilitation"),NOT($P768="Yes")),$E768,0)</f>
        <v>0</v>
      </c>
      <c r="JE768" s="2549">
        <f t="shared" ref="JE768:JE804" si="245">IF(AND($C768=2,$E768&gt;0,OR($N768="1-Story",$N768="2-Story",$N768="3+ Story",$N768="2-Story Walkup",$N768="Townhome"),OR($O768="Acquisition/Rehab",$O768="Rehabilitation"),NOT($P768="Yes")),$E768,0)</f>
        <v>0</v>
      </c>
      <c r="JF768" s="2549">
        <f t="shared" ref="JF768:JF804" si="246">IF(AND($C768=3,$E768&gt;0,OR($N768="1-Story",$N768="2-Story",$N768="3+ Story",$N768="2-Story Walkup",$N768="Townhome"),OR($O768="Acquisition/Rehab",$O768="Rehabilitation"),NOT($P768="Yes")),$E768,0)</f>
        <v>0</v>
      </c>
      <c r="JG768" s="2549">
        <f t="shared" ref="JG768:JG804" si="247">IF(AND($C768=4,$E768&gt;0,OR($N768="1-Story",$N768="2-Story",$N768="3+ Story",$N768="2-Story Walkup",$N768="Townhome"),OR($O768="Acquisition/Rehab",$O768="Rehabilitation"),NOT($P768="Yes")),$E768,0)</f>
        <v>0</v>
      </c>
      <c r="JH768" s="2549">
        <f t="shared" ref="JH768:JH804" si="248">IF(AND($C768="Efficiency",$E768&gt;0,OR($N768="1-Story",$N768="2-Story",$N768="3+ Story",$N768="2-Story Walkup",$N768="Townhome"),$O768="New Construction"),$E768,0)</f>
        <v>0</v>
      </c>
      <c r="JI768" s="2549">
        <f t="shared" ref="JI768:JI804" si="249">IF(AND($C768=1,$E768&gt;0,OR($N768="1-Story",$N768="2-Story",$N768="3+ Story",$N768="2-Story Walkup",$N768="Townhome"),$O768="New Construction"),$E768,0)</f>
        <v>30</v>
      </c>
      <c r="JJ768" s="2549">
        <f t="shared" ref="JJ768:JJ804" si="250">IF(AND($C768=2,$E768&gt;0,OR($N768="1-Story",$N768="2-Story",$N768="3+ Story",$N768="2-Story Walkup",$N768="Townhome"),$O768="New Construction"),$E768,0)</f>
        <v>0</v>
      </c>
      <c r="JK768" s="2549">
        <f t="shared" ref="JK768:JK804" si="251">IF(AND($C768=3,$E768&gt;0,OR($N768="1-Story",$N768="2-Story",$N768="3+ Story",$N768="2-Story Walkup",$N768="Townhome"),$O768="New Construction"),$E768,0)</f>
        <v>0</v>
      </c>
      <c r="JL768" s="2549">
        <f t="shared" ref="JL768:JL804" si="252">IF(AND($C768=4,$E768&gt;0,OR($N768="1-Story",$N768="2-Story",$N768="3+ Story",$N768="2-Story Walkup",$N768="Townhome"),$O768="New Construction"),$E768,0)</f>
        <v>0</v>
      </c>
      <c r="JM768" s="2549">
        <f t="shared" ref="JM768:JM804" si="253">IF(AND($C768="Efficiency",$E768&gt;0,OR($N768="SF Detached",$N768="Duplex",$N768="Mfd Home"),NOT($P768="Yes")),$E768,0)</f>
        <v>0</v>
      </c>
      <c r="JN768" s="2549">
        <f t="shared" ref="JN768:JN804" si="254">IF(AND($C768=1,$E768&gt;0,OR($N768="SF Detached",$N768="Duplex",$N768="Mfd Home"),NOT($P768="Yes")),$E768,0)</f>
        <v>0</v>
      </c>
      <c r="JO768" s="2549">
        <f t="shared" ref="JO768:JO804" si="255">IF(AND($C768=2,$E768&gt;0,OR($N768="SF Detached",$N768="Duplex",$N768="Mfd Home"),NOT($P768="Yes")),$E768,0)</f>
        <v>0</v>
      </c>
      <c r="JP768" s="2549">
        <f t="shared" ref="JP768:JP804" si="256">IF(AND($C768=3,$E768&gt;0,OR($N768="SF Detached",$N768="Duplex",$N768="Mfd Home"),NOT($P768="Yes")),$E768,0)</f>
        <v>0</v>
      </c>
      <c r="JQ768" s="2549">
        <f t="shared" ref="JQ768:JQ804" si="257">IF(AND($C768=4,$E768&gt;0,OR($N768="SF Detached",$N768="Duplex",$N768="Mfd Home"),NOT($P768="Yes")),$E768,0)</f>
        <v>0</v>
      </c>
    </row>
    <row r="769" spans="1:277" ht="12" customHeight="1">
      <c r="A769" s="2562" t="str">
        <f t="shared" si="0"/>
        <v/>
      </c>
      <c r="B769" s="2571" t="str">
        <f>'Part VI-Revenues &amp; Expenses'!B12</f>
        <v>Unrestricted</v>
      </c>
      <c r="C769" s="2572">
        <f>'Part VI-Revenues &amp; Expenses'!C12</f>
        <v>1</v>
      </c>
      <c r="D769" s="2573">
        <f>'Part VI-Revenues &amp; Expenses'!D12</f>
        <v>1</v>
      </c>
      <c r="E769" s="2574">
        <f>'Part VI-Revenues &amp; Expenses'!E12</f>
        <v>8</v>
      </c>
      <c r="F769" s="2574">
        <f>'Part VI-Revenues &amp; Expenses'!F12</f>
        <v>660</v>
      </c>
      <c r="G769" s="2574">
        <f>'Part VI-Revenues &amp; Expenses'!G12</f>
        <v>0</v>
      </c>
      <c r="H769" s="2574">
        <f>'Part VI-Revenues &amp; Expenses'!H12</f>
        <v>800</v>
      </c>
      <c r="I769" s="2574">
        <f>'Part VI-Revenues &amp; Expenses'!I12</f>
        <v>0</v>
      </c>
      <c r="J769" s="2575">
        <f>'Part VI-Revenues &amp; Expenses'!J12</f>
        <v>0</v>
      </c>
      <c r="K769" s="2576">
        <f t="shared" si="1"/>
        <v>800</v>
      </c>
      <c r="L769" s="2576">
        <f t="shared" si="2"/>
        <v>6400</v>
      </c>
      <c r="M769" s="2450" t="str">
        <f>'Part VI-Revenues &amp; Expenses'!M12</f>
        <v>No</v>
      </c>
      <c r="N769" s="2450" t="str">
        <f>'Part VI-Revenues &amp; Expenses'!N12</f>
        <v>3+ Story</v>
      </c>
      <c r="O769" s="2450" t="str">
        <f>'Part VI-Revenues &amp; Expenses'!O12</f>
        <v>New Construction</v>
      </c>
      <c r="P769" s="2556" t="str">
        <f>'Part VI-Revenues &amp; Expenses'!P12</f>
        <v>No</v>
      </c>
      <c r="Q769" s="2577">
        <f>'Part VI-Revenues &amp; Expenses'!Q12</f>
        <v>32000</v>
      </c>
      <c r="R769" s="2578">
        <f>'Part VI-Revenues &amp; Expenses'!R12</f>
        <v>0.69151809832522959</v>
      </c>
      <c r="S769" s="2577">
        <f>'Part VI-Revenues &amp; Expenses'!S12</f>
        <v>0</v>
      </c>
      <c r="T769" s="2578">
        <f>'Part VI-Revenues &amp; Expenses'!T12</f>
        <v>0</v>
      </c>
      <c r="U769" s="2500"/>
      <c r="V769" s="2500"/>
      <c r="W769" s="683" t="str">
        <f t="shared" si="3"/>
        <v/>
      </c>
      <c r="X769" s="683" t="str">
        <f t="shared" si="4"/>
        <v/>
      </c>
      <c r="Y769" s="683" t="str">
        <f t="shared" si="5"/>
        <v/>
      </c>
      <c r="Z769" s="683" t="str">
        <f t="shared" si="6"/>
        <v/>
      </c>
      <c r="AA769" s="683" t="str">
        <f t="shared" si="7"/>
        <v/>
      </c>
      <c r="AB769" s="683" t="str">
        <f t="shared" si="8"/>
        <v/>
      </c>
      <c r="AC769" s="683" t="str">
        <f t="shared" si="9"/>
        <v/>
      </c>
      <c r="AD769" s="683" t="str">
        <f t="shared" si="10"/>
        <v/>
      </c>
      <c r="AE769" s="683" t="str">
        <f t="shared" si="11"/>
        <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f t="shared" si="19"/>
        <v>8</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t="str">
        <f t="shared" si="59"/>
        <v/>
      </c>
      <c r="CB769" s="683" t="str">
        <f t="shared" si="60"/>
        <v/>
      </c>
      <c r="CC769" s="683" t="str">
        <f t="shared" si="61"/>
        <v/>
      </c>
      <c r="CD769" s="683" t="str">
        <f t="shared" si="62"/>
        <v/>
      </c>
      <c r="CE769" s="683" t="str">
        <f t="shared" si="63"/>
        <v/>
      </c>
      <c r="CF769" s="683" t="str">
        <f t="shared" si="64"/>
        <v/>
      </c>
      <c r="CG769" s="683" t="str">
        <f t="shared" si="65"/>
        <v/>
      </c>
      <c r="CH769" s="683" t="str">
        <f t="shared" si="66"/>
        <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f t="shared" si="74"/>
        <v>5280</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t="str">
        <f t="shared" si="89"/>
        <v/>
      </c>
      <c r="DF769" s="683" t="str">
        <f t="shared" si="90"/>
        <v/>
      </c>
      <c r="DG769" s="683" t="str">
        <f t="shared" si="91"/>
        <v/>
      </c>
      <c r="DH769" s="683" t="str">
        <f t="shared" si="92"/>
        <v/>
      </c>
      <c r="DI769" s="683" t="str">
        <f t="shared" si="93"/>
        <v/>
      </c>
      <c r="DJ769" s="683">
        <f t="shared" si="94"/>
        <v>8</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t="str">
        <f t="shared" si="119"/>
        <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2579" t="str">
        <f t="shared" si="133"/>
        <v/>
      </c>
      <c r="EX769" s="2579">
        <f t="shared" si="134"/>
        <v>8</v>
      </c>
      <c r="EY769" s="2579" t="str">
        <f t="shared" si="135"/>
        <v/>
      </c>
      <c r="EZ769" s="2579" t="str">
        <f t="shared" si="136"/>
        <v/>
      </c>
      <c r="FA769" s="2579" t="str">
        <f t="shared" si="137"/>
        <v/>
      </c>
      <c r="FB769" s="2579" t="str">
        <f t="shared" si="138"/>
        <v/>
      </c>
      <c r="FC769" s="2579" t="str">
        <f t="shared" si="139"/>
        <v/>
      </c>
      <c r="FD769" s="2579" t="str">
        <f t="shared" si="140"/>
        <v/>
      </c>
      <c r="FE769" s="2579" t="str">
        <f t="shared" si="141"/>
        <v/>
      </c>
      <c r="FF769" s="2579" t="str">
        <f t="shared" si="142"/>
        <v/>
      </c>
      <c r="FG769" s="2579" t="str">
        <f t="shared" si="143"/>
        <v/>
      </c>
      <c r="FH769" s="2579" t="str">
        <f t="shared" si="144"/>
        <v/>
      </c>
      <c r="FI769" s="2579" t="str">
        <f t="shared" si="145"/>
        <v/>
      </c>
      <c r="FJ769" s="2579" t="str">
        <f t="shared" si="146"/>
        <v/>
      </c>
      <c r="FK769" s="2579" t="str">
        <f t="shared" si="147"/>
        <v/>
      </c>
      <c r="FL769" s="2579" t="str">
        <f t="shared" si="148"/>
        <v/>
      </c>
      <c r="FM769" s="2579" t="str">
        <f t="shared" si="149"/>
        <v/>
      </c>
      <c r="FN769" s="2579" t="str">
        <f t="shared" si="150"/>
        <v/>
      </c>
      <c r="FO769" s="2579" t="str">
        <f t="shared" si="151"/>
        <v/>
      </c>
      <c r="FP769" s="2579" t="str">
        <f t="shared" si="152"/>
        <v/>
      </c>
      <c r="FQ769" s="2579" t="str">
        <f t="shared" si="153"/>
        <v/>
      </c>
      <c r="FR769" s="2579" t="str">
        <f t="shared" si="154"/>
        <v/>
      </c>
      <c r="FS769" s="2579" t="str">
        <f t="shared" si="155"/>
        <v/>
      </c>
      <c r="FT769" s="2579" t="str">
        <f t="shared" si="156"/>
        <v/>
      </c>
      <c r="FU769" s="2579" t="str">
        <f t="shared" si="157"/>
        <v/>
      </c>
      <c r="FV769" s="2579" t="str">
        <f t="shared" si="158"/>
        <v/>
      </c>
      <c r="FW769" s="2579" t="str">
        <f t="shared" si="159"/>
        <v/>
      </c>
      <c r="FX769" s="2579" t="str">
        <f t="shared" si="160"/>
        <v/>
      </c>
      <c r="FY769" s="2579" t="str">
        <f t="shared" si="161"/>
        <v/>
      </c>
      <c r="FZ769" s="2579" t="str">
        <f t="shared" si="162"/>
        <v/>
      </c>
      <c r="GA769" s="2579" t="str">
        <f t="shared" si="163"/>
        <v/>
      </c>
      <c r="GB769" s="2579" t="str">
        <f t="shared" si="164"/>
        <v/>
      </c>
      <c r="GC769" s="2579" t="str">
        <f t="shared" si="165"/>
        <v/>
      </c>
      <c r="GD769" s="2579" t="str">
        <f t="shared" si="166"/>
        <v/>
      </c>
      <c r="GE769" s="2579" t="str">
        <f t="shared" si="167"/>
        <v/>
      </c>
      <c r="GF769" s="2579" t="str">
        <f t="shared" si="168"/>
        <v/>
      </c>
      <c r="GG769" s="2579" t="str">
        <f t="shared" si="169"/>
        <v/>
      </c>
      <c r="GH769" s="2579" t="str">
        <f t="shared" si="170"/>
        <v/>
      </c>
      <c r="GI769" s="2579" t="str">
        <f t="shared" si="171"/>
        <v/>
      </c>
      <c r="GJ769" s="2579" t="str">
        <f t="shared" si="172"/>
        <v/>
      </c>
      <c r="GK769" s="2579" t="str">
        <f t="shared" si="173"/>
        <v/>
      </c>
      <c r="GL769" s="2579" t="str">
        <f t="shared" si="174"/>
        <v/>
      </c>
      <c r="GM769" s="2579" t="str">
        <f t="shared" si="175"/>
        <v/>
      </c>
      <c r="GN769" s="2579" t="str">
        <f t="shared" si="176"/>
        <v/>
      </c>
      <c r="GO769" s="2579" t="str">
        <f t="shared" si="177"/>
        <v/>
      </c>
      <c r="GP769" s="2579" t="str">
        <f t="shared" si="178"/>
        <v/>
      </c>
      <c r="GQ769" s="2579" t="str">
        <f t="shared" si="179"/>
        <v/>
      </c>
      <c r="GR769" s="2579" t="str">
        <f t="shared" si="180"/>
        <v/>
      </c>
      <c r="GS769" s="2579" t="str">
        <f t="shared" si="181"/>
        <v/>
      </c>
      <c r="GT769" s="2579" t="str">
        <f t="shared" si="182"/>
        <v/>
      </c>
      <c r="GU769" s="2579" t="str">
        <f t="shared" si="183"/>
        <v/>
      </c>
      <c r="GV769" s="2579" t="str">
        <f t="shared" si="184"/>
        <v/>
      </c>
      <c r="GW769" s="2579" t="str">
        <f t="shared" si="185"/>
        <v/>
      </c>
      <c r="GX769" s="2579" t="str">
        <f t="shared" si="186"/>
        <v/>
      </c>
      <c r="GY769" s="2579" t="str">
        <f t="shared" si="187"/>
        <v/>
      </c>
      <c r="GZ769" s="2579" t="str">
        <f t="shared" si="188"/>
        <v/>
      </c>
      <c r="HA769" s="2579" t="str">
        <f t="shared" si="189"/>
        <v/>
      </c>
      <c r="HB769" s="2579" t="str">
        <f t="shared" si="190"/>
        <v/>
      </c>
      <c r="HC769" s="2579" t="str">
        <f t="shared" si="191"/>
        <v/>
      </c>
      <c r="HD769" s="2579" t="str">
        <f t="shared" si="192"/>
        <v/>
      </c>
      <c r="HE769" s="2579" t="str">
        <f t="shared" si="193"/>
        <v/>
      </c>
      <c r="HF769" s="2579" t="str">
        <f t="shared" si="194"/>
        <v/>
      </c>
      <c r="HG769" s="2579" t="str">
        <f t="shared" si="195"/>
        <v/>
      </c>
      <c r="HH769" s="2579" t="str">
        <f t="shared" si="196"/>
        <v/>
      </c>
      <c r="HI769" s="2579" t="str">
        <f t="shared" si="197"/>
        <v/>
      </c>
      <c r="HJ769" s="2579" t="str">
        <f t="shared" si="198"/>
        <v/>
      </c>
      <c r="HK769" s="2579" t="str">
        <f t="shared" si="199"/>
        <v/>
      </c>
      <c r="HL769" s="2579" t="str">
        <f t="shared" si="200"/>
        <v/>
      </c>
      <c r="HM769" s="2579" t="str">
        <f t="shared" si="201"/>
        <v/>
      </c>
      <c r="HN769" s="2579" t="str">
        <f t="shared" si="202"/>
        <v/>
      </c>
      <c r="HO769" s="2579" t="str">
        <f t="shared" si="203"/>
        <v/>
      </c>
      <c r="HP769" s="2579" t="str">
        <f t="shared" si="204"/>
        <v/>
      </c>
      <c r="HQ769" s="2579" t="str">
        <f t="shared" si="205"/>
        <v/>
      </c>
      <c r="HR769" s="2579" t="str">
        <f t="shared" si="206"/>
        <v/>
      </c>
      <c r="HS769" s="2579" t="str">
        <f t="shared" si="207"/>
        <v/>
      </c>
      <c r="HT769" s="2579" t="str">
        <f t="shared" si="208"/>
        <v/>
      </c>
      <c r="HU769" s="2579">
        <f t="shared" si="209"/>
        <v>8</v>
      </c>
      <c r="HV769" s="2579" t="str">
        <f t="shared" si="210"/>
        <v/>
      </c>
      <c r="HW769" s="2579" t="str">
        <f t="shared" si="211"/>
        <v/>
      </c>
      <c r="HX769" s="2579" t="str">
        <f t="shared" si="212"/>
        <v/>
      </c>
      <c r="HY769" s="2579" t="str">
        <f t="shared" si="213"/>
        <v/>
      </c>
      <c r="HZ769" s="2579" t="str">
        <f t="shared" si="214"/>
        <v/>
      </c>
      <c r="IA769" s="2579" t="str">
        <f t="shared" si="215"/>
        <v/>
      </c>
      <c r="IB769" s="2579" t="str">
        <f t="shared" si="216"/>
        <v/>
      </c>
      <c r="IC769" s="2579" t="str">
        <f t="shared" si="217"/>
        <v/>
      </c>
      <c r="ID769" s="2551" t="str">
        <f t="shared" si="218"/>
        <v/>
      </c>
      <c r="IE769" s="2551" t="str">
        <f t="shared" si="219"/>
        <v/>
      </c>
      <c r="IF769" s="2551" t="str">
        <f t="shared" si="220"/>
        <v/>
      </c>
      <c r="IG769" s="2551" t="str">
        <f t="shared" si="221"/>
        <v/>
      </c>
      <c r="IH769" s="2551"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2549">
        <f t="shared" si="243"/>
        <v>0</v>
      </c>
      <c r="JD769" s="2549">
        <f t="shared" si="244"/>
        <v>0</v>
      </c>
      <c r="JE769" s="2549">
        <f t="shared" si="245"/>
        <v>0</v>
      </c>
      <c r="JF769" s="2549">
        <f t="shared" si="246"/>
        <v>0</v>
      </c>
      <c r="JG769" s="2549">
        <f t="shared" si="247"/>
        <v>0</v>
      </c>
      <c r="JH769" s="2549">
        <f t="shared" si="248"/>
        <v>0</v>
      </c>
      <c r="JI769" s="2549">
        <f t="shared" si="249"/>
        <v>8</v>
      </c>
      <c r="JJ769" s="2549">
        <f t="shared" si="250"/>
        <v>0</v>
      </c>
      <c r="JK769" s="2549">
        <f t="shared" si="251"/>
        <v>0</v>
      </c>
      <c r="JL769" s="2549">
        <f t="shared" si="252"/>
        <v>0</v>
      </c>
      <c r="JM769" s="2549">
        <f t="shared" si="253"/>
        <v>0</v>
      </c>
      <c r="JN769" s="2549">
        <f t="shared" si="254"/>
        <v>0</v>
      </c>
      <c r="JO769" s="2549">
        <f t="shared" si="255"/>
        <v>0</v>
      </c>
      <c r="JP769" s="2549">
        <f t="shared" si="256"/>
        <v>0</v>
      </c>
      <c r="JQ769" s="2549">
        <f t="shared" si="257"/>
        <v>0</v>
      </c>
    </row>
    <row r="770" spans="1:277" ht="12" customHeight="1">
      <c r="A770" s="2562" t="str">
        <f t="shared" si="0"/>
        <v/>
      </c>
      <c r="B770" s="2571" t="str">
        <f>'Part VI-Revenues &amp; Expenses'!B13</f>
        <v>50% AMI</v>
      </c>
      <c r="C770" s="2572">
        <f>'Part VI-Revenues &amp; Expenses'!C13</f>
        <v>2</v>
      </c>
      <c r="D770" s="2573">
        <f>'Part VI-Revenues &amp; Expenses'!D13</f>
        <v>2</v>
      </c>
      <c r="E770" s="2574">
        <f>'Part VI-Revenues &amp; Expenses'!E13</f>
        <v>8</v>
      </c>
      <c r="F770" s="2574">
        <f>'Part VI-Revenues &amp; Expenses'!F13</f>
        <v>975</v>
      </c>
      <c r="G770" s="2574">
        <f>'Part VI-Revenues &amp; Expenses'!G13</f>
        <v>680</v>
      </c>
      <c r="H770" s="2574">
        <f>'Part VI-Revenues &amp; Expenses'!H13</f>
        <v>680</v>
      </c>
      <c r="I770" s="2574">
        <f>'Part VI-Revenues &amp; Expenses'!I13</f>
        <v>0</v>
      </c>
      <c r="J770" s="2575">
        <f>'Part VI-Revenues &amp; Expenses'!J13</f>
        <v>0</v>
      </c>
      <c r="K770" s="2576">
        <f t="shared" si="1"/>
        <v>680</v>
      </c>
      <c r="L770" s="2576">
        <f t="shared" si="2"/>
        <v>5440</v>
      </c>
      <c r="M770" s="2450" t="str">
        <f>'Part VI-Revenues &amp; Expenses'!M13</f>
        <v>No</v>
      </c>
      <c r="N770" s="2450" t="str">
        <f>'Part VI-Revenues &amp; Expenses'!N13</f>
        <v>3+ Story</v>
      </c>
      <c r="O770" s="2450" t="str">
        <f>'Part VI-Revenues &amp; Expenses'!O13</f>
        <v>New Construction</v>
      </c>
      <c r="P770" s="2556" t="str">
        <f>'Part VI-Revenues &amp; Expenses'!P13</f>
        <v>No</v>
      </c>
      <c r="Q770" s="2577">
        <f>'Part VI-Revenues &amp; Expenses'!Q13</f>
        <v>27200</v>
      </c>
      <c r="R770" s="2578">
        <f>'Part VI-Revenues &amp; Expenses'!R13</f>
        <v>0.48982531964703763</v>
      </c>
      <c r="S770" s="2577">
        <f>'Part VI-Revenues &amp; Expenses'!S13</f>
        <v>0</v>
      </c>
      <c r="T770" s="2578">
        <f>'Part VI-Revenues &amp; Expenses'!T13</f>
        <v>0</v>
      </c>
      <c r="U770" s="2500"/>
      <c r="V770" s="2500"/>
      <c r="W770" s="683" t="str">
        <f t="shared" si="3"/>
        <v/>
      </c>
      <c r="X770" s="683" t="str">
        <f t="shared" si="4"/>
        <v/>
      </c>
      <c r="Y770" s="683" t="str">
        <f t="shared" si="5"/>
        <v/>
      </c>
      <c r="Z770" s="683" t="str">
        <f t="shared" si="6"/>
        <v/>
      </c>
      <c r="AA770" s="683" t="str">
        <f t="shared" si="7"/>
        <v/>
      </c>
      <c r="AB770" s="683" t="str">
        <f t="shared" si="8"/>
        <v/>
      </c>
      <c r="AC770" s="683" t="str">
        <f t="shared" si="9"/>
        <v/>
      </c>
      <c r="AD770" s="683">
        <f t="shared" si="10"/>
        <v>8</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t="str">
        <f t="shared" si="58"/>
        <v/>
      </c>
      <c r="CA770" s="683" t="str">
        <f t="shared" si="59"/>
        <v/>
      </c>
      <c r="CB770" s="683" t="str">
        <f t="shared" si="60"/>
        <v/>
      </c>
      <c r="CC770" s="683" t="str">
        <f t="shared" si="61"/>
        <v/>
      </c>
      <c r="CD770" s="683" t="str">
        <f t="shared" si="62"/>
        <v/>
      </c>
      <c r="CE770" s="683" t="str">
        <f t="shared" si="63"/>
        <v/>
      </c>
      <c r="CF770" s="683" t="str">
        <f t="shared" si="64"/>
        <v/>
      </c>
      <c r="CG770" s="683">
        <f t="shared" si="65"/>
        <v>7800</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t="str">
        <f t="shared" si="89"/>
        <v/>
      </c>
      <c r="DF770" s="683">
        <f t="shared" si="90"/>
        <v>8</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t="str">
        <f t="shared" si="118"/>
        <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2579" t="str">
        <f t="shared" si="133"/>
        <v/>
      </c>
      <c r="EX770" s="2579" t="str">
        <f t="shared" si="134"/>
        <v/>
      </c>
      <c r="EY770" s="2579">
        <f t="shared" si="135"/>
        <v>8</v>
      </c>
      <c r="EZ770" s="2579" t="str">
        <f t="shared" si="136"/>
        <v/>
      </c>
      <c r="FA770" s="2579" t="str">
        <f t="shared" si="137"/>
        <v/>
      </c>
      <c r="FB770" s="2579" t="str">
        <f t="shared" si="138"/>
        <v/>
      </c>
      <c r="FC770" s="2579" t="str">
        <f t="shared" si="139"/>
        <v/>
      </c>
      <c r="FD770" s="2579" t="str">
        <f t="shared" si="140"/>
        <v/>
      </c>
      <c r="FE770" s="2579" t="str">
        <f t="shared" si="141"/>
        <v/>
      </c>
      <c r="FF770" s="2579" t="str">
        <f t="shared" si="142"/>
        <v/>
      </c>
      <c r="FG770" s="2579" t="str">
        <f t="shared" si="143"/>
        <v/>
      </c>
      <c r="FH770" s="2579" t="str">
        <f t="shared" si="144"/>
        <v/>
      </c>
      <c r="FI770" s="2579" t="str">
        <f t="shared" si="145"/>
        <v/>
      </c>
      <c r="FJ770" s="2579" t="str">
        <f t="shared" si="146"/>
        <v/>
      </c>
      <c r="FK770" s="2579" t="str">
        <f t="shared" si="147"/>
        <v/>
      </c>
      <c r="FL770" s="2579" t="str">
        <f t="shared" si="148"/>
        <v/>
      </c>
      <c r="FM770" s="2579" t="str">
        <f t="shared" si="149"/>
        <v/>
      </c>
      <c r="FN770" s="2579" t="str">
        <f t="shared" si="150"/>
        <v/>
      </c>
      <c r="FO770" s="2579" t="str">
        <f t="shared" si="151"/>
        <v/>
      </c>
      <c r="FP770" s="2579" t="str">
        <f t="shared" si="152"/>
        <v/>
      </c>
      <c r="FQ770" s="2579" t="str">
        <f t="shared" si="153"/>
        <v/>
      </c>
      <c r="FR770" s="2579" t="str">
        <f t="shared" si="154"/>
        <v/>
      </c>
      <c r="FS770" s="2579" t="str">
        <f t="shared" si="155"/>
        <v/>
      </c>
      <c r="FT770" s="2579" t="str">
        <f t="shared" si="156"/>
        <v/>
      </c>
      <c r="FU770" s="2579" t="str">
        <f t="shared" si="157"/>
        <v/>
      </c>
      <c r="FV770" s="2579" t="str">
        <f t="shared" si="158"/>
        <v/>
      </c>
      <c r="FW770" s="2579" t="str">
        <f t="shared" si="159"/>
        <v/>
      </c>
      <c r="FX770" s="2579" t="str">
        <f t="shared" si="160"/>
        <v/>
      </c>
      <c r="FY770" s="2579" t="str">
        <f t="shared" si="161"/>
        <v/>
      </c>
      <c r="FZ770" s="2579" t="str">
        <f t="shared" si="162"/>
        <v/>
      </c>
      <c r="GA770" s="2579" t="str">
        <f t="shared" si="163"/>
        <v/>
      </c>
      <c r="GB770" s="2579" t="str">
        <f t="shared" si="164"/>
        <v/>
      </c>
      <c r="GC770" s="2579" t="str">
        <f t="shared" si="165"/>
        <v/>
      </c>
      <c r="GD770" s="2579" t="str">
        <f t="shared" si="166"/>
        <v/>
      </c>
      <c r="GE770" s="2579" t="str">
        <f t="shared" si="167"/>
        <v/>
      </c>
      <c r="GF770" s="2579" t="str">
        <f t="shared" si="168"/>
        <v/>
      </c>
      <c r="GG770" s="2579" t="str">
        <f t="shared" si="169"/>
        <v/>
      </c>
      <c r="GH770" s="2579" t="str">
        <f t="shared" si="170"/>
        <v/>
      </c>
      <c r="GI770" s="2579" t="str">
        <f t="shared" si="171"/>
        <v/>
      </c>
      <c r="GJ770" s="2579" t="str">
        <f t="shared" si="172"/>
        <v/>
      </c>
      <c r="GK770" s="2579" t="str">
        <f t="shared" si="173"/>
        <v/>
      </c>
      <c r="GL770" s="2579" t="str">
        <f t="shared" si="174"/>
        <v/>
      </c>
      <c r="GM770" s="2579" t="str">
        <f t="shared" si="175"/>
        <v/>
      </c>
      <c r="GN770" s="2579" t="str">
        <f t="shared" si="176"/>
        <v/>
      </c>
      <c r="GO770" s="2579" t="str">
        <f t="shared" si="177"/>
        <v/>
      </c>
      <c r="GP770" s="2579" t="str">
        <f t="shared" si="178"/>
        <v/>
      </c>
      <c r="GQ770" s="2579" t="str">
        <f t="shared" si="179"/>
        <v/>
      </c>
      <c r="GR770" s="2579" t="str">
        <f t="shared" si="180"/>
        <v/>
      </c>
      <c r="GS770" s="2579" t="str">
        <f t="shared" si="181"/>
        <v/>
      </c>
      <c r="GT770" s="2579" t="str">
        <f t="shared" si="182"/>
        <v/>
      </c>
      <c r="GU770" s="2579" t="str">
        <f t="shared" si="183"/>
        <v/>
      </c>
      <c r="GV770" s="2579" t="str">
        <f t="shared" si="184"/>
        <v/>
      </c>
      <c r="GW770" s="2579" t="str">
        <f t="shared" si="185"/>
        <v/>
      </c>
      <c r="GX770" s="2579" t="str">
        <f t="shared" si="186"/>
        <v/>
      </c>
      <c r="GY770" s="2579" t="str">
        <f t="shared" si="187"/>
        <v/>
      </c>
      <c r="GZ770" s="2579" t="str">
        <f t="shared" si="188"/>
        <v/>
      </c>
      <c r="HA770" s="2579" t="str">
        <f t="shared" si="189"/>
        <v/>
      </c>
      <c r="HB770" s="2579" t="str">
        <f t="shared" si="190"/>
        <v/>
      </c>
      <c r="HC770" s="2579" t="str">
        <f t="shared" si="191"/>
        <v/>
      </c>
      <c r="HD770" s="2579" t="str">
        <f t="shared" si="192"/>
        <v/>
      </c>
      <c r="HE770" s="2579" t="str">
        <f t="shared" si="193"/>
        <v/>
      </c>
      <c r="HF770" s="2579" t="str">
        <f t="shared" si="194"/>
        <v/>
      </c>
      <c r="HG770" s="2579" t="str">
        <f t="shared" si="195"/>
        <v/>
      </c>
      <c r="HH770" s="2579" t="str">
        <f t="shared" si="196"/>
        <v/>
      </c>
      <c r="HI770" s="2579" t="str">
        <f t="shared" si="197"/>
        <v/>
      </c>
      <c r="HJ770" s="2579" t="str">
        <f t="shared" si="198"/>
        <v/>
      </c>
      <c r="HK770" s="2579" t="str">
        <f t="shared" si="199"/>
        <v/>
      </c>
      <c r="HL770" s="2579" t="str">
        <f t="shared" si="200"/>
        <v/>
      </c>
      <c r="HM770" s="2579" t="str">
        <f t="shared" si="201"/>
        <v/>
      </c>
      <c r="HN770" s="2579" t="str">
        <f t="shared" si="202"/>
        <v/>
      </c>
      <c r="HO770" s="2579" t="str">
        <f t="shared" si="203"/>
        <v/>
      </c>
      <c r="HP770" s="2579" t="str">
        <f t="shared" si="204"/>
        <v/>
      </c>
      <c r="HQ770" s="2579" t="str">
        <f t="shared" si="205"/>
        <v/>
      </c>
      <c r="HR770" s="2579" t="str">
        <f t="shared" si="206"/>
        <v/>
      </c>
      <c r="HS770" s="2579" t="str">
        <f t="shared" si="207"/>
        <v/>
      </c>
      <c r="HT770" s="2579" t="str">
        <f t="shared" si="208"/>
        <v/>
      </c>
      <c r="HU770" s="2579" t="str">
        <f t="shared" si="209"/>
        <v/>
      </c>
      <c r="HV770" s="2579">
        <f t="shared" si="210"/>
        <v>8</v>
      </c>
      <c r="HW770" s="2579" t="str">
        <f t="shared" si="211"/>
        <v/>
      </c>
      <c r="HX770" s="2579" t="str">
        <f t="shared" si="212"/>
        <v/>
      </c>
      <c r="HY770" s="2579" t="str">
        <f t="shared" si="213"/>
        <v/>
      </c>
      <c r="HZ770" s="2579" t="str">
        <f t="shared" si="214"/>
        <v/>
      </c>
      <c r="IA770" s="2579" t="str">
        <f t="shared" si="215"/>
        <v/>
      </c>
      <c r="IB770" s="2579" t="str">
        <f t="shared" si="216"/>
        <v/>
      </c>
      <c r="IC770" s="2579" t="str">
        <f t="shared" si="217"/>
        <v/>
      </c>
      <c r="ID770" s="2551" t="str">
        <f t="shared" si="218"/>
        <v/>
      </c>
      <c r="IE770" s="2551" t="str">
        <f t="shared" si="219"/>
        <v/>
      </c>
      <c r="IF770" s="2551" t="str">
        <f t="shared" si="220"/>
        <v/>
      </c>
      <c r="IG770" s="2551" t="str">
        <f t="shared" si="221"/>
        <v/>
      </c>
      <c r="IH770" s="2551"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2549">
        <f t="shared" si="243"/>
        <v>0</v>
      </c>
      <c r="JD770" s="2549">
        <f t="shared" si="244"/>
        <v>0</v>
      </c>
      <c r="JE770" s="2549">
        <f t="shared" si="245"/>
        <v>0</v>
      </c>
      <c r="JF770" s="2549">
        <f t="shared" si="246"/>
        <v>0</v>
      </c>
      <c r="JG770" s="2549">
        <f t="shared" si="247"/>
        <v>0</v>
      </c>
      <c r="JH770" s="2549">
        <f t="shared" si="248"/>
        <v>0</v>
      </c>
      <c r="JI770" s="2549">
        <f t="shared" si="249"/>
        <v>0</v>
      </c>
      <c r="JJ770" s="2549">
        <f t="shared" si="250"/>
        <v>8</v>
      </c>
      <c r="JK770" s="2549">
        <f t="shared" si="251"/>
        <v>0</v>
      </c>
      <c r="JL770" s="2549">
        <f t="shared" si="252"/>
        <v>0</v>
      </c>
      <c r="JM770" s="2549">
        <f t="shared" si="253"/>
        <v>0</v>
      </c>
      <c r="JN770" s="2549">
        <f t="shared" si="254"/>
        <v>0</v>
      </c>
      <c r="JO770" s="2549">
        <f t="shared" si="255"/>
        <v>0</v>
      </c>
      <c r="JP770" s="2549">
        <f t="shared" si="256"/>
        <v>0</v>
      </c>
      <c r="JQ770" s="2549">
        <f t="shared" si="257"/>
        <v>0</v>
      </c>
    </row>
    <row r="771" spans="1:277" ht="12" customHeight="1">
      <c r="A771" s="2562" t="str">
        <f t="shared" si="0"/>
        <v/>
      </c>
      <c r="B771" s="2571" t="str">
        <f>'Part VI-Revenues &amp; Expenses'!B14</f>
        <v>60% AMI</v>
      </c>
      <c r="C771" s="2572">
        <f>'Part VI-Revenues &amp; Expenses'!C14</f>
        <v>2</v>
      </c>
      <c r="D771" s="2573">
        <f>'Part VI-Revenues &amp; Expenses'!D14</f>
        <v>2</v>
      </c>
      <c r="E771" s="2574">
        <f>'Part VI-Revenues &amp; Expenses'!E14</f>
        <v>18</v>
      </c>
      <c r="F771" s="2574">
        <f>'Part VI-Revenues &amp; Expenses'!F14</f>
        <v>975</v>
      </c>
      <c r="G771" s="2574">
        <f>'Part VI-Revenues &amp; Expenses'!G14</f>
        <v>816</v>
      </c>
      <c r="H771" s="2574">
        <f>'Part VI-Revenues &amp; Expenses'!H14</f>
        <v>816</v>
      </c>
      <c r="I771" s="2574">
        <f>'Part VI-Revenues &amp; Expenses'!I14</f>
        <v>0</v>
      </c>
      <c r="J771" s="2575">
        <f>'Part VI-Revenues &amp; Expenses'!J14</f>
        <v>0</v>
      </c>
      <c r="K771" s="2576">
        <f t="shared" si="1"/>
        <v>816</v>
      </c>
      <c r="L771" s="2576">
        <f t="shared" si="2"/>
        <v>14688</v>
      </c>
      <c r="M771" s="2450" t="str">
        <f>'Part VI-Revenues &amp; Expenses'!M14</f>
        <v>No</v>
      </c>
      <c r="N771" s="2450" t="str">
        <f>'Part VI-Revenues &amp; Expenses'!N14</f>
        <v>3+ Story</v>
      </c>
      <c r="O771" s="2450" t="str">
        <f>'Part VI-Revenues &amp; Expenses'!O14</f>
        <v>New Construction</v>
      </c>
      <c r="P771" s="2556" t="str">
        <f>'Part VI-Revenues &amp; Expenses'!P14</f>
        <v>No</v>
      </c>
      <c r="Q771" s="2577">
        <f>'Part VI-Revenues &amp; Expenses'!Q14</f>
        <v>32640</v>
      </c>
      <c r="R771" s="2578">
        <f>'Part VI-Revenues &amp; Expenses'!R14</f>
        <v>0.5877903835764452</v>
      </c>
      <c r="S771" s="2577">
        <f>'Part VI-Revenues &amp; Expenses'!S14</f>
        <v>0</v>
      </c>
      <c r="T771" s="2578">
        <f>'Part VI-Revenues &amp; Expenses'!T14</f>
        <v>0</v>
      </c>
      <c r="U771" s="2500"/>
      <c r="V771" s="2500"/>
      <c r="W771" s="683" t="str">
        <f t="shared" si="3"/>
        <v/>
      </c>
      <c r="X771" s="683" t="str">
        <f t="shared" si="4"/>
        <v/>
      </c>
      <c r="Y771" s="683">
        <f t="shared" si="5"/>
        <v>18</v>
      </c>
      <c r="Z771" s="683" t="str">
        <f t="shared" si="6"/>
        <v/>
      </c>
      <c r="AA771" s="683" t="str">
        <f t="shared" si="7"/>
        <v/>
      </c>
      <c r="AB771" s="683" t="str">
        <f t="shared" si="8"/>
        <v/>
      </c>
      <c r="AC771" s="683" t="str">
        <f t="shared" si="9"/>
        <v/>
      </c>
      <c r="AD771" s="683" t="str">
        <f t="shared" si="10"/>
        <v/>
      </c>
      <c r="AE771" s="683" t="str">
        <f t="shared" si="11"/>
        <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t="str">
        <f t="shared" si="19"/>
        <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t="str">
        <f t="shared" si="58"/>
        <v/>
      </c>
      <c r="CA771" s="683" t="str">
        <f t="shared" si="59"/>
        <v/>
      </c>
      <c r="CB771" s="683">
        <f t="shared" si="60"/>
        <v>17550</v>
      </c>
      <c r="CC771" s="683" t="str">
        <f t="shared" si="61"/>
        <v/>
      </c>
      <c r="CD771" s="683" t="str">
        <f t="shared" si="62"/>
        <v/>
      </c>
      <c r="CE771" s="683" t="str">
        <f t="shared" si="63"/>
        <v/>
      </c>
      <c r="CF771" s="683" t="str">
        <f t="shared" si="64"/>
        <v/>
      </c>
      <c r="CG771" s="683" t="str">
        <f t="shared" si="65"/>
        <v/>
      </c>
      <c r="CH771" s="683" t="str">
        <f t="shared" si="66"/>
        <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t="str">
        <f t="shared" si="74"/>
        <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f t="shared" si="90"/>
        <v>18</v>
      </c>
      <c r="DG771" s="683" t="str">
        <f t="shared" si="91"/>
        <v/>
      </c>
      <c r="DH771" s="683" t="str">
        <f t="shared" si="92"/>
        <v/>
      </c>
      <c r="DI771" s="683" t="str">
        <f t="shared" si="93"/>
        <v/>
      </c>
      <c r="DJ771" s="683" t="str">
        <f t="shared" si="94"/>
        <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t="str">
        <f t="shared" si="118"/>
        <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2579" t="str">
        <f t="shared" si="133"/>
        <v/>
      </c>
      <c r="EX771" s="2579" t="str">
        <f t="shared" si="134"/>
        <v/>
      </c>
      <c r="EY771" s="2579">
        <f t="shared" si="135"/>
        <v>18</v>
      </c>
      <c r="EZ771" s="2579" t="str">
        <f t="shared" si="136"/>
        <v/>
      </c>
      <c r="FA771" s="2579" t="str">
        <f t="shared" si="137"/>
        <v/>
      </c>
      <c r="FB771" s="2579" t="str">
        <f t="shared" si="138"/>
        <v/>
      </c>
      <c r="FC771" s="2579" t="str">
        <f t="shared" si="139"/>
        <v/>
      </c>
      <c r="FD771" s="2579" t="str">
        <f t="shared" si="140"/>
        <v/>
      </c>
      <c r="FE771" s="2579" t="str">
        <f t="shared" si="141"/>
        <v/>
      </c>
      <c r="FF771" s="2579" t="str">
        <f t="shared" si="142"/>
        <v/>
      </c>
      <c r="FG771" s="2579" t="str">
        <f t="shared" si="143"/>
        <v/>
      </c>
      <c r="FH771" s="2579" t="str">
        <f t="shared" si="144"/>
        <v/>
      </c>
      <c r="FI771" s="2579" t="str">
        <f t="shared" si="145"/>
        <v/>
      </c>
      <c r="FJ771" s="2579" t="str">
        <f t="shared" si="146"/>
        <v/>
      </c>
      <c r="FK771" s="2579" t="str">
        <f t="shared" si="147"/>
        <v/>
      </c>
      <c r="FL771" s="2579" t="str">
        <f t="shared" si="148"/>
        <v/>
      </c>
      <c r="FM771" s="2579" t="str">
        <f t="shared" si="149"/>
        <v/>
      </c>
      <c r="FN771" s="2579" t="str">
        <f t="shared" si="150"/>
        <v/>
      </c>
      <c r="FO771" s="2579" t="str">
        <f t="shared" si="151"/>
        <v/>
      </c>
      <c r="FP771" s="2579" t="str">
        <f t="shared" si="152"/>
        <v/>
      </c>
      <c r="FQ771" s="2579" t="str">
        <f t="shared" si="153"/>
        <v/>
      </c>
      <c r="FR771" s="2579" t="str">
        <f t="shared" si="154"/>
        <v/>
      </c>
      <c r="FS771" s="2579" t="str">
        <f t="shared" si="155"/>
        <v/>
      </c>
      <c r="FT771" s="2579" t="str">
        <f t="shared" si="156"/>
        <v/>
      </c>
      <c r="FU771" s="2579" t="str">
        <f t="shared" si="157"/>
        <v/>
      </c>
      <c r="FV771" s="2579" t="str">
        <f t="shared" si="158"/>
        <v/>
      </c>
      <c r="FW771" s="2579" t="str">
        <f t="shared" si="159"/>
        <v/>
      </c>
      <c r="FX771" s="2579" t="str">
        <f t="shared" si="160"/>
        <v/>
      </c>
      <c r="FY771" s="2579" t="str">
        <f t="shared" si="161"/>
        <v/>
      </c>
      <c r="FZ771" s="2579" t="str">
        <f t="shared" si="162"/>
        <v/>
      </c>
      <c r="GA771" s="2579" t="str">
        <f t="shared" si="163"/>
        <v/>
      </c>
      <c r="GB771" s="2579" t="str">
        <f t="shared" si="164"/>
        <v/>
      </c>
      <c r="GC771" s="2579" t="str">
        <f t="shared" si="165"/>
        <v/>
      </c>
      <c r="GD771" s="2579" t="str">
        <f t="shared" si="166"/>
        <v/>
      </c>
      <c r="GE771" s="2579" t="str">
        <f t="shared" si="167"/>
        <v/>
      </c>
      <c r="GF771" s="2579" t="str">
        <f t="shared" si="168"/>
        <v/>
      </c>
      <c r="GG771" s="2579" t="str">
        <f t="shared" si="169"/>
        <v/>
      </c>
      <c r="GH771" s="2579" t="str">
        <f t="shared" si="170"/>
        <v/>
      </c>
      <c r="GI771" s="2579" t="str">
        <f t="shared" si="171"/>
        <v/>
      </c>
      <c r="GJ771" s="2579" t="str">
        <f t="shared" si="172"/>
        <v/>
      </c>
      <c r="GK771" s="2579" t="str">
        <f t="shared" si="173"/>
        <v/>
      </c>
      <c r="GL771" s="2579" t="str">
        <f t="shared" si="174"/>
        <v/>
      </c>
      <c r="GM771" s="2579" t="str">
        <f t="shared" si="175"/>
        <v/>
      </c>
      <c r="GN771" s="2579" t="str">
        <f t="shared" si="176"/>
        <v/>
      </c>
      <c r="GO771" s="2579" t="str">
        <f t="shared" si="177"/>
        <v/>
      </c>
      <c r="GP771" s="2579" t="str">
        <f t="shared" si="178"/>
        <v/>
      </c>
      <c r="GQ771" s="2579" t="str">
        <f t="shared" si="179"/>
        <v/>
      </c>
      <c r="GR771" s="2579" t="str">
        <f t="shared" si="180"/>
        <v/>
      </c>
      <c r="GS771" s="2579" t="str">
        <f t="shared" si="181"/>
        <v/>
      </c>
      <c r="GT771" s="2579" t="str">
        <f t="shared" si="182"/>
        <v/>
      </c>
      <c r="GU771" s="2579" t="str">
        <f t="shared" si="183"/>
        <v/>
      </c>
      <c r="GV771" s="2579" t="str">
        <f t="shared" si="184"/>
        <v/>
      </c>
      <c r="GW771" s="2579" t="str">
        <f t="shared" si="185"/>
        <v/>
      </c>
      <c r="GX771" s="2579" t="str">
        <f t="shared" si="186"/>
        <v/>
      </c>
      <c r="GY771" s="2579" t="str">
        <f t="shared" si="187"/>
        <v/>
      </c>
      <c r="GZ771" s="2579" t="str">
        <f t="shared" si="188"/>
        <v/>
      </c>
      <c r="HA771" s="2579" t="str">
        <f t="shared" si="189"/>
        <v/>
      </c>
      <c r="HB771" s="2579" t="str">
        <f t="shared" si="190"/>
        <v/>
      </c>
      <c r="HC771" s="2579" t="str">
        <f t="shared" si="191"/>
        <v/>
      </c>
      <c r="HD771" s="2579" t="str">
        <f t="shared" si="192"/>
        <v/>
      </c>
      <c r="HE771" s="2579" t="str">
        <f t="shared" si="193"/>
        <v/>
      </c>
      <c r="HF771" s="2579" t="str">
        <f t="shared" si="194"/>
        <v/>
      </c>
      <c r="HG771" s="2579" t="str">
        <f t="shared" si="195"/>
        <v/>
      </c>
      <c r="HH771" s="2579" t="str">
        <f t="shared" si="196"/>
        <v/>
      </c>
      <c r="HI771" s="2579" t="str">
        <f t="shared" si="197"/>
        <v/>
      </c>
      <c r="HJ771" s="2579" t="str">
        <f t="shared" si="198"/>
        <v/>
      </c>
      <c r="HK771" s="2579" t="str">
        <f t="shared" si="199"/>
        <v/>
      </c>
      <c r="HL771" s="2579" t="str">
        <f t="shared" si="200"/>
        <v/>
      </c>
      <c r="HM771" s="2579" t="str">
        <f t="shared" si="201"/>
        <v/>
      </c>
      <c r="HN771" s="2579" t="str">
        <f t="shared" si="202"/>
        <v/>
      </c>
      <c r="HO771" s="2579" t="str">
        <f t="shared" si="203"/>
        <v/>
      </c>
      <c r="HP771" s="2579" t="str">
        <f t="shared" si="204"/>
        <v/>
      </c>
      <c r="HQ771" s="2579" t="str">
        <f t="shared" si="205"/>
        <v/>
      </c>
      <c r="HR771" s="2579" t="str">
        <f t="shared" si="206"/>
        <v/>
      </c>
      <c r="HS771" s="2579" t="str">
        <f t="shared" si="207"/>
        <v/>
      </c>
      <c r="HT771" s="2579" t="str">
        <f t="shared" si="208"/>
        <v/>
      </c>
      <c r="HU771" s="2579" t="str">
        <f t="shared" si="209"/>
        <v/>
      </c>
      <c r="HV771" s="2579">
        <f t="shared" si="210"/>
        <v>18</v>
      </c>
      <c r="HW771" s="2579" t="str">
        <f t="shared" si="211"/>
        <v/>
      </c>
      <c r="HX771" s="2579" t="str">
        <f t="shared" si="212"/>
        <v/>
      </c>
      <c r="HY771" s="2579" t="str">
        <f t="shared" si="213"/>
        <v/>
      </c>
      <c r="HZ771" s="2579" t="str">
        <f t="shared" si="214"/>
        <v/>
      </c>
      <c r="IA771" s="2579" t="str">
        <f t="shared" si="215"/>
        <v/>
      </c>
      <c r="IB771" s="2579" t="str">
        <f t="shared" si="216"/>
        <v/>
      </c>
      <c r="IC771" s="2579" t="str">
        <f t="shared" si="217"/>
        <v/>
      </c>
      <c r="ID771" s="2551" t="str">
        <f t="shared" si="218"/>
        <v/>
      </c>
      <c r="IE771" s="2551" t="str">
        <f t="shared" si="219"/>
        <v/>
      </c>
      <c r="IF771" s="2551" t="str">
        <f t="shared" si="220"/>
        <v/>
      </c>
      <c r="IG771" s="2551" t="str">
        <f t="shared" si="221"/>
        <v/>
      </c>
      <c r="IH771" s="2551"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2549">
        <f t="shared" si="243"/>
        <v>0</v>
      </c>
      <c r="JD771" s="2549">
        <f t="shared" si="244"/>
        <v>0</v>
      </c>
      <c r="JE771" s="2549">
        <f t="shared" si="245"/>
        <v>0</v>
      </c>
      <c r="JF771" s="2549">
        <f t="shared" si="246"/>
        <v>0</v>
      </c>
      <c r="JG771" s="2549">
        <f t="shared" si="247"/>
        <v>0</v>
      </c>
      <c r="JH771" s="2549">
        <f t="shared" si="248"/>
        <v>0</v>
      </c>
      <c r="JI771" s="2549">
        <f t="shared" si="249"/>
        <v>0</v>
      </c>
      <c r="JJ771" s="2549">
        <f t="shared" si="250"/>
        <v>18</v>
      </c>
      <c r="JK771" s="2549">
        <f t="shared" si="251"/>
        <v>0</v>
      </c>
      <c r="JL771" s="2549">
        <f t="shared" si="252"/>
        <v>0</v>
      </c>
      <c r="JM771" s="2549">
        <f t="shared" si="253"/>
        <v>0</v>
      </c>
      <c r="JN771" s="2549">
        <f t="shared" si="254"/>
        <v>0</v>
      </c>
      <c r="JO771" s="2549">
        <f t="shared" si="255"/>
        <v>0</v>
      </c>
      <c r="JP771" s="2549">
        <f t="shared" si="256"/>
        <v>0</v>
      </c>
      <c r="JQ771" s="2549">
        <f t="shared" si="257"/>
        <v>0</v>
      </c>
    </row>
    <row r="772" spans="1:277" ht="12" customHeight="1">
      <c r="A772" s="2562" t="str">
        <f t="shared" si="0"/>
        <v/>
      </c>
      <c r="B772" s="2571" t="str">
        <f>'Part VI-Revenues &amp; Expenses'!B15</f>
        <v>Unrestricted</v>
      </c>
      <c r="C772" s="2572">
        <f>'Part VI-Revenues &amp; Expenses'!C15</f>
        <v>2</v>
      </c>
      <c r="D772" s="2573">
        <f>'Part VI-Revenues &amp; Expenses'!D15</f>
        <v>2</v>
      </c>
      <c r="E772" s="2574">
        <f>'Part VI-Revenues &amp; Expenses'!E15</f>
        <v>4</v>
      </c>
      <c r="F772" s="2574">
        <f>'Part VI-Revenues &amp; Expenses'!F15</f>
        <v>975</v>
      </c>
      <c r="G772" s="2574">
        <f>'Part VI-Revenues &amp; Expenses'!G15</f>
        <v>0</v>
      </c>
      <c r="H772" s="2574">
        <f>'Part VI-Revenues &amp; Expenses'!H15</f>
        <v>1000</v>
      </c>
      <c r="I772" s="2574">
        <f>'Part VI-Revenues &amp; Expenses'!I15</f>
        <v>0</v>
      </c>
      <c r="J772" s="2575">
        <f>'Part VI-Revenues &amp; Expenses'!J15</f>
        <v>0</v>
      </c>
      <c r="K772" s="2576">
        <f t="shared" si="1"/>
        <v>1000</v>
      </c>
      <c r="L772" s="2576">
        <f t="shared" si="2"/>
        <v>4000</v>
      </c>
      <c r="M772" s="2450" t="str">
        <f>'Part VI-Revenues &amp; Expenses'!M15</f>
        <v>No</v>
      </c>
      <c r="N772" s="2450" t="str">
        <f>'Part VI-Revenues &amp; Expenses'!N15</f>
        <v>3+ Story</v>
      </c>
      <c r="O772" s="2450" t="str">
        <f>'Part VI-Revenues &amp; Expenses'!O15</f>
        <v>New Construction</v>
      </c>
      <c r="P772" s="2556" t="str">
        <f>'Part VI-Revenues &amp; Expenses'!P15</f>
        <v>No</v>
      </c>
      <c r="Q772" s="2577">
        <f>'Part VI-Revenues &amp; Expenses'!Q15</f>
        <v>40000</v>
      </c>
      <c r="R772" s="2578">
        <f>'Part VI-Revenues &amp; Expenses'!R15</f>
        <v>0.72033135242211421</v>
      </c>
      <c r="S772" s="2577">
        <f>'Part VI-Revenues &amp; Expenses'!S15</f>
        <v>0</v>
      </c>
      <c r="T772" s="2578">
        <f>'Part VI-Revenues &amp; Expenses'!T15</f>
        <v>0</v>
      </c>
      <c r="U772" s="2500"/>
      <c r="V772" s="2500"/>
      <c r="W772" s="683" t="str">
        <f t="shared" si="3"/>
        <v/>
      </c>
      <c r="X772" s="683" t="str">
        <f t="shared" si="4"/>
        <v/>
      </c>
      <c r="Y772" s="683" t="str">
        <f t="shared" si="5"/>
        <v/>
      </c>
      <c r="Z772" s="683" t="str">
        <f t="shared" si="6"/>
        <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f t="shared" si="20"/>
        <v>4</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t="str">
        <f t="shared" si="59"/>
        <v/>
      </c>
      <c r="CB772" s="683" t="str">
        <f t="shared" si="60"/>
        <v/>
      </c>
      <c r="CC772" s="683" t="str">
        <f t="shared" si="61"/>
        <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f t="shared" si="75"/>
        <v>3900</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t="str">
        <f t="shared" si="91"/>
        <v/>
      </c>
      <c r="DH772" s="683" t="str">
        <f t="shared" si="92"/>
        <v/>
      </c>
      <c r="DI772" s="683" t="str">
        <f t="shared" si="93"/>
        <v/>
      </c>
      <c r="DJ772" s="683" t="str">
        <f t="shared" si="94"/>
        <v/>
      </c>
      <c r="DK772" s="683">
        <f t="shared" si="95"/>
        <v>4</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t="str">
        <f t="shared" si="119"/>
        <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2579" t="str">
        <f t="shared" si="133"/>
        <v/>
      </c>
      <c r="EX772" s="2579" t="str">
        <f t="shared" si="134"/>
        <v/>
      </c>
      <c r="EY772" s="2579">
        <f t="shared" si="135"/>
        <v>4</v>
      </c>
      <c r="EZ772" s="2579" t="str">
        <f t="shared" si="136"/>
        <v/>
      </c>
      <c r="FA772" s="2579" t="str">
        <f t="shared" si="137"/>
        <v/>
      </c>
      <c r="FB772" s="2579" t="str">
        <f t="shared" si="138"/>
        <v/>
      </c>
      <c r="FC772" s="2579" t="str">
        <f t="shared" si="139"/>
        <v/>
      </c>
      <c r="FD772" s="2579" t="str">
        <f t="shared" si="140"/>
        <v/>
      </c>
      <c r="FE772" s="2579" t="str">
        <f t="shared" si="141"/>
        <v/>
      </c>
      <c r="FF772" s="2579" t="str">
        <f t="shared" si="142"/>
        <v/>
      </c>
      <c r="FG772" s="2579" t="str">
        <f t="shared" si="143"/>
        <v/>
      </c>
      <c r="FH772" s="2579" t="str">
        <f t="shared" si="144"/>
        <v/>
      </c>
      <c r="FI772" s="2579" t="str">
        <f t="shared" si="145"/>
        <v/>
      </c>
      <c r="FJ772" s="2579" t="str">
        <f t="shared" si="146"/>
        <v/>
      </c>
      <c r="FK772" s="2579" t="str">
        <f t="shared" si="147"/>
        <v/>
      </c>
      <c r="FL772" s="2579" t="str">
        <f t="shared" si="148"/>
        <v/>
      </c>
      <c r="FM772" s="2579" t="str">
        <f t="shared" si="149"/>
        <v/>
      </c>
      <c r="FN772" s="2579" t="str">
        <f t="shared" si="150"/>
        <v/>
      </c>
      <c r="FO772" s="2579" t="str">
        <f t="shared" si="151"/>
        <v/>
      </c>
      <c r="FP772" s="2579" t="str">
        <f t="shared" si="152"/>
        <v/>
      </c>
      <c r="FQ772" s="2579" t="str">
        <f t="shared" si="153"/>
        <v/>
      </c>
      <c r="FR772" s="2579" t="str">
        <f t="shared" si="154"/>
        <v/>
      </c>
      <c r="FS772" s="2579" t="str">
        <f t="shared" si="155"/>
        <v/>
      </c>
      <c r="FT772" s="2579" t="str">
        <f t="shared" si="156"/>
        <v/>
      </c>
      <c r="FU772" s="2579" t="str">
        <f t="shared" si="157"/>
        <v/>
      </c>
      <c r="FV772" s="2579" t="str">
        <f t="shared" si="158"/>
        <v/>
      </c>
      <c r="FW772" s="2579" t="str">
        <f t="shared" si="159"/>
        <v/>
      </c>
      <c r="FX772" s="2579" t="str">
        <f t="shared" si="160"/>
        <v/>
      </c>
      <c r="FY772" s="2579" t="str">
        <f t="shared" si="161"/>
        <v/>
      </c>
      <c r="FZ772" s="2579" t="str">
        <f t="shared" si="162"/>
        <v/>
      </c>
      <c r="GA772" s="2579" t="str">
        <f t="shared" si="163"/>
        <v/>
      </c>
      <c r="GB772" s="2579" t="str">
        <f t="shared" si="164"/>
        <v/>
      </c>
      <c r="GC772" s="2579" t="str">
        <f t="shared" si="165"/>
        <v/>
      </c>
      <c r="GD772" s="2579" t="str">
        <f t="shared" si="166"/>
        <v/>
      </c>
      <c r="GE772" s="2579" t="str">
        <f t="shared" si="167"/>
        <v/>
      </c>
      <c r="GF772" s="2579" t="str">
        <f t="shared" si="168"/>
        <v/>
      </c>
      <c r="GG772" s="2579" t="str">
        <f t="shared" si="169"/>
        <v/>
      </c>
      <c r="GH772" s="2579" t="str">
        <f t="shared" si="170"/>
        <v/>
      </c>
      <c r="GI772" s="2579" t="str">
        <f t="shared" si="171"/>
        <v/>
      </c>
      <c r="GJ772" s="2579" t="str">
        <f t="shared" si="172"/>
        <v/>
      </c>
      <c r="GK772" s="2579" t="str">
        <f t="shared" si="173"/>
        <v/>
      </c>
      <c r="GL772" s="2579" t="str">
        <f t="shared" si="174"/>
        <v/>
      </c>
      <c r="GM772" s="2579" t="str">
        <f t="shared" si="175"/>
        <v/>
      </c>
      <c r="GN772" s="2579" t="str">
        <f t="shared" si="176"/>
        <v/>
      </c>
      <c r="GO772" s="2579" t="str">
        <f t="shared" si="177"/>
        <v/>
      </c>
      <c r="GP772" s="2579" t="str">
        <f t="shared" si="178"/>
        <v/>
      </c>
      <c r="GQ772" s="2579" t="str">
        <f t="shared" si="179"/>
        <v/>
      </c>
      <c r="GR772" s="2579" t="str">
        <f t="shared" si="180"/>
        <v/>
      </c>
      <c r="GS772" s="2579" t="str">
        <f t="shared" si="181"/>
        <v/>
      </c>
      <c r="GT772" s="2579" t="str">
        <f t="shared" si="182"/>
        <v/>
      </c>
      <c r="GU772" s="2579" t="str">
        <f t="shared" si="183"/>
        <v/>
      </c>
      <c r="GV772" s="2579" t="str">
        <f t="shared" si="184"/>
        <v/>
      </c>
      <c r="GW772" s="2579" t="str">
        <f t="shared" si="185"/>
        <v/>
      </c>
      <c r="GX772" s="2579" t="str">
        <f t="shared" si="186"/>
        <v/>
      </c>
      <c r="GY772" s="2579" t="str">
        <f t="shared" si="187"/>
        <v/>
      </c>
      <c r="GZ772" s="2579" t="str">
        <f t="shared" si="188"/>
        <v/>
      </c>
      <c r="HA772" s="2579" t="str">
        <f t="shared" si="189"/>
        <v/>
      </c>
      <c r="HB772" s="2579" t="str">
        <f t="shared" si="190"/>
        <v/>
      </c>
      <c r="HC772" s="2579" t="str">
        <f t="shared" si="191"/>
        <v/>
      </c>
      <c r="HD772" s="2579" t="str">
        <f t="shared" si="192"/>
        <v/>
      </c>
      <c r="HE772" s="2579" t="str">
        <f t="shared" si="193"/>
        <v/>
      </c>
      <c r="HF772" s="2579" t="str">
        <f t="shared" si="194"/>
        <v/>
      </c>
      <c r="HG772" s="2579" t="str">
        <f t="shared" si="195"/>
        <v/>
      </c>
      <c r="HH772" s="2579" t="str">
        <f t="shared" si="196"/>
        <v/>
      </c>
      <c r="HI772" s="2579" t="str">
        <f t="shared" si="197"/>
        <v/>
      </c>
      <c r="HJ772" s="2579" t="str">
        <f t="shared" si="198"/>
        <v/>
      </c>
      <c r="HK772" s="2579" t="str">
        <f t="shared" si="199"/>
        <v/>
      </c>
      <c r="HL772" s="2579" t="str">
        <f t="shared" si="200"/>
        <v/>
      </c>
      <c r="HM772" s="2579" t="str">
        <f t="shared" si="201"/>
        <v/>
      </c>
      <c r="HN772" s="2579" t="str">
        <f t="shared" si="202"/>
        <v/>
      </c>
      <c r="HO772" s="2579" t="str">
        <f t="shared" si="203"/>
        <v/>
      </c>
      <c r="HP772" s="2579" t="str">
        <f t="shared" si="204"/>
        <v/>
      </c>
      <c r="HQ772" s="2579" t="str">
        <f t="shared" si="205"/>
        <v/>
      </c>
      <c r="HR772" s="2579" t="str">
        <f t="shared" si="206"/>
        <v/>
      </c>
      <c r="HS772" s="2579" t="str">
        <f t="shared" si="207"/>
        <v/>
      </c>
      <c r="HT772" s="2579" t="str">
        <f t="shared" si="208"/>
        <v/>
      </c>
      <c r="HU772" s="2579" t="str">
        <f t="shared" si="209"/>
        <v/>
      </c>
      <c r="HV772" s="2579">
        <f t="shared" si="210"/>
        <v>4</v>
      </c>
      <c r="HW772" s="2579" t="str">
        <f t="shared" si="211"/>
        <v/>
      </c>
      <c r="HX772" s="2579" t="str">
        <f t="shared" si="212"/>
        <v/>
      </c>
      <c r="HY772" s="2579" t="str">
        <f t="shared" si="213"/>
        <v/>
      </c>
      <c r="HZ772" s="2579" t="str">
        <f t="shared" si="214"/>
        <v/>
      </c>
      <c r="IA772" s="2579" t="str">
        <f t="shared" si="215"/>
        <v/>
      </c>
      <c r="IB772" s="2579" t="str">
        <f t="shared" si="216"/>
        <v/>
      </c>
      <c r="IC772" s="2579" t="str">
        <f t="shared" si="217"/>
        <v/>
      </c>
      <c r="ID772" s="2551" t="str">
        <f t="shared" si="218"/>
        <v/>
      </c>
      <c r="IE772" s="2551" t="str">
        <f t="shared" si="219"/>
        <v/>
      </c>
      <c r="IF772" s="2551" t="str">
        <f t="shared" si="220"/>
        <v/>
      </c>
      <c r="IG772" s="2551" t="str">
        <f t="shared" si="221"/>
        <v/>
      </c>
      <c r="IH772" s="2551"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2549">
        <f t="shared" si="243"/>
        <v>0</v>
      </c>
      <c r="JD772" s="2549">
        <f t="shared" si="244"/>
        <v>0</v>
      </c>
      <c r="JE772" s="2549">
        <f t="shared" si="245"/>
        <v>0</v>
      </c>
      <c r="JF772" s="2549">
        <f t="shared" si="246"/>
        <v>0</v>
      </c>
      <c r="JG772" s="2549">
        <f t="shared" si="247"/>
        <v>0</v>
      </c>
      <c r="JH772" s="2549">
        <f t="shared" si="248"/>
        <v>0</v>
      </c>
      <c r="JI772" s="2549">
        <f t="shared" si="249"/>
        <v>0</v>
      </c>
      <c r="JJ772" s="2549">
        <f t="shared" si="250"/>
        <v>4</v>
      </c>
      <c r="JK772" s="2549">
        <f t="shared" si="251"/>
        <v>0</v>
      </c>
      <c r="JL772" s="2549">
        <f t="shared" si="252"/>
        <v>0</v>
      </c>
      <c r="JM772" s="2549">
        <f t="shared" si="253"/>
        <v>0</v>
      </c>
      <c r="JN772" s="2549">
        <f t="shared" si="254"/>
        <v>0</v>
      </c>
      <c r="JO772" s="2549">
        <f t="shared" si="255"/>
        <v>0</v>
      </c>
      <c r="JP772" s="2549">
        <f t="shared" si="256"/>
        <v>0</v>
      </c>
      <c r="JQ772" s="2549">
        <f t="shared" si="257"/>
        <v>0</v>
      </c>
    </row>
    <row r="773" spans="1:277" ht="12" customHeight="1">
      <c r="A773" s="2562" t="str">
        <f t="shared" si="0"/>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1"/>
        <v>0</v>
      </c>
      <c r="L773" s="2576">
        <f t="shared" si="2"/>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t="str">
        <f t="shared" si="19"/>
        <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t="str">
        <f t="shared" si="74"/>
        <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t="str">
        <f t="shared" si="94"/>
        <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2579" t="str">
        <f t="shared" si="133"/>
        <v/>
      </c>
      <c r="EX773" s="2579" t="str">
        <f t="shared" si="134"/>
        <v/>
      </c>
      <c r="EY773" s="2579" t="str">
        <f t="shared" si="135"/>
        <v/>
      </c>
      <c r="EZ773" s="2579" t="str">
        <f t="shared" si="136"/>
        <v/>
      </c>
      <c r="FA773" s="2579" t="str">
        <f t="shared" si="137"/>
        <v/>
      </c>
      <c r="FB773" s="2579" t="str">
        <f t="shared" si="138"/>
        <v/>
      </c>
      <c r="FC773" s="2579" t="str">
        <f t="shared" si="139"/>
        <v/>
      </c>
      <c r="FD773" s="2579" t="str">
        <f t="shared" si="140"/>
        <v/>
      </c>
      <c r="FE773" s="2579" t="str">
        <f t="shared" si="141"/>
        <v/>
      </c>
      <c r="FF773" s="2579" t="str">
        <f t="shared" si="142"/>
        <v/>
      </c>
      <c r="FG773" s="2579" t="str">
        <f t="shared" si="143"/>
        <v/>
      </c>
      <c r="FH773" s="2579" t="str">
        <f t="shared" si="144"/>
        <v/>
      </c>
      <c r="FI773" s="2579" t="str">
        <f t="shared" si="145"/>
        <v/>
      </c>
      <c r="FJ773" s="2579" t="str">
        <f t="shared" si="146"/>
        <v/>
      </c>
      <c r="FK773" s="2579" t="str">
        <f t="shared" si="147"/>
        <v/>
      </c>
      <c r="FL773" s="2579" t="str">
        <f t="shared" si="148"/>
        <v/>
      </c>
      <c r="FM773" s="2579" t="str">
        <f t="shared" si="149"/>
        <v/>
      </c>
      <c r="FN773" s="2579" t="str">
        <f t="shared" si="150"/>
        <v/>
      </c>
      <c r="FO773" s="2579" t="str">
        <f t="shared" si="151"/>
        <v/>
      </c>
      <c r="FP773" s="2579" t="str">
        <f t="shared" si="152"/>
        <v/>
      </c>
      <c r="FQ773" s="2579" t="str">
        <f t="shared" si="153"/>
        <v/>
      </c>
      <c r="FR773" s="2579" t="str">
        <f t="shared" si="154"/>
        <v/>
      </c>
      <c r="FS773" s="2579" t="str">
        <f t="shared" si="155"/>
        <v/>
      </c>
      <c r="FT773" s="2579" t="str">
        <f t="shared" si="156"/>
        <v/>
      </c>
      <c r="FU773" s="2579" t="str">
        <f t="shared" si="157"/>
        <v/>
      </c>
      <c r="FV773" s="2579" t="str">
        <f t="shared" si="158"/>
        <v/>
      </c>
      <c r="FW773" s="2579" t="str">
        <f t="shared" si="159"/>
        <v/>
      </c>
      <c r="FX773" s="2579" t="str">
        <f t="shared" si="160"/>
        <v/>
      </c>
      <c r="FY773" s="2579" t="str">
        <f t="shared" si="161"/>
        <v/>
      </c>
      <c r="FZ773" s="2579" t="str">
        <f t="shared" si="162"/>
        <v/>
      </c>
      <c r="GA773" s="2579" t="str">
        <f t="shared" si="163"/>
        <v/>
      </c>
      <c r="GB773" s="2579" t="str">
        <f t="shared" si="164"/>
        <v/>
      </c>
      <c r="GC773" s="2579" t="str">
        <f t="shared" si="165"/>
        <v/>
      </c>
      <c r="GD773" s="2579" t="str">
        <f t="shared" si="166"/>
        <v/>
      </c>
      <c r="GE773" s="2579" t="str">
        <f t="shared" si="167"/>
        <v/>
      </c>
      <c r="GF773" s="2579" t="str">
        <f t="shared" si="168"/>
        <v/>
      </c>
      <c r="GG773" s="2579" t="str">
        <f t="shared" si="169"/>
        <v/>
      </c>
      <c r="GH773" s="2579" t="str">
        <f t="shared" si="170"/>
        <v/>
      </c>
      <c r="GI773" s="2579" t="str">
        <f t="shared" si="171"/>
        <v/>
      </c>
      <c r="GJ773" s="2579" t="str">
        <f t="shared" si="172"/>
        <v/>
      </c>
      <c r="GK773" s="2579" t="str">
        <f t="shared" si="173"/>
        <v/>
      </c>
      <c r="GL773" s="2579" t="str">
        <f t="shared" si="174"/>
        <v/>
      </c>
      <c r="GM773" s="2579" t="str">
        <f t="shared" si="175"/>
        <v/>
      </c>
      <c r="GN773" s="2579" t="str">
        <f t="shared" si="176"/>
        <v/>
      </c>
      <c r="GO773" s="2579" t="str">
        <f t="shared" si="177"/>
        <v/>
      </c>
      <c r="GP773" s="2579" t="str">
        <f t="shared" si="178"/>
        <v/>
      </c>
      <c r="GQ773" s="2579" t="str">
        <f t="shared" si="179"/>
        <v/>
      </c>
      <c r="GR773" s="2579" t="str">
        <f t="shared" si="180"/>
        <v/>
      </c>
      <c r="GS773" s="2579" t="str">
        <f t="shared" si="181"/>
        <v/>
      </c>
      <c r="GT773" s="2579" t="str">
        <f t="shared" si="182"/>
        <v/>
      </c>
      <c r="GU773" s="2579" t="str">
        <f t="shared" si="183"/>
        <v/>
      </c>
      <c r="GV773" s="2579" t="str">
        <f t="shared" si="184"/>
        <v/>
      </c>
      <c r="GW773" s="2579" t="str">
        <f t="shared" si="185"/>
        <v/>
      </c>
      <c r="GX773" s="2579" t="str">
        <f t="shared" si="186"/>
        <v/>
      </c>
      <c r="GY773" s="2579" t="str">
        <f t="shared" si="187"/>
        <v/>
      </c>
      <c r="GZ773" s="2579" t="str">
        <f t="shared" si="188"/>
        <v/>
      </c>
      <c r="HA773" s="2579" t="str">
        <f t="shared" si="189"/>
        <v/>
      </c>
      <c r="HB773" s="2579" t="str">
        <f t="shared" si="190"/>
        <v/>
      </c>
      <c r="HC773" s="2579" t="str">
        <f t="shared" si="191"/>
        <v/>
      </c>
      <c r="HD773" s="2579" t="str">
        <f t="shared" si="192"/>
        <v/>
      </c>
      <c r="HE773" s="2579" t="str">
        <f t="shared" si="193"/>
        <v/>
      </c>
      <c r="HF773" s="2579" t="str">
        <f t="shared" si="194"/>
        <v/>
      </c>
      <c r="HG773" s="2579" t="str">
        <f t="shared" si="195"/>
        <v/>
      </c>
      <c r="HH773" s="2579" t="str">
        <f t="shared" si="196"/>
        <v/>
      </c>
      <c r="HI773" s="2579" t="str">
        <f t="shared" si="197"/>
        <v/>
      </c>
      <c r="HJ773" s="2579" t="str">
        <f t="shared" si="198"/>
        <v/>
      </c>
      <c r="HK773" s="2579" t="str">
        <f t="shared" si="199"/>
        <v/>
      </c>
      <c r="HL773" s="2579" t="str">
        <f t="shared" si="200"/>
        <v/>
      </c>
      <c r="HM773" s="2579" t="str">
        <f t="shared" si="201"/>
        <v/>
      </c>
      <c r="HN773" s="2579" t="str">
        <f t="shared" si="202"/>
        <v/>
      </c>
      <c r="HO773" s="2579" t="str">
        <f t="shared" si="203"/>
        <v/>
      </c>
      <c r="HP773" s="2579" t="str">
        <f t="shared" si="204"/>
        <v/>
      </c>
      <c r="HQ773" s="2579" t="str">
        <f t="shared" si="205"/>
        <v/>
      </c>
      <c r="HR773" s="2579" t="str">
        <f t="shared" si="206"/>
        <v/>
      </c>
      <c r="HS773" s="2579" t="str">
        <f t="shared" si="207"/>
        <v/>
      </c>
      <c r="HT773" s="2579" t="str">
        <f t="shared" si="208"/>
        <v/>
      </c>
      <c r="HU773" s="2579" t="str">
        <f t="shared" si="209"/>
        <v/>
      </c>
      <c r="HV773" s="2579" t="str">
        <f t="shared" si="210"/>
        <v/>
      </c>
      <c r="HW773" s="2579" t="str">
        <f t="shared" si="211"/>
        <v/>
      </c>
      <c r="HX773" s="2579" t="str">
        <f t="shared" si="212"/>
        <v/>
      </c>
      <c r="HY773" s="2579" t="str">
        <f t="shared" si="213"/>
        <v/>
      </c>
      <c r="HZ773" s="2579" t="str">
        <f t="shared" si="214"/>
        <v/>
      </c>
      <c r="IA773" s="2579" t="str">
        <f t="shared" si="215"/>
        <v/>
      </c>
      <c r="IB773" s="2579" t="str">
        <f t="shared" si="216"/>
        <v/>
      </c>
      <c r="IC773" s="2579" t="str">
        <f t="shared" si="217"/>
        <v/>
      </c>
      <c r="ID773" s="2551" t="str">
        <f t="shared" si="218"/>
        <v/>
      </c>
      <c r="IE773" s="2551" t="str">
        <f t="shared" si="219"/>
        <v/>
      </c>
      <c r="IF773" s="2551" t="str">
        <f t="shared" si="220"/>
        <v/>
      </c>
      <c r="IG773" s="2551" t="str">
        <f t="shared" si="221"/>
        <v/>
      </c>
      <c r="IH773" s="2551"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2549">
        <f t="shared" si="243"/>
        <v>0</v>
      </c>
      <c r="JD773" s="2549">
        <f t="shared" si="244"/>
        <v>0</v>
      </c>
      <c r="JE773" s="2549">
        <f t="shared" si="245"/>
        <v>0</v>
      </c>
      <c r="JF773" s="2549">
        <f t="shared" si="246"/>
        <v>0</v>
      </c>
      <c r="JG773" s="2549">
        <f t="shared" si="247"/>
        <v>0</v>
      </c>
      <c r="JH773" s="2549">
        <f t="shared" si="248"/>
        <v>0</v>
      </c>
      <c r="JI773" s="2549">
        <f t="shared" si="249"/>
        <v>0</v>
      </c>
      <c r="JJ773" s="2549">
        <f t="shared" si="250"/>
        <v>0</v>
      </c>
      <c r="JK773" s="2549">
        <f t="shared" si="251"/>
        <v>0</v>
      </c>
      <c r="JL773" s="2549">
        <f t="shared" si="252"/>
        <v>0</v>
      </c>
      <c r="JM773" s="2549">
        <f t="shared" si="253"/>
        <v>0</v>
      </c>
      <c r="JN773" s="2549">
        <f t="shared" si="254"/>
        <v>0</v>
      </c>
      <c r="JO773" s="2549">
        <f t="shared" si="255"/>
        <v>0</v>
      </c>
      <c r="JP773" s="2549">
        <f t="shared" si="256"/>
        <v>0</v>
      </c>
      <c r="JQ773" s="2549">
        <f t="shared" si="257"/>
        <v>0</v>
      </c>
    </row>
    <row r="774" spans="1:277" ht="12" customHeight="1">
      <c r="A774" s="2562" t="str">
        <f t="shared" si="0"/>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1"/>
        <v>0</v>
      </c>
      <c r="L774" s="2576">
        <f t="shared" si="2"/>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t="str">
        <f t="shared" si="20"/>
        <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t="str">
        <f t="shared" si="75"/>
        <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t="str">
        <f t="shared" si="95"/>
        <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2579" t="str">
        <f t="shared" si="133"/>
        <v/>
      </c>
      <c r="EX774" s="2579" t="str">
        <f t="shared" si="134"/>
        <v/>
      </c>
      <c r="EY774" s="2579" t="str">
        <f t="shared" si="135"/>
        <v/>
      </c>
      <c r="EZ774" s="2579" t="str">
        <f t="shared" si="136"/>
        <v/>
      </c>
      <c r="FA774" s="2579" t="str">
        <f t="shared" si="137"/>
        <v/>
      </c>
      <c r="FB774" s="2579" t="str">
        <f t="shared" si="138"/>
        <v/>
      </c>
      <c r="FC774" s="2579" t="str">
        <f t="shared" si="139"/>
        <v/>
      </c>
      <c r="FD774" s="2579" t="str">
        <f t="shared" si="140"/>
        <v/>
      </c>
      <c r="FE774" s="2579" t="str">
        <f t="shared" si="141"/>
        <v/>
      </c>
      <c r="FF774" s="2579" t="str">
        <f t="shared" si="142"/>
        <v/>
      </c>
      <c r="FG774" s="2579" t="str">
        <f t="shared" si="143"/>
        <v/>
      </c>
      <c r="FH774" s="2579" t="str">
        <f t="shared" si="144"/>
        <v/>
      </c>
      <c r="FI774" s="2579" t="str">
        <f t="shared" si="145"/>
        <v/>
      </c>
      <c r="FJ774" s="2579" t="str">
        <f t="shared" si="146"/>
        <v/>
      </c>
      <c r="FK774" s="2579" t="str">
        <f t="shared" si="147"/>
        <v/>
      </c>
      <c r="FL774" s="2579" t="str">
        <f t="shared" si="148"/>
        <v/>
      </c>
      <c r="FM774" s="2579" t="str">
        <f t="shared" si="149"/>
        <v/>
      </c>
      <c r="FN774" s="2579" t="str">
        <f t="shared" si="150"/>
        <v/>
      </c>
      <c r="FO774" s="2579" t="str">
        <f t="shared" si="151"/>
        <v/>
      </c>
      <c r="FP774" s="2579" t="str">
        <f t="shared" si="152"/>
        <v/>
      </c>
      <c r="FQ774" s="2579" t="str">
        <f t="shared" si="153"/>
        <v/>
      </c>
      <c r="FR774" s="2579" t="str">
        <f t="shared" si="154"/>
        <v/>
      </c>
      <c r="FS774" s="2579" t="str">
        <f t="shared" si="155"/>
        <v/>
      </c>
      <c r="FT774" s="2579" t="str">
        <f t="shared" si="156"/>
        <v/>
      </c>
      <c r="FU774" s="2579" t="str">
        <f t="shared" si="157"/>
        <v/>
      </c>
      <c r="FV774" s="2579" t="str">
        <f t="shared" si="158"/>
        <v/>
      </c>
      <c r="FW774" s="2579" t="str">
        <f t="shared" si="159"/>
        <v/>
      </c>
      <c r="FX774" s="2579" t="str">
        <f t="shared" si="160"/>
        <v/>
      </c>
      <c r="FY774" s="2579" t="str">
        <f t="shared" si="161"/>
        <v/>
      </c>
      <c r="FZ774" s="2579" t="str">
        <f t="shared" si="162"/>
        <v/>
      </c>
      <c r="GA774" s="2579" t="str">
        <f t="shared" si="163"/>
        <v/>
      </c>
      <c r="GB774" s="2579" t="str">
        <f t="shared" si="164"/>
        <v/>
      </c>
      <c r="GC774" s="2579" t="str">
        <f t="shared" si="165"/>
        <v/>
      </c>
      <c r="GD774" s="2579" t="str">
        <f t="shared" si="166"/>
        <v/>
      </c>
      <c r="GE774" s="2579" t="str">
        <f t="shared" si="167"/>
        <v/>
      </c>
      <c r="GF774" s="2579" t="str">
        <f t="shared" si="168"/>
        <v/>
      </c>
      <c r="GG774" s="2579" t="str">
        <f t="shared" si="169"/>
        <v/>
      </c>
      <c r="GH774" s="2579" t="str">
        <f t="shared" si="170"/>
        <v/>
      </c>
      <c r="GI774" s="2579" t="str">
        <f t="shared" si="171"/>
        <v/>
      </c>
      <c r="GJ774" s="2579" t="str">
        <f t="shared" si="172"/>
        <v/>
      </c>
      <c r="GK774" s="2579" t="str">
        <f t="shared" si="173"/>
        <v/>
      </c>
      <c r="GL774" s="2579" t="str">
        <f t="shared" si="174"/>
        <v/>
      </c>
      <c r="GM774" s="2579" t="str">
        <f t="shared" si="175"/>
        <v/>
      </c>
      <c r="GN774" s="2579" t="str">
        <f t="shared" si="176"/>
        <v/>
      </c>
      <c r="GO774" s="2579" t="str">
        <f t="shared" si="177"/>
        <v/>
      </c>
      <c r="GP774" s="2579" t="str">
        <f t="shared" si="178"/>
        <v/>
      </c>
      <c r="GQ774" s="2579" t="str">
        <f t="shared" si="179"/>
        <v/>
      </c>
      <c r="GR774" s="2579" t="str">
        <f t="shared" si="180"/>
        <v/>
      </c>
      <c r="GS774" s="2579" t="str">
        <f t="shared" si="181"/>
        <v/>
      </c>
      <c r="GT774" s="2579" t="str">
        <f t="shared" si="182"/>
        <v/>
      </c>
      <c r="GU774" s="2579" t="str">
        <f t="shared" si="183"/>
        <v/>
      </c>
      <c r="GV774" s="2579" t="str">
        <f t="shared" si="184"/>
        <v/>
      </c>
      <c r="GW774" s="2579" t="str">
        <f t="shared" si="185"/>
        <v/>
      </c>
      <c r="GX774" s="2579" t="str">
        <f t="shared" si="186"/>
        <v/>
      </c>
      <c r="GY774" s="2579" t="str">
        <f t="shared" si="187"/>
        <v/>
      </c>
      <c r="GZ774" s="2579" t="str">
        <f t="shared" si="188"/>
        <v/>
      </c>
      <c r="HA774" s="2579" t="str">
        <f t="shared" si="189"/>
        <v/>
      </c>
      <c r="HB774" s="2579" t="str">
        <f t="shared" si="190"/>
        <v/>
      </c>
      <c r="HC774" s="2579" t="str">
        <f t="shared" si="191"/>
        <v/>
      </c>
      <c r="HD774" s="2579" t="str">
        <f t="shared" si="192"/>
        <v/>
      </c>
      <c r="HE774" s="2579" t="str">
        <f t="shared" si="193"/>
        <v/>
      </c>
      <c r="HF774" s="2579" t="str">
        <f t="shared" si="194"/>
        <v/>
      </c>
      <c r="HG774" s="2579" t="str">
        <f t="shared" si="195"/>
        <v/>
      </c>
      <c r="HH774" s="2579" t="str">
        <f t="shared" si="196"/>
        <v/>
      </c>
      <c r="HI774" s="2579" t="str">
        <f t="shared" si="197"/>
        <v/>
      </c>
      <c r="HJ774" s="2579" t="str">
        <f t="shared" si="198"/>
        <v/>
      </c>
      <c r="HK774" s="2579" t="str">
        <f t="shared" si="199"/>
        <v/>
      </c>
      <c r="HL774" s="2579" t="str">
        <f t="shared" si="200"/>
        <v/>
      </c>
      <c r="HM774" s="2579" t="str">
        <f t="shared" si="201"/>
        <v/>
      </c>
      <c r="HN774" s="2579" t="str">
        <f t="shared" si="202"/>
        <v/>
      </c>
      <c r="HO774" s="2579" t="str">
        <f t="shared" si="203"/>
        <v/>
      </c>
      <c r="HP774" s="2579" t="str">
        <f t="shared" si="204"/>
        <v/>
      </c>
      <c r="HQ774" s="2579" t="str">
        <f t="shared" si="205"/>
        <v/>
      </c>
      <c r="HR774" s="2579" t="str">
        <f t="shared" si="206"/>
        <v/>
      </c>
      <c r="HS774" s="2579" t="str">
        <f t="shared" si="207"/>
        <v/>
      </c>
      <c r="HT774" s="2579" t="str">
        <f t="shared" si="208"/>
        <v/>
      </c>
      <c r="HU774" s="2579" t="str">
        <f t="shared" si="209"/>
        <v/>
      </c>
      <c r="HV774" s="2579" t="str">
        <f t="shared" si="210"/>
        <v/>
      </c>
      <c r="HW774" s="2579" t="str">
        <f t="shared" si="211"/>
        <v/>
      </c>
      <c r="HX774" s="2579" t="str">
        <f t="shared" si="212"/>
        <v/>
      </c>
      <c r="HY774" s="2579" t="str">
        <f t="shared" si="213"/>
        <v/>
      </c>
      <c r="HZ774" s="2579" t="str">
        <f t="shared" si="214"/>
        <v/>
      </c>
      <c r="IA774" s="2579" t="str">
        <f t="shared" si="215"/>
        <v/>
      </c>
      <c r="IB774" s="2579" t="str">
        <f t="shared" si="216"/>
        <v/>
      </c>
      <c r="IC774" s="2579" t="str">
        <f t="shared" si="217"/>
        <v/>
      </c>
      <c r="ID774" s="2551" t="str">
        <f t="shared" si="218"/>
        <v/>
      </c>
      <c r="IE774" s="2551" t="str">
        <f t="shared" si="219"/>
        <v/>
      </c>
      <c r="IF774" s="2551" t="str">
        <f t="shared" si="220"/>
        <v/>
      </c>
      <c r="IG774" s="2551" t="str">
        <f t="shared" si="221"/>
        <v/>
      </c>
      <c r="IH774" s="2551"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2549">
        <f t="shared" si="243"/>
        <v>0</v>
      </c>
      <c r="JD774" s="2549">
        <f t="shared" si="244"/>
        <v>0</v>
      </c>
      <c r="JE774" s="2549">
        <f t="shared" si="245"/>
        <v>0</v>
      </c>
      <c r="JF774" s="2549">
        <f t="shared" si="246"/>
        <v>0</v>
      </c>
      <c r="JG774" s="2549">
        <f t="shared" si="247"/>
        <v>0</v>
      </c>
      <c r="JH774" s="2549">
        <f t="shared" si="248"/>
        <v>0</v>
      </c>
      <c r="JI774" s="2549">
        <f t="shared" si="249"/>
        <v>0</v>
      </c>
      <c r="JJ774" s="2549">
        <f t="shared" si="250"/>
        <v>0</v>
      </c>
      <c r="JK774" s="2549">
        <f t="shared" si="251"/>
        <v>0</v>
      </c>
      <c r="JL774" s="2549">
        <f t="shared" si="252"/>
        <v>0</v>
      </c>
      <c r="JM774" s="2549">
        <f t="shared" si="253"/>
        <v>0</v>
      </c>
      <c r="JN774" s="2549">
        <f t="shared" si="254"/>
        <v>0</v>
      </c>
      <c r="JO774" s="2549">
        <f t="shared" si="255"/>
        <v>0</v>
      </c>
      <c r="JP774" s="2549">
        <f t="shared" si="256"/>
        <v>0</v>
      </c>
      <c r="JQ774" s="2549">
        <f t="shared" si="257"/>
        <v>0</v>
      </c>
    </row>
    <row r="775" spans="1:277" ht="12" customHeight="1">
      <c r="A775" s="2562" t="str">
        <f t="shared" si="0"/>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1"/>
        <v>0</v>
      </c>
      <c r="L775" s="2576">
        <f t="shared" si="2"/>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t="str">
        <f t="shared" si="21"/>
        <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t="str">
        <f t="shared" si="76"/>
        <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t="str">
        <f t="shared" si="96"/>
        <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2579" t="str">
        <f t="shared" si="133"/>
        <v/>
      </c>
      <c r="EX775" s="2579" t="str">
        <f t="shared" si="134"/>
        <v/>
      </c>
      <c r="EY775" s="2579" t="str">
        <f t="shared" si="135"/>
        <v/>
      </c>
      <c r="EZ775" s="2579" t="str">
        <f t="shared" si="136"/>
        <v/>
      </c>
      <c r="FA775" s="2579" t="str">
        <f t="shared" si="137"/>
        <v/>
      </c>
      <c r="FB775" s="2579" t="str">
        <f t="shared" si="138"/>
        <v/>
      </c>
      <c r="FC775" s="2579" t="str">
        <f t="shared" si="139"/>
        <v/>
      </c>
      <c r="FD775" s="2579" t="str">
        <f t="shared" si="140"/>
        <v/>
      </c>
      <c r="FE775" s="2579" t="str">
        <f t="shared" si="141"/>
        <v/>
      </c>
      <c r="FF775" s="2579" t="str">
        <f t="shared" si="142"/>
        <v/>
      </c>
      <c r="FG775" s="2579" t="str">
        <f t="shared" si="143"/>
        <v/>
      </c>
      <c r="FH775" s="2579" t="str">
        <f t="shared" si="144"/>
        <v/>
      </c>
      <c r="FI775" s="2579" t="str">
        <f t="shared" si="145"/>
        <v/>
      </c>
      <c r="FJ775" s="2579" t="str">
        <f t="shared" si="146"/>
        <v/>
      </c>
      <c r="FK775" s="2579" t="str">
        <f t="shared" si="147"/>
        <v/>
      </c>
      <c r="FL775" s="2579" t="str">
        <f t="shared" si="148"/>
        <v/>
      </c>
      <c r="FM775" s="2579" t="str">
        <f t="shared" si="149"/>
        <v/>
      </c>
      <c r="FN775" s="2579" t="str">
        <f t="shared" si="150"/>
        <v/>
      </c>
      <c r="FO775" s="2579" t="str">
        <f t="shared" si="151"/>
        <v/>
      </c>
      <c r="FP775" s="2579" t="str">
        <f t="shared" si="152"/>
        <v/>
      </c>
      <c r="FQ775" s="2579" t="str">
        <f t="shared" si="153"/>
        <v/>
      </c>
      <c r="FR775" s="2579" t="str">
        <f t="shared" si="154"/>
        <v/>
      </c>
      <c r="FS775" s="2579" t="str">
        <f t="shared" si="155"/>
        <v/>
      </c>
      <c r="FT775" s="2579" t="str">
        <f t="shared" si="156"/>
        <v/>
      </c>
      <c r="FU775" s="2579" t="str">
        <f t="shared" si="157"/>
        <v/>
      </c>
      <c r="FV775" s="2579" t="str">
        <f t="shared" si="158"/>
        <v/>
      </c>
      <c r="FW775" s="2579" t="str">
        <f t="shared" si="159"/>
        <v/>
      </c>
      <c r="FX775" s="2579" t="str">
        <f t="shared" si="160"/>
        <v/>
      </c>
      <c r="FY775" s="2579" t="str">
        <f t="shared" si="161"/>
        <v/>
      </c>
      <c r="FZ775" s="2579" t="str">
        <f t="shared" si="162"/>
        <v/>
      </c>
      <c r="GA775" s="2579" t="str">
        <f t="shared" si="163"/>
        <v/>
      </c>
      <c r="GB775" s="2579" t="str">
        <f t="shared" si="164"/>
        <v/>
      </c>
      <c r="GC775" s="2579" t="str">
        <f t="shared" si="165"/>
        <v/>
      </c>
      <c r="GD775" s="2579" t="str">
        <f t="shared" si="166"/>
        <v/>
      </c>
      <c r="GE775" s="2579" t="str">
        <f t="shared" si="167"/>
        <v/>
      </c>
      <c r="GF775" s="2579" t="str">
        <f t="shared" si="168"/>
        <v/>
      </c>
      <c r="GG775" s="2579" t="str">
        <f t="shared" si="169"/>
        <v/>
      </c>
      <c r="GH775" s="2579" t="str">
        <f t="shared" si="170"/>
        <v/>
      </c>
      <c r="GI775" s="2579" t="str">
        <f t="shared" si="171"/>
        <v/>
      </c>
      <c r="GJ775" s="2579" t="str">
        <f t="shared" si="172"/>
        <v/>
      </c>
      <c r="GK775" s="2579" t="str">
        <f t="shared" si="173"/>
        <v/>
      </c>
      <c r="GL775" s="2579" t="str">
        <f t="shared" si="174"/>
        <v/>
      </c>
      <c r="GM775" s="2579" t="str">
        <f t="shared" si="175"/>
        <v/>
      </c>
      <c r="GN775" s="2579" t="str">
        <f t="shared" si="176"/>
        <v/>
      </c>
      <c r="GO775" s="2579" t="str">
        <f t="shared" si="177"/>
        <v/>
      </c>
      <c r="GP775" s="2579" t="str">
        <f t="shared" si="178"/>
        <v/>
      </c>
      <c r="GQ775" s="2579" t="str">
        <f t="shared" si="179"/>
        <v/>
      </c>
      <c r="GR775" s="2579" t="str">
        <f t="shared" si="180"/>
        <v/>
      </c>
      <c r="GS775" s="2579" t="str">
        <f t="shared" si="181"/>
        <v/>
      </c>
      <c r="GT775" s="2579" t="str">
        <f t="shared" si="182"/>
        <v/>
      </c>
      <c r="GU775" s="2579" t="str">
        <f t="shared" si="183"/>
        <v/>
      </c>
      <c r="GV775" s="2579" t="str">
        <f t="shared" si="184"/>
        <v/>
      </c>
      <c r="GW775" s="2579" t="str">
        <f t="shared" si="185"/>
        <v/>
      </c>
      <c r="GX775" s="2579" t="str">
        <f t="shared" si="186"/>
        <v/>
      </c>
      <c r="GY775" s="2579" t="str">
        <f t="shared" si="187"/>
        <v/>
      </c>
      <c r="GZ775" s="2579" t="str">
        <f t="shared" si="188"/>
        <v/>
      </c>
      <c r="HA775" s="2579" t="str">
        <f t="shared" si="189"/>
        <v/>
      </c>
      <c r="HB775" s="2579" t="str">
        <f t="shared" si="190"/>
        <v/>
      </c>
      <c r="HC775" s="2579" t="str">
        <f t="shared" si="191"/>
        <v/>
      </c>
      <c r="HD775" s="2579" t="str">
        <f t="shared" si="192"/>
        <v/>
      </c>
      <c r="HE775" s="2579" t="str">
        <f t="shared" si="193"/>
        <v/>
      </c>
      <c r="HF775" s="2579" t="str">
        <f t="shared" si="194"/>
        <v/>
      </c>
      <c r="HG775" s="2579" t="str">
        <f t="shared" si="195"/>
        <v/>
      </c>
      <c r="HH775" s="2579" t="str">
        <f t="shared" si="196"/>
        <v/>
      </c>
      <c r="HI775" s="2579" t="str">
        <f t="shared" si="197"/>
        <v/>
      </c>
      <c r="HJ775" s="2579" t="str">
        <f t="shared" si="198"/>
        <v/>
      </c>
      <c r="HK775" s="2579" t="str">
        <f t="shared" si="199"/>
        <v/>
      </c>
      <c r="HL775" s="2579" t="str">
        <f t="shared" si="200"/>
        <v/>
      </c>
      <c r="HM775" s="2579" t="str">
        <f t="shared" si="201"/>
        <v/>
      </c>
      <c r="HN775" s="2579" t="str">
        <f t="shared" si="202"/>
        <v/>
      </c>
      <c r="HO775" s="2579" t="str">
        <f t="shared" si="203"/>
        <v/>
      </c>
      <c r="HP775" s="2579" t="str">
        <f t="shared" si="204"/>
        <v/>
      </c>
      <c r="HQ775" s="2579" t="str">
        <f t="shared" si="205"/>
        <v/>
      </c>
      <c r="HR775" s="2579" t="str">
        <f t="shared" si="206"/>
        <v/>
      </c>
      <c r="HS775" s="2579" t="str">
        <f t="shared" si="207"/>
        <v/>
      </c>
      <c r="HT775" s="2579" t="str">
        <f t="shared" si="208"/>
        <v/>
      </c>
      <c r="HU775" s="2579" t="str">
        <f t="shared" si="209"/>
        <v/>
      </c>
      <c r="HV775" s="2579" t="str">
        <f t="shared" si="210"/>
        <v/>
      </c>
      <c r="HW775" s="2579" t="str">
        <f t="shared" si="211"/>
        <v/>
      </c>
      <c r="HX775" s="2579" t="str">
        <f t="shared" si="212"/>
        <v/>
      </c>
      <c r="HY775" s="2579" t="str">
        <f t="shared" si="213"/>
        <v/>
      </c>
      <c r="HZ775" s="2579" t="str">
        <f t="shared" si="214"/>
        <v/>
      </c>
      <c r="IA775" s="2579" t="str">
        <f t="shared" si="215"/>
        <v/>
      </c>
      <c r="IB775" s="2579" t="str">
        <f t="shared" si="216"/>
        <v/>
      </c>
      <c r="IC775" s="2579" t="str">
        <f t="shared" si="217"/>
        <v/>
      </c>
      <c r="ID775" s="2551" t="str">
        <f t="shared" si="218"/>
        <v/>
      </c>
      <c r="IE775" s="2551" t="str">
        <f t="shared" si="219"/>
        <v/>
      </c>
      <c r="IF775" s="2551" t="str">
        <f t="shared" si="220"/>
        <v/>
      </c>
      <c r="IG775" s="2551" t="str">
        <f t="shared" si="221"/>
        <v/>
      </c>
      <c r="IH775" s="2551"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2549">
        <f t="shared" si="243"/>
        <v>0</v>
      </c>
      <c r="JD775" s="2549">
        <f t="shared" si="244"/>
        <v>0</v>
      </c>
      <c r="JE775" s="2549">
        <f t="shared" si="245"/>
        <v>0</v>
      </c>
      <c r="JF775" s="2549">
        <f t="shared" si="246"/>
        <v>0</v>
      </c>
      <c r="JG775" s="2549">
        <f t="shared" si="247"/>
        <v>0</v>
      </c>
      <c r="JH775" s="2549">
        <f t="shared" si="248"/>
        <v>0</v>
      </c>
      <c r="JI775" s="2549">
        <f t="shared" si="249"/>
        <v>0</v>
      </c>
      <c r="JJ775" s="2549">
        <f t="shared" si="250"/>
        <v>0</v>
      </c>
      <c r="JK775" s="2549">
        <f t="shared" si="251"/>
        <v>0</v>
      </c>
      <c r="JL775" s="2549">
        <f t="shared" si="252"/>
        <v>0</v>
      </c>
      <c r="JM775" s="2549">
        <f t="shared" si="253"/>
        <v>0</v>
      </c>
      <c r="JN775" s="2549">
        <f t="shared" si="254"/>
        <v>0</v>
      </c>
      <c r="JO775" s="2549">
        <f t="shared" si="255"/>
        <v>0</v>
      </c>
      <c r="JP775" s="2549">
        <f t="shared" si="256"/>
        <v>0</v>
      </c>
      <c r="JQ775" s="2549">
        <f t="shared" si="257"/>
        <v>0</v>
      </c>
    </row>
    <row r="776" spans="1:277" ht="12" customHeight="1">
      <c r="A776" s="2562" t="str">
        <f t="shared" si="0"/>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1"/>
        <v>0</v>
      </c>
      <c r="L776" s="2576">
        <f t="shared" si="2"/>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2579" t="str">
        <f t="shared" si="133"/>
        <v/>
      </c>
      <c r="EX776" s="2579" t="str">
        <f t="shared" si="134"/>
        <v/>
      </c>
      <c r="EY776" s="2579" t="str">
        <f t="shared" si="135"/>
        <v/>
      </c>
      <c r="EZ776" s="2579" t="str">
        <f t="shared" si="136"/>
        <v/>
      </c>
      <c r="FA776" s="2579" t="str">
        <f t="shared" si="137"/>
        <v/>
      </c>
      <c r="FB776" s="2579" t="str">
        <f t="shared" si="138"/>
        <v/>
      </c>
      <c r="FC776" s="2579" t="str">
        <f t="shared" si="139"/>
        <v/>
      </c>
      <c r="FD776" s="2579" t="str">
        <f t="shared" si="140"/>
        <v/>
      </c>
      <c r="FE776" s="2579" t="str">
        <f t="shared" si="141"/>
        <v/>
      </c>
      <c r="FF776" s="2579" t="str">
        <f t="shared" si="142"/>
        <v/>
      </c>
      <c r="FG776" s="2579" t="str">
        <f t="shared" si="143"/>
        <v/>
      </c>
      <c r="FH776" s="2579" t="str">
        <f t="shared" si="144"/>
        <v/>
      </c>
      <c r="FI776" s="2579" t="str">
        <f t="shared" si="145"/>
        <v/>
      </c>
      <c r="FJ776" s="2579" t="str">
        <f t="shared" si="146"/>
        <v/>
      </c>
      <c r="FK776" s="2579" t="str">
        <f t="shared" si="147"/>
        <v/>
      </c>
      <c r="FL776" s="2579" t="str">
        <f t="shared" si="148"/>
        <v/>
      </c>
      <c r="FM776" s="2579" t="str">
        <f t="shared" si="149"/>
        <v/>
      </c>
      <c r="FN776" s="2579" t="str">
        <f t="shared" si="150"/>
        <v/>
      </c>
      <c r="FO776" s="2579" t="str">
        <f t="shared" si="151"/>
        <v/>
      </c>
      <c r="FP776" s="2579" t="str">
        <f t="shared" si="152"/>
        <v/>
      </c>
      <c r="FQ776" s="2579" t="str">
        <f t="shared" si="153"/>
        <v/>
      </c>
      <c r="FR776" s="2579" t="str">
        <f t="shared" si="154"/>
        <v/>
      </c>
      <c r="FS776" s="2579" t="str">
        <f t="shared" si="155"/>
        <v/>
      </c>
      <c r="FT776" s="2579" t="str">
        <f t="shared" si="156"/>
        <v/>
      </c>
      <c r="FU776" s="2579" t="str">
        <f t="shared" si="157"/>
        <v/>
      </c>
      <c r="FV776" s="2579" t="str">
        <f t="shared" si="158"/>
        <v/>
      </c>
      <c r="FW776" s="2579" t="str">
        <f t="shared" si="159"/>
        <v/>
      </c>
      <c r="FX776" s="2579" t="str">
        <f t="shared" si="160"/>
        <v/>
      </c>
      <c r="FY776" s="2579" t="str">
        <f t="shared" si="161"/>
        <v/>
      </c>
      <c r="FZ776" s="2579" t="str">
        <f t="shared" si="162"/>
        <v/>
      </c>
      <c r="GA776" s="2579" t="str">
        <f t="shared" si="163"/>
        <v/>
      </c>
      <c r="GB776" s="2579" t="str">
        <f t="shared" si="164"/>
        <v/>
      </c>
      <c r="GC776" s="2579" t="str">
        <f t="shared" si="165"/>
        <v/>
      </c>
      <c r="GD776" s="2579" t="str">
        <f t="shared" si="166"/>
        <v/>
      </c>
      <c r="GE776" s="2579" t="str">
        <f t="shared" si="167"/>
        <v/>
      </c>
      <c r="GF776" s="2579" t="str">
        <f t="shared" si="168"/>
        <v/>
      </c>
      <c r="GG776" s="2579" t="str">
        <f t="shared" si="169"/>
        <v/>
      </c>
      <c r="GH776" s="2579" t="str">
        <f t="shared" si="170"/>
        <v/>
      </c>
      <c r="GI776" s="2579" t="str">
        <f t="shared" si="171"/>
        <v/>
      </c>
      <c r="GJ776" s="2579" t="str">
        <f t="shared" si="172"/>
        <v/>
      </c>
      <c r="GK776" s="2579" t="str">
        <f t="shared" si="173"/>
        <v/>
      </c>
      <c r="GL776" s="2579" t="str">
        <f t="shared" si="174"/>
        <v/>
      </c>
      <c r="GM776" s="2579" t="str">
        <f t="shared" si="175"/>
        <v/>
      </c>
      <c r="GN776" s="2579" t="str">
        <f t="shared" si="176"/>
        <v/>
      </c>
      <c r="GO776" s="2579" t="str">
        <f t="shared" si="177"/>
        <v/>
      </c>
      <c r="GP776" s="2579" t="str">
        <f t="shared" si="178"/>
        <v/>
      </c>
      <c r="GQ776" s="2579" t="str">
        <f t="shared" si="179"/>
        <v/>
      </c>
      <c r="GR776" s="2579" t="str">
        <f t="shared" si="180"/>
        <v/>
      </c>
      <c r="GS776" s="2579" t="str">
        <f t="shared" si="181"/>
        <v/>
      </c>
      <c r="GT776" s="2579" t="str">
        <f t="shared" si="182"/>
        <v/>
      </c>
      <c r="GU776" s="2579" t="str">
        <f t="shared" si="183"/>
        <v/>
      </c>
      <c r="GV776" s="2579" t="str">
        <f t="shared" si="184"/>
        <v/>
      </c>
      <c r="GW776" s="2579" t="str">
        <f t="shared" si="185"/>
        <v/>
      </c>
      <c r="GX776" s="2579" t="str">
        <f t="shared" si="186"/>
        <v/>
      </c>
      <c r="GY776" s="2579" t="str">
        <f t="shared" si="187"/>
        <v/>
      </c>
      <c r="GZ776" s="2579" t="str">
        <f t="shared" si="188"/>
        <v/>
      </c>
      <c r="HA776" s="2579" t="str">
        <f t="shared" si="189"/>
        <v/>
      </c>
      <c r="HB776" s="2579" t="str">
        <f t="shared" si="190"/>
        <v/>
      </c>
      <c r="HC776" s="2579" t="str">
        <f t="shared" si="191"/>
        <v/>
      </c>
      <c r="HD776" s="2579" t="str">
        <f t="shared" si="192"/>
        <v/>
      </c>
      <c r="HE776" s="2579" t="str">
        <f t="shared" si="193"/>
        <v/>
      </c>
      <c r="HF776" s="2579" t="str">
        <f t="shared" si="194"/>
        <v/>
      </c>
      <c r="HG776" s="2579" t="str">
        <f t="shared" si="195"/>
        <v/>
      </c>
      <c r="HH776" s="2579" t="str">
        <f t="shared" si="196"/>
        <v/>
      </c>
      <c r="HI776" s="2579" t="str">
        <f t="shared" si="197"/>
        <v/>
      </c>
      <c r="HJ776" s="2579" t="str">
        <f t="shared" si="198"/>
        <v/>
      </c>
      <c r="HK776" s="2579" t="str">
        <f t="shared" si="199"/>
        <v/>
      </c>
      <c r="HL776" s="2579" t="str">
        <f t="shared" si="200"/>
        <v/>
      </c>
      <c r="HM776" s="2579" t="str">
        <f t="shared" si="201"/>
        <v/>
      </c>
      <c r="HN776" s="2579" t="str">
        <f t="shared" si="202"/>
        <v/>
      </c>
      <c r="HO776" s="2579" t="str">
        <f t="shared" si="203"/>
        <v/>
      </c>
      <c r="HP776" s="2579" t="str">
        <f t="shared" si="204"/>
        <v/>
      </c>
      <c r="HQ776" s="2579" t="str">
        <f t="shared" si="205"/>
        <v/>
      </c>
      <c r="HR776" s="2579" t="str">
        <f t="shared" si="206"/>
        <v/>
      </c>
      <c r="HS776" s="2579" t="str">
        <f t="shared" si="207"/>
        <v/>
      </c>
      <c r="HT776" s="2579" t="str">
        <f t="shared" si="208"/>
        <v/>
      </c>
      <c r="HU776" s="2579" t="str">
        <f t="shared" si="209"/>
        <v/>
      </c>
      <c r="HV776" s="2579" t="str">
        <f t="shared" si="210"/>
        <v/>
      </c>
      <c r="HW776" s="2579" t="str">
        <f t="shared" si="211"/>
        <v/>
      </c>
      <c r="HX776" s="2579" t="str">
        <f t="shared" si="212"/>
        <v/>
      </c>
      <c r="HY776" s="2579" t="str">
        <f t="shared" si="213"/>
        <v/>
      </c>
      <c r="HZ776" s="2579" t="str">
        <f t="shared" si="214"/>
        <v/>
      </c>
      <c r="IA776" s="2579" t="str">
        <f t="shared" si="215"/>
        <v/>
      </c>
      <c r="IB776" s="2579" t="str">
        <f t="shared" si="216"/>
        <v/>
      </c>
      <c r="IC776" s="2579" t="str">
        <f t="shared" si="217"/>
        <v/>
      </c>
      <c r="ID776" s="2551" t="str">
        <f t="shared" si="218"/>
        <v/>
      </c>
      <c r="IE776" s="2551" t="str">
        <f t="shared" si="219"/>
        <v/>
      </c>
      <c r="IF776" s="2551" t="str">
        <f t="shared" si="220"/>
        <v/>
      </c>
      <c r="IG776" s="2551" t="str">
        <f t="shared" si="221"/>
        <v/>
      </c>
      <c r="IH776" s="2551"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2549">
        <f t="shared" si="243"/>
        <v>0</v>
      </c>
      <c r="JD776" s="2549">
        <f t="shared" si="244"/>
        <v>0</v>
      </c>
      <c r="JE776" s="2549">
        <f t="shared" si="245"/>
        <v>0</v>
      </c>
      <c r="JF776" s="2549">
        <f t="shared" si="246"/>
        <v>0</v>
      </c>
      <c r="JG776" s="2549">
        <f t="shared" si="247"/>
        <v>0</v>
      </c>
      <c r="JH776" s="2549">
        <f t="shared" si="248"/>
        <v>0</v>
      </c>
      <c r="JI776" s="2549">
        <f t="shared" si="249"/>
        <v>0</v>
      </c>
      <c r="JJ776" s="2549">
        <f t="shared" si="250"/>
        <v>0</v>
      </c>
      <c r="JK776" s="2549">
        <f t="shared" si="251"/>
        <v>0</v>
      </c>
      <c r="JL776" s="2549">
        <f t="shared" si="252"/>
        <v>0</v>
      </c>
      <c r="JM776" s="2549">
        <f t="shared" si="253"/>
        <v>0</v>
      </c>
      <c r="JN776" s="2549">
        <f t="shared" si="254"/>
        <v>0</v>
      </c>
      <c r="JO776" s="2549">
        <f t="shared" si="255"/>
        <v>0</v>
      </c>
      <c r="JP776" s="2549">
        <f t="shared" si="256"/>
        <v>0</v>
      </c>
      <c r="JQ776" s="2549">
        <f t="shared" si="257"/>
        <v>0</v>
      </c>
    </row>
    <row r="777" spans="1:277" ht="12" customHeight="1">
      <c r="A777" s="2562" t="str">
        <f t="shared" si="0"/>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1"/>
        <v>0</v>
      </c>
      <c r="L777" s="2576">
        <f t="shared" si="2"/>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2579" t="str">
        <f t="shared" si="133"/>
        <v/>
      </c>
      <c r="EX777" s="2579" t="str">
        <f t="shared" si="134"/>
        <v/>
      </c>
      <c r="EY777" s="2579" t="str">
        <f t="shared" si="135"/>
        <v/>
      </c>
      <c r="EZ777" s="2579" t="str">
        <f t="shared" si="136"/>
        <v/>
      </c>
      <c r="FA777" s="2579" t="str">
        <f t="shared" si="137"/>
        <v/>
      </c>
      <c r="FB777" s="2579" t="str">
        <f t="shared" si="138"/>
        <v/>
      </c>
      <c r="FC777" s="2579" t="str">
        <f t="shared" si="139"/>
        <v/>
      </c>
      <c r="FD777" s="2579" t="str">
        <f t="shared" si="140"/>
        <v/>
      </c>
      <c r="FE777" s="2579" t="str">
        <f t="shared" si="141"/>
        <v/>
      </c>
      <c r="FF777" s="2579" t="str">
        <f t="shared" si="142"/>
        <v/>
      </c>
      <c r="FG777" s="2579" t="str">
        <f t="shared" si="143"/>
        <v/>
      </c>
      <c r="FH777" s="2579" t="str">
        <f t="shared" si="144"/>
        <v/>
      </c>
      <c r="FI777" s="2579" t="str">
        <f t="shared" si="145"/>
        <v/>
      </c>
      <c r="FJ777" s="2579" t="str">
        <f t="shared" si="146"/>
        <v/>
      </c>
      <c r="FK777" s="2579" t="str">
        <f t="shared" si="147"/>
        <v/>
      </c>
      <c r="FL777" s="2579" t="str">
        <f t="shared" si="148"/>
        <v/>
      </c>
      <c r="FM777" s="2579" t="str">
        <f t="shared" si="149"/>
        <v/>
      </c>
      <c r="FN777" s="2579" t="str">
        <f t="shared" si="150"/>
        <v/>
      </c>
      <c r="FO777" s="2579" t="str">
        <f t="shared" si="151"/>
        <v/>
      </c>
      <c r="FP777" s="2579" t="str">
        <f t="shared" si="152"/>
        <v/>
      </c>
      <c r="FQ777" s="2579" t="str">
        <f t="shared" si="153"/>
        <v/>
      </c>
      <c r="FR777" s="2579" t="str">
        <f t="shared" si="154"/>
        <v/>
      </c>
      <c r="FS777" s="2579" t="str">
        <f t="shared" si="155"/>
        <v/>
      </c>
      <c r="FT777" s="2579" t="str">
        <f t="shared" si="156"/>
        <v/>
      </c>
      <c r="FU777" s="2579" t="str">
        <f t="shared" si="157"/>
        <v/>
      </c>
      <c r="FV777" s="2579" t="str">
        <f t="shared" si="158"/>
        <v/>
      </c>
      <c r="FW777" s="2579" t="str">
        <f t="shared" si="159"/>
        <v/>
      </c>
      <c r="FX777" s="2579" t="str">
        <f t="shared" si="160"/>
        <v/>
      </c>
      <c r="FY777" s="2579" t="str">
        <f t="shared" si="161"/>
        <v/>
      </c>
      <c r="FZ777" s="2579" t="str">
        <f t="shared" si="162"/>
        <v/>
      </c>
      <c r="GA777" s="2579" t="str">
        <f t="shared" si="163"/>
        <v/>
      </c>
      <c r="GB777" s="2579" t="str">
        <f t="shared" si="164"/>
        <v/>
      </c>
      <c r="GC777" s="2579" t="str">
        <f t="shared" si="165"/>
        <v/>
      </c>
      <c r="GD777" s="2579" t="str">
        <f t="shared" si="166"/>
        <v/>
      </c>
      <c r="GE777" s="2579" t="str">
        <f t="shared" si="167"/>
        <v/>
      </c>
      <c r="GF777" s="2579" t="str">
        <f t="shared" si="168"/>
        <v/>
      </c>
      <c r="GG777" s="2579" t="str">
        <f t="shared" si="169"/>
        <v/>
      </c>
      <c r="GH777" s="2579" t="str">
        <f t="shared" si="170"/>
        <v/>
      </c>
      <c r="GI777" s="2579" t="str">
        <f t="shared" si="171"/>
        <v/>
      </c>
      <c r="GJ777" s="2579" t="str">
        <f t="shared" si="172"/>
        <v/>
      </c>
      <c r="GK777" s="2579" t="str">
        <f t="shared" si="173"/>
        <v/>
      </c>
      <c r="GL777" s="2579" t="str">
        <f t="shared" si="174"/>
        <v/>
      </c>
      <c r="GM777" s="2579" t="str">
        <f t="shared" si="175"/>
        <v/>
      </c>
      <c r="GN777" s="2579" t="str">
        <f t="shared" si="176"/>
        <v/>
      </c>
      <c r="GO777" s="2579" t="str">
        <f t="shared" si="177"/>
        <v/>
      </c>
      <c r="GP777" s="2579" t="str">
        <f t="shared" si="178"/>
        <v/>
      </c>
      <c r="GQ777" s="2579" t="str">
        <f t="shared" si="179"/>
        <v/>
      </c>
      <c r="GR777" s="2579" t="str">
        <f t="shared" si="180"/>
        <v/>
      </c>
      <c r="GS777" s="2579" t="str">
        <f t="shared" si="181"/>
        <v/>
      </c>
      <c r="GT777" s="2579" t="str">
        <f t="shared" si="182"/>
        <v/>
      </c>
      <c r="GU777" s="2579" t="str">
        <f t="shared" si="183"/>
        <v/>
      </c>
      <c r="GV777" s="2579" t="str">
        <f t="shared" si="184"/>
        <v/>
      </c>
      <c r="GW777" s="2579" t="str">
        <f t="shared" si="185"/>
        <v/>
      </c>
      <c r="GX777" s="2579" t="str">
        <f t="shared" si="186"/>
        <v/>
      </c>
      <c r="GY777" s="2579" t="str">
        <f t="shared" si="187"/>
        <v/>
      </c>
      <c r="GZ777" s="2579" t="str">
        <f t="shared" si="188"/>
        <v/>
      </c>
      <c r="HA777" s="2579" t="str">
        <f t="shared" si="189"/>
        <v/>
      </c>
      <c r="HB777" s="2579" t="str">
        <f t="shared" si="190"/>
        <v/>
      </c>
      <c r="HC777" s="2579" t="str">
        <f t="shared" si="191"/>
        <v/>
      </c>
      <c r="HD777" s="2579" t="str">
        <f t="shared" si="192"/>
        <v/>
      </c>
      <c r="HE777" s="2579" t="str">
        <f t="shared" si="193"/>
        <v/>
      </c>
      <c r="HF777" s="2579" t="str">
        <f t="shared" si="194"/>
        <v/>
      </c>
      <c r="HG777" s="2579" t="str">
        <f t="shared" si="195"/>
        <v/>
      </c>
      <c r="HH777" s="2579" t="str">
        <f t="shared" si="196"/>
        <v/>
      </c>
      <c r="HI777" s="2579" t="str">
        <f t="shared" si="197"/>
        <v/>
      </c>
      <c r="HJ777" s="2579" t="str">
        <f t="shared" si="198"/>
        <v/>
      </c>
      <c r="HK777" s="2579" t="str">
        <f t="shared" si="199"/>
        <v/>
      </c>
      <c r="HL777" s="2579" t="str">
        <f t="shared" si="200"/>
        <v/>
      </c>
      <c r="HM777" s="2579" t="str">
        <f t="shared" si="201"/>
        <v/>
      </c>
      <c r="HN777" s="2579" t="str">
        <f t="shared" si="202"/>
        <v/>
      </c>
      <c r="HO777" s="2579" t="str">
        <f t="shared" si="203"/>
        <v/>
      </c>
      <c r="HP777" s="2579" t="str">
        <f t="shared" si="204"/>
        <v/>
      </c>
      <c r="HQ777" s="2579" t="str">
        <f t="shared" si="205"/>
        <v/>
      </c>
      <c r="HR777" s="2579" t="str">
        <f t="shared" si="206"/>
        <v/>
      </c>
      <c r="HS777" s="2579" t="str">
        <f t="shared" si="207"/>
        <v/>
      </c>
      <c r="HT777" s="2579" t="str">
        <f t="shared" si="208"/>
        <v/>
      </c>
      <c r="HU777" s="2579" t="str">
        <f t="shared" si="209"/>
        <v/>
      </c>
      <c r="HV777" s="2579" t="str">
        <f t="shared" si="210"/>
        <v/>
      </c>
      <c r="HW777" s="2579" t="str">
        <f t="shared" si="211"/>
        <v/>
      </c>
      <c r="HX777" s="2579" t="str">
        <f t="shared" si="212"/>
        <v/>
      </c>
      <c r="HY777" s="2579" t="str">
        <f t="shared" si="213"/>
        <v/>
      </c>
      <c r="HZ777" s="2579" t="str">
        <f t="shared" si="214"/>
        <v/>
      </c>
      <c r="IA777" s="2579" t="str">
        <f t="shared" si="215"/>
        <v/>
      </c>
      <c r="IB777" s="2579" t="str">
        <f t="shared" si="216"/>
        <v/>
      </c>
      <c r="IC777" s="2579" t="str">
        <f t="shared" si="217"/>
        <v/>
      </c>
      <c r="ID777" s="2551" t="str">
        <f t="shared" si="218"/>
        <v/>
      </c>
      <c r="IE777" s="2551" t="str">
        <f t="shared" si="219"/>
        <v/>
      </c>
      <c r="IF777" s="2551" t="str">
        <f t="shared" si="220"/>
        <v/>
      </c>
      <c r="IG777" s="2551" t="str">
        <f t="shared" si="221"/>
        <v/>
      </c>
      <c r="IH777" s="2551"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2549">
        <f t="shared" si="243"/>
        <v>0</v>
      </c>
      <c r="JD777" s="2549">
        <f t="shared" si="244"/>
        <v>0</v>
      </c>
      <c r="JE777" s="2549">
        <f t="shared" si="245"/>
        <v>0</v>
      </c>
      <c r="JF777" s="2549">
        <f t="shared" si="246"/>
        <v>0</v>
      </c>
      <c r="JG777" s="2549">
        <f t="shared" si="247"/>
        <v>0</v>
      </c>
      <c r="JH777" s="2549">
        <f t="shared" si="248"/>
        <v>0</v>
      </c>
      <c r="JI777" s="2549">
        <f t="shared" si="249"/>
        <v>0</v>
      </c>
      <c r="JJ777" s="2549">
        <f t="shared" si="250"/>
        <v>0</v>
      </c>
      <c r="JK777" s="2549">
        <f t="shared" si="251"/>
        <v>0</v>
      </c>
      <c r="JL777" s="2549">
        <f t="shared" si="252"/>
        <v>0</v>
      </c>
      <c r="JM777" s="2549">
        <f t="shared" si="253"/>
        <v>0</v>
      </c>
      <c r="JN777" s="2549">
        <f t="shared" si="254"/>
        <v>0</v>
      </c>
      <c r="JO777" s="2549">
        <f t="shared" si="255"/>
        <v>0</v>
      </c>
      <c r="JP777" s="2549">
        <f t="shared" si="256"/>
        <v>0</v>
      </c>
      <c r="JQ777" s="2549">
        <f t="shared" si="257"/>
        <v>0</v>
      </c>
    </row>
    <row r="778" spans="1:277" ht="12" customHeight="1">
      <c r="A778" s="2562" t="str">
        <f t="shared" si="0"/>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1"/>
        <v>0</v>
      </c>
      <c r="L778" s="2576">
        <f t="shared" si="2"/>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2579" t="str">
        <f t="shared" si="133"/>
        <v/>
      </c>
      <c r="EX778" s="2579" t="str">
        <f t="shared" si="134"/>
        <v/>
      </c>
      <c r="EY778" s="2579" t="str">
        <f t="shared" si="135"/>
        <v/>
      </c>
      <c r="EZ778" s="2579" t="str">
        <f t="shared" si="136"/>
        <v/>
      </c>
      <c r="FA778" s="2579" t="str">
        <f t="shared" si="137"/>
        <v/>
      </c>
      <c r="FB778" s="2579" t="str">
        <f t="shared" si="138"/>
        <v/>
      </c>
      <c r="FC778" s="2579" t="str">
        <f t="shared" si="139"/>
        <v/>
      </c>
      <c r="FD778" s="2579" t="str">
        <f t="shared" si="140"/>
        <v/>
      </c>
      <c r="FE778" s="2579" t="str">
        <f t="shared" si="141"/>
        <v/>
      </c>
      <c r="FF778" s="2579" t="str">
        <f t="shared" si="142"/>
        <v/>
      </c>
      <c r="FG778" s="2579" t="str">
        <f t="shared" si="143"/>
        <v/>
      </c>
      <c r="FH778" s="2579" t="str">
        <f t="shared" si="144"/>
        <v/>
      </c>
      <c r="FI778" s="2579" t="str">
        <f t="shared" si="145"/>
        <v/>
      </c>
      <c r="FJ778" s="2579" t="str">
        <f t="shared" si="146"/>
        <v/>
      </c>
      <c r="FK778" s="2579" t="str">
        <f t="shared" si="147"/>
        <v/>
      </c>
      <c r="FL778" s="2579" t="str">
        <f t="shared" si="148"/>
        <v/>
      </c>
      <c r="FM778" s="2579" t="str">
        <f t="shared" si="149"/>
        <v/>
      </c>
      <c r="FN778" s="2579" t="str">
        <f t="shared" si="150"/>
        <v/>
      </c>
      <c r="FO778" s="2579" t="str">
        <f t="shared" si="151"/>
        <v/>
      </c>
      <c r="FP778" s="2579" t="str">
        <f t="shared" si="152"/>
        <v/>
      </c>
      <c r="FQ778" s="2579" t="str">
        <f t="shared" si="153"/>
        <v/>
      </c>
      <c r="FR778" s="2579" t="str">
        <f t="shared" si="154"/>
        <v/>
      </c>
      <c r="FS778" s="2579" t="str">
        <f t="shared" si="155"/>
        <v/>
      </c>
      <c r="FT778" s="2579" t="str">
        <f t="shared" si="156"/>
        <v/>
      </c>
      <c r="FU778" s="2579" t="str">
        <f t="shared" si="157"/>
        <v/>
      </c>
      <c r="FV778" s="2579" t="str">
        <f t="shared" si="158"/>
        <v/>
      </c>
      <c r="FW778" s="2579" t="str">
        <f t="shared" si="159"/>
        <v/>
      </c>
      <c r="FX778" s="2579" t="str">
        <f t="shared" si="160"/>
        <v/>
      </c>
      <c r="FY778" s="2579" t="str">
        <f t="shared" si="161"/>
        <v/>
      </c>
      <c r="FZ778" s="2579" t="str">
        <f t="shared" si="162"/>
        <v/>
      </c>
      <c r="GA778" s="2579" t="str">
        <f t="shared" si="163"/>
        <v/>
      </c>
      <c r="GB778" s="2579" t="str">
        <f t="shared" si="164"/>
        <v/>
      </c>
      <c r="GC778" s="2579" t="str">
        <f t="shared" si="165"/>
        <v/>
      </c>
      <c r="GD778" s="2579" t="str">
        <f t="shared" si="166"/>
        <v/>
      </c>
      <c r="GE778" s="2579" t="str">
        <f t="shared" si="167"/>
        <v/>
      </c>
      <c r="GF778" s="2579" t="str">
        <f t="shared" si="168"/>
        <v/>
      </c>
      <c r="GG778" s="2579" t="str">
        <f t="shared" si="169"/>
        <v/>
      </c>
      <c r="GH778" s="2579" t="str">
        <f t="shared" si="170"/>
        <v/>
      </c>
      <c r="GI778" s="2579" t="str">
        <f t="shared" si="171"/>
        <v/>
      </c>
      <c r="GJ778" s="2579" t="str">
        <f t="shared" si="172"/>
        <v/>
      </c>
      <c r="GK778" s="2579" t="str">
        <f t="shared" si="173"/>
        <v/>
      </c>
      <c r="GL778" s="2579" t="str">
        <f t="shared" si="174"/>
        <v/>
      </c>
      <c r="GM778" s="2579" t="str">
        <f t="shared" si="175"/>
        <v/>
      </c>
      <c r="GN778" s="2579" t="str">
        <f t="shared" si="176"/>
        <v/>
      </c>
      <c r="GO778" s="2579" t="str">
        <f t="shared" si="177"/>
        <v/>
      </c>
      <c r="GP778" s="2579" t="str">
        <f t="shared" si="178"/>
        <v/>
      </c>
      <c r="GQ778" s="2579" t="str">
        <f t="shared" si="179"/>
        <v/>
      </c>
      <c r="GR778" s="2579" t="str">
        <f t="shared" si="180"/>
        <v/>
      </c>
      <c r="GS778" s="2579" t="str">
        <f t="shared" si="181"/>
        <v/>
      </c>
      <c r="GT778" s="2579" t="str">
        <f t="shared" si="182"/>
        <v/>
      </c>
      <c r="GU778" s="2579" t="str">
        <f t="shared" si="183"/>
        <v/>
      </c>
      <c r="GV778" s="2579" t="str">
        <f t="shared" si="184"/>
        <v/>
      </c>
      <c r="GW778" s="2579" t="str">
        <f t="shared" si="185"/>
        <v/>
      </c>
      <c r="GX778" s="2579" t="str">
        <f t="shared" si="186"/>
        <v/>
      </c>
      <c r="GY778" s="2579" t="str">
        <f t="shared" si="187"/>
        <v/>
      </c>
      <c r="GZ778" s="2579" t="str">
        <f t="shared" si="188"/>
        <v/>
      </c>
      <c r="HA778" s="2579" t="str">
        <f t="shared" si="189"/>
        <v/>
      </c>
      <c r="HB778" s="2579" t="str">
        <f t="shared" si="190"/>
        <v/>
      </c>
      <c r="HC778" s="2579" t="str">
        <f t="shared" si="191"/>
        <v/>
      </c>
      <c r="HD778" s="2579" t="str">
        <f t="shared" si="192"/>
        <v/>
      </c>
      <c r="HE778" s="2579" t="str">
        <f t="shared" si="193"/>
        <v/>
      </c>
      <c r="HF778" s="2579" t="str">
        <f t="shared" si="194"/>
        <v/>
      </c>
      <c r="HG778" s="2579" t="str">
        <f t="shared" si="195"/>
        <v/>
      </c>
      <c r="HH778" s="2579" t="str">
        <f t="shared" si="196"/>
        <v/>
      </c>
      <c r="HI778" s="2579" t="str">
        <f t="shared" si="197"/>
        <v/>
      </c>
      <c r="HJ778" s="2579" t="str">
        <f t="shared" si="198"/>
        <v/>
      </c>
      <c r="HK778" s="2579" t="str">
        <f t="shared" si="199"/>
        <v/>
      </c>
      <c r="HL778" s="2579" t="str">
        <f t="shared" si="200"/>
        <v/>
      </c>
      <c r="HM778" s="2579" t="str">
        <f t="shared" si="201"/>
        <v/>
      </c>
      <c r="HN778" s="2579" t="str">
        <f t="shared" si="202"/>
        <v/>
      </c>
      <c r="HO778" s="2579" t="str">
        <f t="shared" si="203"/>
        <v/>
      </c>
      <c r="HP778" s="2579" t="str">
        <f t="shared" si="204"/>
        <v/>
      </c>
      <c r="HQ778" s="2579" t="str">
        <f t="shared" si="205"/>
        <v/>
      </c>
      <c r="HR778" s="2579" t="str">
        <f t="shared" si="206"/>
        <v/>
      </c>
      <c r="HS778" s="2579" t="str">
        <f t="shared" si="207"/>
        <v/>
      </c>
      <c r="HT778" s="2579" t="str">
        <f t="shared" si="208"/>
        <v/>
      </c>
      <c r="HU778" s="2579" t="str">
        <f t="shared" si="209"/>
        <v/>
      </c>
      <c r="HV778" s="2579" t="str">
        <f t="shared" si="210"/>
        <v/>
      </c>
      <c r="HW778" s="2579" t="str">
        <f t="shared" si="211"/>
        <v/>
      </c>
      <c r="HX778" s="2579" t="str">
        <f t="shared" si="212"/>
        <v/>
      </c>
      <c r="HY778" s="2579" t="str">
        <f t="shared" si="213"/>
        <v/>
      </c>
      <c r="HZ778" s="2579" t="str">
        <f t="shared" si="214"/>
        <v/>
      </c>
      <c r="IA778" s="2579" t="str">
        <f t="shared" si="215"/>
        <v/>
      </c>
      <c r="IB778" s="2579" t="str">
        <f t="shared" si="216"/>
        <v/>
      </c>
      <c r="IC778" s="2579" t="str">
        <f t="shared" si="217"/>
        <v/>
      </c>
      <c r="ID778" s="2551" t="str">
        <f t="shared" si="218"/>
        <v/>
      </c>
      <c r="IE778" s="2551" t="str">
        <f t="shared" si="219"/>
        <v/>
      </c>
      <c r="IF778" s="2551" t="str">
        <f t="shared" si="220"/>
        <v/>
      </c>
      <c r="IG778" s="2551" t="str">
        <f t="shared" si="221"/>
        <v/>
      </c>
      <c r="IH778" s="2551"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2549">
        <f t="shared" si="243"/>
        <v>0</v>
      </c>
      <c r="JD778" s="2549">
        <f t="shared" si="244"/>
        <v>0</v>
      </c>
      <c r="JE778" s="2549">
        <f t="shared" si="245"/>
        <v>0</v>
      </c>
      <c r="JF778" s="2549">
        <f t="shared" si="246"/>
        <v>0</v>
      </c>
      <c r="JG778" s="2549">
        <f t="shared" si="247"/>
        <v>0</v>
      </c>
      <c r="JH778" s="2549">
        <f t="shared" si="248"/>
        <v>0</v>
      </c>
      <c r="JI778" s="2549">
        <f t="shared" si="249"/>
        <v>0</v>
      </c>
      <c r="JJ778" s="2549">
        <f t="shared" si="250"/>
        <v>0</v>
      </c>
      <c r="JK778" s="2549">
        <f t="shared" si="251"/>
        <v>0</v>
      </c>
      <c r="JL778" s="2549">
        <f t="shared" si="252"/>
        <v>0</v>
      </c>
      <c r="JM778" s="2549">
        <f t="shared" si="253"/>
        <v>0</v>
      </c>
      <c r="JN778" s="2549">
        <f t="shared" si="254"/>
        <v>0</v>
      </c>
      <c r="JO778" s="2549">
        <f t="shared" si="255"/>
        <v>0</v>
      </c>
      <c r="JP778" s="2549">
        <f t="shared" si="256"/>
        <v>0</v>
      </c>
      <c r="JQ778" s="2549">
        <f t="shared" si="257"/>
        <v>0</v>
      </c>
    </row>
    <row r="779" spans="1:277" ht="12" customHeight="1">
      <c r="A779" s="2562" t="str">
        <f t="shared" si="0"/>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1"/>
        <v>0</v>
      </c>
      <c r="L779" s="2576">
        <f t="shared" si="2"/>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2579" t="str">
        <f t="shared" si="133"/>
        <v/>
      </c>
      <c r="EX779" s="2579" t="str">
        <f t="shared" si="134"/>
        <v/>
      </c>
      <c r="EY779" s="2579" t="str">
        <f t="shared" si="135"/>
        <v/>
      </c>
      <c r="EZ779" s="2579" t="str">
        <f t="shared" si="136"/>
        <v/>
      </c>
      <c r="FA779" s="2579" t="str">
        <f t="shared" si="137"/>
        <v/>
      </c>
      <c r="FB779" s="2579" t="str">
        <f t="shared" si="138"/>
        <v/>
      </c>
      <c r="FC779" s="2579" t="str">
        <f t="shared" si="139"/>
        <v/>
      </c>
      <c r="FD779" s="2579" t="str">
        <f t="shared" si="140"/>
        <v/>
      </c>
      <c r="FE779" s="2579" t="str">
        <f t="shared" si="141"/>
        <v/>
      </c>
      <c r="FF779" s="2579" t="str">
        <f t="shared" si="142"/>
        <v/>
      </c>
      <c r="FG779" s="2579" t="str">
        <f t="shared" si="143"/>
        <v/>
      </c>
      <c r="FH779" s="2579" t="str">
        <f t="shared" si="144"/>
        <v/>
      </c>
      <c r="FI779" s="2579" t="str">
        <f t="shared" si="145"/>
        <v/>
      </c>
      <c r="FJ779" s="2579" t="str">
        <f t="shared" si="146"/>
        <v/>
      </c>
      <c r="FK779" s="2579" t="str">
        <f t="shared" si="147"/>
        <v/>
      </c>
      <c r="FL779" s="2579" t="str">
        <f t="shared" si="148"/>
        <v/>
      </c>
      <c r="FM779" s="2579" t="str">
        <f t="shared" si="149"/>
        <v/>
      </c>
      <c r="FN779" s="2579" t="str">
        <f t="shared" si="150"/>
        <v/>
      </c>
      <c r="FO779" s="2579" t="str">
        <f t="shared" si="151"/>
        <v/>
      </c>
      <c r="FP779" s="2579" t="str">
        <f t="shared" si="152"/>
        <v/>
      </c>
      <c r="FQ779" s="2579" t="str">
        <f t="shared" si="153"/>
        <v/>
      </c>
      <c r="FR779" s="2579" t="str">
        <f t="shared" si="154"/>
        <v/>
      </c>
      <c r="FS779" s="2579" t="str">
        <f t="shared" si="155"/>
        <v/>
      </c>
      <c r="FT779" s="2579" t="str">
        <f t="shared" si="156"/>
        <v/>
      </c>
      <c r="FU779" s="2579" t="str">
        <f t="shared" si="157"/>
        <v/>
      </c>
      <c r="FV779" s="2579" t="str">
        <f t="shared" si="158"/>
        <v/>
      </c>
      <c r="FW779" s="2579" t="str">
        <f t="shared" si="159"/>
        <v/>
      </c>
      <c r="FX779" s="2579" t="str">
        <f t="shared" si="160"/>
        <v/>
      </c>
      <c r="FY779" s="2579" t="str">
        <f t="shared" si="161"/>
        <v/>
      </c>
      <c r="FZ779" s="2579" t="str">
        <f t="shared" si="162"/>
        <v/>
      </c>
      <c r="GA779" s="2579" t="str">
        <f t="shared" si="163"/>
        <v/>
      </c>
      <c r="GB779" s="2579" t="str">
        <f t="shared" si="164"/>
        <v/>
      </c>
      <c r="GC779" s="2579" t="str">
        <f t="shared" si="165"/>
        <v/>
      </c>
      <c r="GD779" s="2579" t="str">
        <f t="shared" si="166"/>
        <v/>
      </c>
      <c r="GE779" s="2579" t="str">
        <f t="shared" si="167"/>
        <v/>
      </c>
      <c r="GF779" s="2579" t="str">
        <f t="shared" si="168"/>
        <v/>
      </c>
      <c r="GG779" s="2579" t="str">
        <f t="shared" si="169"/>
        <v/>
      </c>
      <c r="GH779" s="2579" t="str">
        <f t="shared" si="170"/>
        <v/>
      </c>
      <c r="GI779" s="2579" t="str">
        <f t="shared" si="171"/>
        <v/>
      </c>
      <c r="GJ779" s="2579" t="str">
        <f t="shared" si="172"/>
        <v/>
      </c>
      <c r="GK779" s="2579" t="str">
        <f t="shared" si="173"/>
        <v/>
      </c>
      <c r="GL779" s="2579" t="str">
        <f t="shared" si="174"/>
        <v/>
      </c>
      <c r="GM779" s="2579" t="str">
        <f t="shared" si="175"/>
        <v/>
      </c>
      <c r="GN779" s="2579" t="str">
        <f t="shared" si="176"/>
        <v/>
      </c>
      <c r="GO779" s="2579" t="str">
        <f t="shared" si="177"/>
        <v/>
      </c>
      <c r="GP779" s="2579" t="str">
        <f t="shared" si="178"/>
        <v/>
      </c>
      <c r="GQ779" s="2579" t="str">
        <f t="shared" si="179"/>
        <v/>
      </c>
      <c r="GR779" s="2579" t="str">
        <f t="shared" si="180"/>
        <v/>
      </c>
      <c r="GS779" s="2579" t="str">
        <f t="shared" si="181"/>
        <v/>
      </c>
      <c r="GT779" s="2579" t="str">
        <f t="shared" si="182"/>
        <v/>
      </c>
      <c r="GU779" s="2579" t="str">
        <f t="shared" si="183"/>
        <v/>
      </c>
      <c r="GV779" s="2579" t="str">
        <f t="shared" si="184"/>
        <v/>
      </c>
      <c r="GW779" s="2579" t="str">
        <f t="shared" si="185"/>
        <v/>
      </c>
      <c r="GX779" s="2579" t="str">
        <f t="shared" si="186"/>
        <v/>
      </c>
      <c r="GY779" s="2579" t="str">
        <f t="shared" si="187"/>
        <v/>
      </c>
      <c r="GZ779" s="2579" t="str">
        <f t="shared" si="188"/>
        <v/>
      </c>
      <c r="HA779" s="2579" t="str">
        <f t="shared" si="189"/>
        <v/>
      </c>
      <c r="HB779" s="2579" t="str">
        <f t="shared" si="190"/>
        <v/>
      </c>
      <c r="HC779" s="2579" t="str">
        <f t="shared" si="191"/>
        <v/>
      </c>
      <c r="HD779" s="2579" t="str">
        <f t="shared" si="192"/>
        <v/>
      </c>
      <c r="HE779" s="2579" t="str">
        <f t="shared" si="193"/>
        <v/>
      </c>
      <c r="HF779" s="2579" t="str">
        <f t="shared" si="194"/>
        <v/>
      </c>
      <c r="HG779" s="2579" t="str">
        <f t="shared" si="195"/>
        <v/>
      </c>
      <c r="HH779" s="2579" t="str">
        <f t="shared" si="196"/>
        <v/>
      </c>
      <c r="HI779" s="2579" t="str">
        <f t="shared" si="197"/>
        <v/>
      </c>
      <c r="HJ779" s="2579" t="str">
        <f t="shared" si="198"/>
        <v/>
      </c>
      <c r="HK779" s="2579" t="str">
        <f t="shared" si="199"/>
        <v/>
      </c>
      <c r="HL779" s="2579" t="str">
        <f t="shared" si="200"/>
        <v/>
      </c>
      <c r="HM779" s="2579" t="str">
        <f t="shared" si="201"/>
        <v/>
      </c>
      <c r="HN779" s="2579" t="str">
        <f t="shared" si="202"/>
        <v/>
      </c>
      <c r="HO779" s="2579" t="str">
        <f t="shared" si="203"/>
        <v/>
      </c>
      <c r="HP779" s="2579" t="str">
        <f t="shared" si="204"/>
        <v/>
      </c>
      <c r="HQ779" s="2579" t="str">
        <f t="shared" si="205"/>
        <v/>
      </c>
      <c r="HR779" s="2579" t="str">
        <f t="shared" si="206"/>
        <v/>
      </c>
      <c r="HS779" s="2579" t="str">
        <f t="shared" si="207"/>
        <v/>
      </c>
      <c r="HT779" s="2579" t="str">
        <f t="shared" si="208"/>
        <v/>
      </c>
      <c r="HU779" s="2579" t="str">
        <f t="shared" si="209"/>
        <v/>
      </c>
      <c r="HV779" s="2579" t="str">
        <f t="shared" si="210"/>
        <v/>
      </c>
      <c r="HW779" s="2579" t="str">
        <f t="shared" si="211"/>
        <v/>
      </c>
      <c r="HX779" s="2579" t="str">
        <f t="shared" si="212"/>
        <v/>
      </c>
      <c r="HY779" s="2579" t="str">
        <f t="shared" si="213"/>
        <v/>
      </c>
      <c r="HZ779" s="2579" t="str">
        <f t="shared" si="214"/>
        <v/>
      </c>
      <c r="IA779" s="2579" t="str">
        <f t="shared" si="215"/>
        <v/>
      </c>
      <c r="IB779" s="2579" t="str">
        <f t="shared" si="216"/>
        <v/>
      </c>
      <c r="IC779" s="2579" t="str">
        <f t="shared" si="217"/>
        <v/>
      </c>
      <c r="ID779" s="2551" t="str">
        <f t="shared" si="218"/>
        <v/>
      </c>
      <c r="IE779" s="2551" t="str">
        <f t="shared" si="219"/>
        <v/>
      </c>
      <c r="IF779" s="2551" t="str">
        <f t="shared" si="220"/>
        <v/>
      </c>
      <c r="IG779" s="2551" t="str">
        <f t="shared" si="221"/>
        <v/>
      </c>
      <c r="IH779" s="2551"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2549">
        <f t="shared" si="243"/>
        <v>0</v>
      </c>
      <c r="JD779" s="2549">
        <f t="shared" si="244"/>
        <v>0</v>
      </c>
      <c r="JE779" s="2549">
        <f t="shared" si="245"/>
        <v>0</v>
      </c>
      <c r="JF779" s="2549">
        <f t="shared" si="246"/>
        <v>0</v>
      </c>
      <c r="JG779" s="2549">
        <f t="shared" si="247"/>
        <v>0</v>
      </c>
      <c r="JH779" s="2549">
        <f t="shared" si="248"/>
        <v>0</v>
      </c>
      <c r="JI779" s="2549">
        <f t="shared" si="249"/>
        <v>0</v>
      </c>
      <c r="JJ779" s="2549">
        <f t="shared" si="250"/>
        <v>0</v>
      </c>
      <c r="JK779" s="2549">
        <f t="shared" si="251"/>
        <v>0</v>
      </c>
      <c r="JL779" s="2549">
        <f t="shared" si="252"/>
        <v>0</v>
      </c>
      <c r="JM779" s="2549">
        <f t="shared" si="253"/>
        <v>0</v>
      </c>
      <c r="JN779" s="2549">
        <f t="shared" si="254"/>
        <v>0</v>
      </c>
      <c r="JO779" s="2549">
        <f t="shared" si="255"/>
        <v>0</v>
      </c>
      <c r="JP779" s="2549">
        <f t="shared" si="256"/>
        <v>0</v>
      </c>
      <c r="JQ779" s="2549">
        <f t="shared" si="257"/>
        <v>0</v>
      </c>
    </row>
    <row r="780" spans="1:277" ht="12" customHeight="1">
      <c r="A780" s="2562" t="str">
        <f t="shared" si="0"/>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1"/>
        <v>0</v>
      </c>
      <c r="L780" s="2576">
        <f t="shared" si="2"/>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2579" t="str">
        <f t="shared" si="133"/>
        <v/>
      </c>
      <c r="EX780" s="2579" t="str">
        <f t="shared" si="134"/>
        <v/>
      </c>
      <c r="EY780" s="2579" t="str">
        <f t="shared" si="135"/>
        <v/>
      </c>
      <c r="EZ780" s="2579" t="str">
        <f t="shared" si="136"/>
        <v/>
      </c>
      <c r="FA780" s="2579" t="str">
        <f t="shared" si="137"/>
        <v/>
      </c>
      <c r="FB780" s="2579" t="str">
        <f t="shared" si="138"/>
        <v/>
      </c>
      <c r="FC780" s="2579" t="str">
        <f t="shared" si="139"/>
        <v/>
      </c>
      <c r="FD780" s="2579" t="str">
        <f t="shared" si="140"/>
        <v/>
      </c>
      <c r="FE780" s="2579" t="str">
        <f t="shared" si="141"/>
        <v/>
      </c>
      <c r="FF780" s="2579" t="str">
        <f t="shared" si="142"/>
        <v/>
      </c>
      <c r="FG780" s="2579" t="str">
        <f t="shared" si="143"/>
        <v/>
      </c>
      <c r="FH780" s="2579" t="str">
        <f t="shared" si="144"/>
        <v/>
      </c>
      <c r="FI780" s="2579" t="str">
        <f t="shared" si="145"/>
        <v/>
      </c>
      <c r="FJ780" s="2579" t="str">
        <f t="shared" si="146"/>
        <v/>
      </c>
      <c r="FK780" s="2579" t="str">
        <f t="shared" si="147"/>
        <v/>
      </c>
      <c r="FL780" s="2579" t="str">
        <f t="shared" si="148"/>
        <v/>
      </c>
      <c r="FM780" s="2579" t="str">
        <f t="shared" si="149"/>
        <v/>
      </c>
      <c r="FN780" s="2579" t="str">
        <f t="shared" si="150"/>
        <v/>
      </c>
      <c r="FO780" s="2579" t="str">
        <f t="shared" si="151"/>
        <v/>
      </c>
      <c r="FP780" s="2579" t="str">
        <f t="shared" si="152"/>
        <v/>
      </c>
      <c r="FQ780" s="2579" t="str">
        <f t="shared" si="153"/>
        <v/>
      </c>
      <c r="FR780" s="2579" t="str">
        <f t="shared" si="154"/>
        <v/>
      </c>
      <c r="FS780" s="2579" t="str">
        <f t="shared" si="155"/>
        <v/>
      </c>
      <c r="FT780" s="2579" t="str">
        <f t="shared" si="156"/>
        <v/>
      </c>
      <c r="FU780" s="2579" t="str">
        <f t="shared" si="157"/>
        <v/>
      </c>
      <c r="FV780" s="2579" t="str">
        <f t="shared" si="158"/>
        <v/>
      </c>
      <c r="FW780" s="2579" t="str">
        <f t="shared" si="159"/>
        <v/>
      </c>
      <c r="FX780" s="2579" t="str">
        <f t="shared" si="160"/>
        <v/>
      </c>
      <c r="FY780" s="2579" t="str">
        <f t="shared" si="161"/>
        <v/>
      </c>
      <c r="FZ780" s="2579" t="str">
        <f t="shared" si="162"/>
        <v/>
      </c>
      <c r="GA780" s="2579" t="str">
        <f t="shared" si="163"/>
        <v/>
      </c>
      <c r="GB780" s="2579" t="str">
        <f t="shared" si="164"/>
        <v/>
      </c>
      <c r="GC780" s="2579" t="str">
        <f t="shared" si="165"/>
        <v/>
      </c>
      <c r="GD780" s="2579" t="str">
        <f t="shared" si="166"/>
        <v/>
      </c>
      <c r="GE780" s="2579" t="str">
        <f t="shared" si="167"/>
        <v/>
      </c>
      <c r="GF780" s="2579" t="str">
        <f t="shared" si="168"/>
        <v/>
      </c>
      <c r="GG780" s="2579" t="str">
        <f t="shared" si="169"/>
        <v/>
      </c>
      <c r="GH780" s="2579" t="str">
        <f t="shared" si="170"/>
        <v/>
      </c>
      <c r="GI780" s="2579" t="str">
        <f t="shared" si="171"/>
        <v/>
      </c>
      <c r="GJ780" s="2579" t="str">
        <f t="shared" si="172"/>
        <v/>
      </c>
      <c r="GK780" s="2579" t="str">
        <f t="shared" si="173"/>
        <v/>
      </c>
      <c r="GL780" s="2579" t="str">
        <f t="shared" si="174"/>
        <v/>
      </c>
      <c r="GM780" s="2579" t="str">
        <f t="shared" si="175"/>
        <v/>
      </c>
      <c r="GN780" s="2579" t="str">
        <f t="shared" si="176"/>
        <v/>
      </c>
      <c r="GO780" s="2579" t="str">
        <f t="shared" si="177"/>
        <v/>
      </c>
      <c r="GP780" s="2579" t="str">
        <f t="shared" si="178"/>
        <v/>
      </c>
      <c r="GQ780" s="2579" t="str">
        <f t="shared" si="179"/>
        <v/>
      </c>
      <c r="GR780" s="2579" t="str">
        <f t="shared" si="180"/>
        <v/>
      </c>
      <c r="GS780" s="2579" t="str">
        <f t="shared" si="181"/>
        <v/>
      </c>
      <c r="GT780" s="2579" t="str">
        <f t="shared" si="182"/>
        <v/>
      </c>
      <c r="GU780" s="2579" t="str">
        <f t="shared" si="183"/>
        <v/>
      </c>
      <c r="GV780" s="2579" t="str">
        <f t="shared" si="184"/>
        <v/>
      </c>
      <c r="GW780" s="2579" t="str">
        <f t="shared" si="185"/>
        <v/>
      </c>
      <c r="GX780" s="2579" t="str">
        <f t="shared" si="186"/>
        <v/>
      </c>
      <c r="GY780" s="2579" t="str">
        <f t="shared" si="187"/>
        <v/>
      </c>
      <c r="GZ780" s="2579" t="str">
        <f t="shared" si="188"/>
        <v/>
      </c>
      <c r="HA780" s="2579" t="str">
        <f t="shared" si="189"/>
        <v/>
      </c>
      <c r="HB780" s="2579" t="str">
        <f t="shared" si="190"/>
        <v/>
      </c>
      <c r="HC780" s="2579" t="str">
        <f t="shared" si="191"/>
        <v/>
      </c>
      <c r="HD780" s="2579" t="str">
        <f t="shared" si="192"/>
        <v/>
      </c>
      <c r="HE780" s="2579" t="str">
        <f t="shared" si="193"/>
        <v/>
      </c>
      <c r="HF780" s="2579" t="str">
        <f t="shared" si="194"/>
        <v/>
      </c>
      <c r="HG780" s="2579" t="str">
        <f t="shared" si="195"/>
        <v/>
      </c>
      <c r="HH780" s="2579" t="str">
        <f t="shared" si="196"/>
        <v/>
      </c>
      <c r="HI780" s="2579" t="str">
        <f t="shared" si="197"/>
        <v/>
      </c>
      <c r="HJ780" s="2579" t="str">
        <f t="shared" si="198"/>
        <v/>
      </c>
      <c r="HK780" s="2579" t="str">
        <f t="shared" si="199"/>
        <v/>
      </c>
      <c r="HL780" s="2579" t="str">
        <f t="shared" si="200"/>
        <v/>
      </c>
      <c r="HM780" s="2579" t="str">
        <f t="shared" si="201"/>
        <v/>
      </c>
      <c r="HN780" s="2579" t="str">
        <f t="shared" si="202"/>
        <v/>
      </c>
      <c r="HO780" s="2579" t="str">
        <f t="shared" si="203"/>
        <v/>
      </c>
      <c r="HP780" s="2579" t="str">
        <f t="shared" si="204"/>
        <v/>
      </c>
      <c r="HQ780" s="2579" t="str">
        <f t="shared" si="205"/>
        <v/>
      </c>
      <c r="HR780" s="2579" t="str">
        <f t="shared" si="206"/>
        <v/>
      </c>
      <c r="HS780" s="2579" t="str">
        <f t="shared" si="207"/>
        <v/>
      </c>
      <c r="HT780" s="2579" t="str">
        <f t="shared" si="208"/>
        <v/>
      </c>
      <c r="HU780" s="2579" t="str">
        <f t="shared" si="209"/>
        <v/>
      </c>
      <c r="HV780" s="2579" t="str">
        <f t="shared" si="210"/>
        <v/>
      </c>
      <c r="HW780" s="2579" t="str">
        <f t="shared" si="211"/>
        <v/>
      </c>
      <c r="HX780" s="2579" t="str">
        <f t="shared" si="212"/>
        <v/>
      </c>
      <c r="HY780" s="2579" t="str">
        <f t="shared" si="213"/>
        <v/>
      </c>
      <c r="HZ780" s="2579" t="str">
        <f t="shared" si="214"/>
        <v/>
      </c>
      <c r="IA780" s="2579" t="str">
        <f t="shared" si="215"/>
        <v/>
      </c>
      <c r="IB780" s="2579" t="str">
        <f t="shared" si="216"/>
        <v/>
      </c>
      <c r="IC780" s="2579" t="str">
        <f t="shared" si="217"/>
        <v/>
      </c>
      <c r="ID780" s="2551" t="str">
        <f t="shared" si="218"/>
        <v/>
      </c>
      <c r="IE780" s="2551" t="str">
        <f t="shared" si="219"/>
        <v/>
      </c>
      <c r="IF780" s="2551" t="str">
        <f t="shared" si="220"/>
        <v/>
      </c>
      <c r="IG780" s="2551" t="str">
        <f t="shared" si="221"/>
        <v/>
      </c>
      <c r="IH780" s="2551"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2549">
        <f t="shared" si="243"/>
        <v>0</v>
      </c>
      <c r="JD780" s="2549">
        <f t="shared" si="244"/>
        <v>0</v>
      </c>
      <c r="JE780" s="2549">
        <f t="shared" si="245"/>
        <v>0</v>
      </c>
      <c r="JF780" s="2549">
        <f t="shared" si="246"/>
        <v>0</v>
      </c>
      <c r="JG780" s="2549">
        <f t="shared" si="247"/>
        <v>0</v>
      </c>
      <c r="JH780" s="2549">
        <f t="shared" si="248"/>
        <v>0</v>
      </c>
      <c r="JI780" s="2549">
        <f t="shared" si="249"/>
        <v>0</v>
      </c>
      <c r="JJ780" s="2549">
        <f t="shared" si="250"/>
        <v>0</v>
      </c>
      <c r="JK780" s="2549">
        <f t="shared" si="251"/>
        <v>0</v>
      </c>
      <c r="JL780" s="2549">
        <f t="shared" si="252"/>
        <v>0</v>
      </c>
      <c r="JM780" s="2549">
        <f t="shared" si="253"/>
        <v>0</v>
      </c>
      <c r="JN780" s="2549">
        <f t="shared" si="254"/>
        <v>0</v>
      </c>
      <c r="JO780" s="2549">
        <f t="shared" si="255"/>
        <v>0</v>
      </c>
      <c r="JP780" s="2549">
        <f t="shared" si="256"/>
        <v>0</v>
      </c>
      <c r="JQ780" s="2549">
        <f t="shared" si="257"/>
        <v>0</v>
      </c>
    </row>
    <row r="781" spans="1:277" ht="12" customHeight="1">
      <c r="A781" s="2562" t="str">
        <f t="shared" si="0"/>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1"/>
        <v>0</v>
      </c>
      <c r="L781" s="2576">
        <f t="shared" si="2"/>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2579" t="str">
        <f t="shared" si="133"/>
        <v/>
      </c>
      <c r="EX781" s="2579" t="str">
        <f t="shared" si="134"/>
        <v/>
      </c>
      <c r="EY781" s="2579" t="str">
        <f t="shared" si="135"/>
        <v/>
      </c>
      <c r="EZ781" s="2579" t="str">
        <f t="shared" si="136"/>
        <v/>
      </c>
      <c r="FA781" s="2579" t="str">
        <f t="shared" si="137"/>
        <v/>
      </c>
      <c r="FB781" s="2579" t="str">
        <f t="shared" si="138"/>
        <v/>
      </c>
      <c r="FC781" s="2579" t="str">
        <f t="shared" si="139"/>
        <v/>
      </c>
      <c r="FD781" s="2579" t="str">
        <f t="shared" si="140"/>
        <v/>
      </c>
      <c r="FE781" s="2579" t="str">
        <f t="shared" si="141"/>
        <v/>
      </c>
      <c r="FF781" s="2579" t="str">
        <f t="shared" si="142"/>
        <v/>
      </c>
      <c r="FG781" s="2579" t="str">
        <f t="shared" si="143"/>
        <v/>
      </c>
      <c r="FH781" s="2579" t="str">
        <f t="shared" si="144"/>
        <v/>
      </c>
      <c r="FI781" s="2579" t="str">
        <f t="shared" si="145"/>
        <v/>
      </c>
      <c r="FJ781" s="2579" t="str">
        <f t="shared" si="146"/>
        <v/>
      </c>
      <c r="FK781" s="2579" t="str">
        <f t="shared" si="147"/>
        <v/>
      </c>
      <c r="FL781" s="2579" t="str">
        <f t="shared" si="148"/>
        <v/>
      </c>
      <c r="FM781" s="2579" t="str">
        <f t="shared" si="149"/>
        <v/>
      </c>
      <c r="FN781" s="2579" t="str">
        <f t="shared" si="150"/>
        <v/>
      </c>
      <c r="FO781" s="2579" t="str">
        <f t="shared" si="151"/>
        <v/>
      </c>
      <c r="FP781" s="2579" t="str">
        <f t="shared" si="152"/>
        <v/>
      </c>
      <c r="FQ781" s="2579" t="str">
        <f t="shared" si="153"/>
        <v/>
      </c>
      <c r="FR781" s="2579" t="str">
        <f t="shared" si="154"/>
        <v/>
      </c>
      <c r="FS781" s="2579" t="str">
        <f t="shared" si="155"/>
        <v/>
      </c>
      <c r="FT781" s="2579" t="str">
        <f t="shared" si="156"/>
        <v/>
      </c>
      <c r="FU781" s="2579" t="str">
        <f t="shared" si="157"/>
        <v/>
      </c>
      <c r="FV781" s="2579" t="str">
        <f t="shared" si="158"/>
        <v/>
      </c>
      <c r="FW781" s="2579" t="str">
        <f t="shared" si="159"/>
        <v/>
      </c>
      <c r="FX781" s="2579" t="str">
        <f t="shared" si="160"/>
        <v/>
      </c>
      <c r="FY781" s="2579" t="str">
        <f t="shared" si="161"/>
        <v/>
      </c>
      <c r="FZ781" s="2579" t="str">
        <f t="shared" si="162"/>
        <v/>
      </c>
      <c r="GA781" s="2579" t="str">
        <f t="shared" si="163"/>
        <v/>
      </c>
      <c r="GB781" s="2579" t="str">
        <f t="shared" si="164"/>
        <v/>
      </c>
      <c r="GC781" s="2579" t="str">
        <f t="shared" si="165"/>
        <v/>
      </c>
      <c r="GD781" s="2579" t="str">
        <f t="shared" si="166"/>
        <v/>
      </c>
      <c r="GE781" s="2579" t="str">
        <f t="shared" si="167"/>
        <v/>
      </c>
      <c r="GF781" s="2579" t="str">
        <f t="shared" si="168"/>
        <v/>
      </c>
      <c r="GG781" s="2579" t="str">
        <f t="shared" si="169"/>
        <v/>
      </c>
      <c r="GH781" s="2579" t="str">
        <f t="shared" si="170"/>
        <v/>
      </c>
      <c r="GI781" s="2579" t="str">
        <f t="shared" si="171"/>
        <v/>
      </c>
      <c r="GJ781" s="2579" t="str">
        <f t="shared" si="172"/>
        <v/>
      </c>
      <c r="GK781" s="2579" t="str">
        <f t="shared" si="173"/>
        <v/>
      </c>
      <c r="GL781" s="2579" t="str">
        <f t="shared" si="174"/>
        <v/>
      </c>
      <c r="GM781" s="2579" t="str">
        <f t="shared" si="175"/>
        <v/>
      </c>
      <c r="GN781" s="2579" t="str">
        <f t="shared" si="176"/>
        <v/>
      </c>
      <c r="GO781" s="2579" t="str">
        <f t="shared" si="177"/>
        <v/>
      </c>
      <c r="GP781" s="2579" t="str">
        <f t="shared" si="178"/>
        <v/>
      </c>
      <c r="GQ781" s="2579" t="str">
        <f t="shared" si="179"/>
        <v/>
      </c>
      <c r="GR781" s="2579" t="str">
        <f t="shared" si="180"/>
        <v/>
      </c>
      <c r="GS781" s="2579" t="str">
        <f t="shared" si="181"/>
        <v/>
      </c>
      <c r="GT781" s="2579" t="str">
        <f t="shared" si="182"/>
        <v/>
      </c>
      <c r="GU781" s="2579" t="str">
        <f t="shared" si="183"/>
        <v/>
      </c>
      <c r="GV781" s="2579" t="str">
        <f t="shared" si="184"/>
        <v/>
      </c>
      <c r="GW781" s="2579" t="str">
        <f t="shared" si="185"/>
        <v/>
      </c>
      <c r="GX781" s="2579" t="str">
        <f t="shared" si="186"/>
        <v/>
      </c>
      <c r="GY781" s="2579" t="str">
        <f t="shared" si="187"/>
        <v/>
      </c>
      <c r="GZ781" s="2579" t="str">
        <f t="shared" si="188"/>
        <v/>
      </c>
      <c r="HA781" s="2579" t="str">
        <f t="shared" si="189"/>
        <v/>
      </c>
      <c r="HB781" s="2579" t="str">
        <f t="shared" si="190"/>
        <v/>
      </c>
      <c r="HC781" s="2579" t="str">
        <f t="shared" si="191"/>
        <v/>
      </c>
      <c r="HD781" s="2579" t="str">
        <f t="shared" si="192"/>
        <v/>
      </c>
      <c r="HE781" s="2579" t="str">
        <f t="shared" si="193"/>
        <v/>
      </c>
      <c r="HF781" s="2579" t="str">
        <f t="shared" si="194"/>
        <v/>
      </c>
      <c r="HG781" s="2579" t="str">
        <f t="shared" si="195"/>
        <v/>
      </c>
      <c r="HH781" s="2579" t="str">
        <f t="shared" si="196"/>
        <v/>
      </c>
      <c r="HI781" s="2579" t="str">
        <f t="shared" si="197"/>
        <v/>
      </c>
      <c r="HJ781" s="2579" t="str">
        <f t="shared" si="198"/>
        <v/>
      </c>
      <c r="HK781" s="2579" t="str">
        <f t="shared" si="199"/>
        <v/>
      </c>
      <c r="HL781" s="2579" t="str">
        <f t="shared" si="200"/>
        <v/>
      </c>
      <c r="HM781" s="2579" t="str">
        <f t="shared" si="201"/>
        <v/>
      </c>
      <c r="HN781" s="2579" t="str">
        <f t="shared" si="202"/>
        <v/>
      </c>
      <c r="HO781" s="2579" t="str">
        <f t="shared" si="203"/>
        <v/>
      </c>
      <c r="HP781" s="2579" t="str">
        <f t="shared" si="204"/>
        <v/>
      </c>
      <c r="HQ781" s="2579" t="str">
        <f t="shared" si="205"/>
        <v/>
      </c>
      <c r="HR781" s="2579" t="str">
        <f t="shared" si="206"/>
        <v/>
      </c>
      <c r="HS781" s="2579" t="str">
        <f t="shared" si="207"/>
        <v/>
      </c>
      <c r="HT781" s="2579" t="str">
        <f t="shared" si="208"/>
        <v/>
      </c>
      <c r="HU781" s="2579" t="str">
        <f t="shared" si="209"/>
        <v/>
      </c>
      <c r="HV781" s="2579" t="str">
        <f t="shared" si="210"/>
        <v/>
      </c>
      <c r="HW781" s="2579" t="str">
        <f t="shared" si="211"/>
        <v/>
      </c>
      <c r="HX781" s="2579" t="str">
        <f t="shared" si="212"/>
        <v/>
      </c>
      <c r="HY781" s="2579" t="str">
        <f t="shared" si="213"/>
        <v/>
      </c>
      <c r="HZ781" s="2579" t="str">
        <f t="shared" si="214"/>
        <v/>
      </c>
      <c r="IA781" s="2579" t="str">
        <f t="shared" si="215"/>
        <v/>
      </c>
      <c r="IB781" s="2579" t="str">
        <f t="shared" si="216"/>
        <v/>
      </c>
      <c r="IC781" s="2579" t="str">
        <f t="shared" si="217"/>
        <v/>
      </c>
      <c r="ID781" s="2551" t="str">
        <f t="shared" si="218"/>
        <v/>
      </c>
      <c r="IE781" s="2551" t="str">
        <f t="shared" si="219"/>
        <v/>
      </c>
      <c r="IF781" s="2551" t="str">
        <f t="shared" si="220"/>
        <v/>
      </c>
      <c r="IG781" s="2551" t="str">
        <f t="shared" si="221"/>
        <v/>
      </c>
      <c r="IH781" s="2551"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2549">
        <f t="shared" si="243"/>
        <v>0</v>
      </c>
      <c r="JD781" s="2549">
        <f t="shared" si="244"/>
        <v>0</v>
      </c>
      <c r="JE781" s="2549">
        <f t="shared" si="245"/>
        <v>0</v>
      </c>
      <c r="JF781" s="2549">
        <f t="shared" si="246"/>
        <v>0</v>
      </c>
      <c r="JG781" s="2549">
        <f t="shared" si="247"/>
        <v>0</v>
      </c>
      <c r="JH781" s="2549">
        <f t="shared" si="248"/>
        <v>0</v>
      </c>
      <c r="JI781" s="2549">
        <f t="shared" si="249"/>
        <v>0</v>
      </c>
      <c r="JJ781" s="2549">
        <f t="shared" si="250"/>
        <v>0</v>
      </c>
      <c r="JK781" s="2549">
        <f t="shared" si="251"/>
        <v>0</v>
      </c>
      <c r="JL781" s="2549">
        <f t="shared" si="252"/>
        <v>0</v>
      </c>
      <c r="JM781" s="2549">
        <f t="shared" si="253"/>
        <v>0</v>
      </c>
      <c r="JN781" s="2549">
        <f t="shared" si="254"/>
        <v>0</v>
      </c>
      <c r="JO781" s="2549">
        <f t="shared" si="255"/>
        <v>0</v>
      </c>
      <c r="JP781" s="2549">
        <f t="shared" si="256"/>
        <v>0</v>
      </c>
      <c r="JQ781" s="2549">
        <f t="shared" si="257"/>
        <v>0</v>
      </c>
    </row>
    <row r="782" spans="1:277" ht="12" customHeight="1">
      <c r="A782" s="2562" t="str">
        <f t="shared" si="0"/>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1"/>
        <v>0</v>
      </c>
      <c r="L782" s="2576">
        <f t="shared" si="2"/>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2579" t="str">
        <f t="shared" si="133"/>
        <v/>
      </c>
      <c r="EX782" s="2579" t="str">
        <f t="shared" si="134"/>
        <v/>
      </c>
      <c r="EY782" s="2579" t="str">
        <f t="shared" si="135"/>
        <v/>
      </c>
      <c r="EZ782" s="2579" t="str">
        <f t="shared" si="136"/>
        <v/>
      </c>
      <c r="FA782" s="2579" t="str">
        <f t="shared" si="137"/>
        <v/>
      </c>
      <c r="FB782" s="2579" t="str">
        <f t="shared" si="138"/>
        <v/>
      </c>
      <c r="FC782" s="2579" t="str">
        <f t="shared" si="139"/>
        <v/>
      </c>
      <c r="FD782" s="2579" t="str">
        <f t="shared" si="140"/>
        <v/>
      </c>
      <c r="FE782" s="2579" t="str">
        <f t="shared" si="141"/>
        <v/>
      </c>
      <c r="FF782" s="2579" t="str">
        <f t="shared" si="142"/>
        <v/>
      </c>
      <c r="FG782" s="2579" t="str">
        <f t="shared" si="143"/>
        <v/>
      </c>
      <c r="FH782" s="2579" t="str">
        <f t="shared" si="144"/>
        <v/>
      </c>
      <c r="FI782" s="2579" t="str">
        <f t="shared" si="145"/>
        <v/>
      </c>
      <c r="FJ782" s="2579" t="str">
        <f t="shared" si="146"/>
        <v/>
      </c>
      <c r="FK782" s="2579" t="str">
        <f t="shared" si="147"/>
        <v/>
      </c>
      <c r="FL782" s="2579" t="str">
        <f t="shared" si="148"/>
        <v/>
      </c>
      <c r="FM782" s="2579" t="str">
        <f t="shared" si="149"/>
        <v/>
      </c>
      <c r="FN782" s="2579" t="str">
        <f t="shared" si="150"/>
        <v/>
      </c>
      <c r="FO782" s="2579" t="str">
        <f t="shared" si="151"/>
        <v/>
      </c>
      <c r="FP782" s="2579" t="str">
        <f t="shared" si="152"/>
        <v/>
      </c>
      <c r="FQ782" s="2579" t="str">
        <f t="shared" si="153"/>
        <v/>
      </c>
      <c r="FR782" s="2579" t="str">
        <f t="shared" si="154"/>
        <v/>
      </c>
      <c r="FS782" s="2579" t="str">
        <f t="shared" si="155"/>
        <v/>
      </c>
      <c r="FT782" s="2579" t="str">
        <f t="shared" si="156"/>
        <v/>
      </c>
      <c r="FU782" s="2579" t="str">
        <f t="shared" si="157"/>
        <v/>
      </c>
      <c r="FV782" s="2579" t="str">
        <f t="shared" si="158"/>
        <v/>
      </c>
      <c r="FW782" s="2579" t="str">
        <f t="shared" si="159"/>
        <v/>
      </c>
      <c r="FX782" s="2579" t="str">
        <f t="shared" si="160"/>
        <v/>
      </c>
      <c r="FY782" s="2579" t="str">
        <f t="shared" si="161"/>
        <v/>
      </c>
      <c r="FZ782" s="2579" t="str">
        <f t="shared" si="162"/>
        <v/>
      </c>
      <c r="GA782" s="2579" t="str">
        <f t="shared" si="163"/>
        <v/>
      </c>
      <c r="GB782" s="2579" t="str">
        <f t="shared" si="164"/>
        <v/>
      </c>
      <c r="GC782" s="2579" t="str">
        <f t="shared" si="165"/>
        <v/>
      </c>
      <c r="GD782" s="2579" t="str">
        <f t="shared" si="166"/>
        <v/>
      </c>
      <c r="GE782" s="2579" t="str">
        <f t="shared" si="167"/>
        <v/>
      </c>
      <c r="GF782" s="2579" t="str">
        <f t="shared" si="168"/>
        <v/>
      </c>
      <c r="GG782" s="2579" t="str">
        <f t="shared" si="169"/>
        <v/>
      </c>
      <c r="GH782" s="2579" t="str">
        <f t="shared" si="170"/>
        <v/>
      </c>
      <c r="GI782" s="2579" t="str">
        <f t="shared" si="171"/>
        <v/>
      </c>
      <c r="GJ782" s="2579" t="str">
        <f t="shared" si="172"/>
        <v/>
      </c>
      <c r="GK782" s="2579" t="str">
        <f t="shared" si="173"/>
        <v/>
      </c>
      <c r="GL782" s="2579" t="str">
        <f t="shared" si="174"/>
        <v/>
      </c>
      <c r="GM782" s="2579" t="str">
        <f t="shared" si="175"/>
        <v/>
      </c>
      <c r="GN782" s="2579" t="str">
        <f t="shared" si="176"/>
        <v/>
      </c>
      <c r="GO782" s="2579" t="str">
        <f t="shared" si="177"/>
        <v/>
      </c>
      <c r="GP782" s="2579" t="str">
        <f t="shared" si="178"/>
        <v/>
      </c>
      <c r="GQ782" s="2579" t="str">
        <f t="shared" si="179"/>
        <v/>
      </c>
      <c r="GR782" s="2579" t="str">
        <f t="shared" si="180"/>
        <v/>
      </c>
      <c r="GS782" s="2579" t="str">
        <f t="shared" si="181"/>
        <v/>
      </c>
      <c r="GT782" s="2579" t="str">
        <f t="shared" si="182"/>
        <v/>
      </c>
      <c r="GU782" s="2579" t="str">
        <f t="shared" si="183"/>
        <v/>
      </c>
      <c r="GV782" s="2579" t="str">
        <f t="shared" si="184"/>
        <v/>
      </c>
      <c r="GW782" s="2579" t="str">
        <f t="shared" si="185"/>
        <v/>
      </c>
      <c r="GX782" s="2579" t="str">
        <f t="shared" si="186"/>
        <v/>
      </c>
      <c r="GY782" s="2579" t="str">
        <f t="shared" si="187"/>
        <v/>
      </c>
      <c r="GZ782" s="2579" t="str">
        <f t="shared" si="188"/>
        <v/>
      </c>
      <c r="HA782" s="2579" t="str">
        <f t="shared" si="189"/>
        <v/>
      </c>
      <c r="HB782" s="2579" t="str">
        <f t="shared" si="190"/>
        <v/>
      </c>
      <c r="HC782" s="2579" t="str">
        <f t="shared" si="191"/>
        <v/>
      </c>
      <c r="HD782" s="2579" t="str">
        <f t="shared" si="192"/>
        <v/>
      </c>
      <c r="HE782" s="2579" t="str">
        <f t="shared" si="193"/>
        <v/>
      </c>
      <c r="HF782" s="2579" t="str">
        <f t="shared" si="194"/>
        <v/>
      </c>
      <c r="HG782" s="2579" t="str">
        <f t="shared" si="195"/>
        <v/>
      </c>
      <c r="HH782" s="2579" t="str">
        <f t="shared" si="196"/>
        <v/>
      </c>
      <c r="HI782" s="2579" t="str">
        <f t="shared" si="197"/>
        <v/>
      </c>
      <c r="HJ782" s="2579" t="str">
        <f t="shared" si="198"/>
        <v/>
      </c>
      <c r="HK782" s="2579" t="str">
        <f t="shared" si="199"/>
        <v/>
      </c>
      <c r="HL782" s="2579" t="str">
        <f t="shared" si="200"/>
        <v/>
      </c>
      <c r="HM782" s="2579" t="str">
        <f t="shared" si="201"/>
        <v/>
      </c>
      <c r="HN782" s="2579" t="str">
        <f t="shared" si="202"/>
        <v/>
      </c>
      <c r="HO782" s="2579" t="str">
        <f t="shared" si="203"/>
        <v/>
      </c>
      <c r="HP782" s="2579" t="str">
        <f t="shared" si="204"/>
        <v/>
      </c>
      <c r="HQ782" s="2579" t="str">
        <f t="shared" si="205"/>
        <v/>
      </c>
      <c r="HR782" s="2579" t="str">
        <f t="shared" si="206"/>
        <v/>
      </c>
      <c r="HS782" s="2579" t="str">
        <f t="shared" si="207"/>
        <v/>
      </c>
      <c r="HT782" s="2579" t="str">
        <f t="shared" si="208"/>
        <v/>
      </c>
      <c r="HU782" s="2579" t="str">
        <f t="shared" si="209"/>
        <v/>
      </c>
      <c r="HV782" s="2579" t="str">
        <f t="shared" si="210"/>
        <v/>
      </c>
      <c r="HW782" s="2579" t="str">
        <f t="shared" si="211"/>
        <v/>
      </c>
      <c r="HX782" s="2579" t="str">
        <f t="shared" si="212"/>
        <v/>
      </c>
      <c r="HY782" s="2579" t="str">
        <f t="shared" si="213"/>
        <v/>
      </c>
      <c r="HZ782" s="2579" t="str">
        <f t="shared" si="214"/>
        <v/>
      </c>
      <c r="IA782" s="2579" t="str">
        <f t="shared" si="215"/>
        <v/>
      </c>
      <c r="IB782" s="2579" t="str">
        <f t="shared" si="216"/>
        <v/>
      </c>
      <c r="IC782" s="2579" t="str">
        <f t="shared" si="217"/>
        <v/>
      </c>
      <c r="ID782" s="2551" t="str">
        <f t="shared" si="218"/>
        <v/>
      </c>
      <c r="IE782" s="2551" t="str">
        <f t="shared" si="219"/>
        <v/>
      </c>
      <c r="IF782" s="2551" t="str">
        <f t="shared" si="220"/>
        <v/>
      </c>
      <c r="IG782" s="2551" t="str">
        <f t="shared" si="221"/>
        <v/>
      </c>
      <c r="IH782" s="2551"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2549">
        <f t="shared" si="243"/>
        <v>0</v>
      </c>
      <c r="JD782" s="2549">
        <f t="shared" si="244"/>
        <v>0</v>
      </c>
      <c r="JE782" s="2549">
        <f t="shared" si="245"/>
        <v>0</v>
      </c>
      <c r="JF782" s="2549">
        <f t="shared" si="246"/>
        <v>0</v>
      </c>
      <c r="JG782" s="2549">
        <f t="shared" si="247"/>
        <v>0</v>
      </c>
      <c r="JH782" s="2549">
        <f t="shared" si="248"/>
        <v>0</v>
      </c>
      <c r="JI782" s="2549">
        <f t="shared" si="249"/>
        <v>0</v>
      </c>
      <c r="JJ782" s="2549">
        <f t="shared" si="250"/>
        <v>0</v>
      </c>
      <c r="JK782" s="2549">
        <f t="shared" si="251"/>
        <v>0</v>
      </c>
      <c r="JL782" s="2549">
        <f t="shared" si="252"/>
        <v>0</v>
      </c>
      <c r="JM782" s="2549">
        <f t="shared" si="253"/>
        <v>0</v>
      </c>
      <c r="JN782" s="2549">
        <f t="shared" si="254"/>
        <v>0</v>
      </c>
      <c r="JO782" s="2549">
        <f t="shared" si="255"/>
        <v>0</v>
      </c>
      <c r="JP782" s="2549">
        <f t="shared" si="256"/>
        <v>0</v>
      </c>
      <c r="JQ782" s="2549">
        <f t="shared" si="257"/>
        <v>0</v>
      </c>
    </row>
    <row r="783" spans="1:277" ht="12" customHeight="1">
      <c r="A783" s="2562" t="str">
        <f t="shared" si="0"/>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1"/>
        <v>0</v>
      </c>
      <c r="L783" s="2576">
        <f t="shared" si="2"/>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2579" t="str">
        <f t="shared" si="133"/>
        <v/>
      </c>
      <c r="EX783" s="2579" t="str">
        <f t="shared" si="134"/>
        <v/>
      </c>
      <c r="EY783" s="2579" t="str">
        <f t="shared" si="135"/>
        <v/>
      </c>
      <c r="EZ783" s="2579" t="str">
        <f t="shared" si="136"/>
        <v/>
      </c>
      <c r="FA783" s="2579" t="str">
        <f t="shared" si="137"/>
        <v/>
      </c>
      <c r="FB783" s="2579" t="str">
        <f t="shared" si="138"/>
        <v/>
      </c>
      <c r="FC783" s="2579" t="str">
        <f t="shared" si="139"/>
        <v/>
      </c>
      <c r="FD783" s="2579" t="str">
        <f t="shared" si="140"/>
        <v/>
      </c>
      <c r="FE783" s="2579" t="str">
        <f t="shared" si="141"/>
        <v/>
      </c>
      <c r="FF783" s="2579" t="str">
        <f t="shared" si="142"/>
        <v/>
      </c>
      <c r="FG783" s="2579" t="str">
        <f t="shared" si="143"/>
        <v/>
      </c>
      <c r="FH783" s="2579" t="str">
        <f t="shared" si="144"/>
        <v/>
      </c>
      <c r="FI783" s="2579" t="str">
        <f t="shared" si="145"/>
        <v/>
      </c>
      <c r="FJ783" s="2579" t="str">
        <f t="shared" si="146"/>
        <v/>
      </c>
      <c r="FK783" s="2579" t="str">
        <f t="shared" si="147"/>
        <v/>
      </c>
      <c r="FL783" s="2579" t="str">
        <f t="shared" si="148"/>
        <v/>
      </c>
      <c r="FM783" s="2579" t="str">
        <f t="shared" si="149"/>
        <v/>
      </c>
      <c r="FN783" s="2579" t="str">
        <f t="shared" si="150"/>
        <v/>
      </c>
      <c r="FO783" s="2579" t="str">
        <f t="shared" si="151"/>
        <v/>
      </c>
      <c r="FP783" s="2579" t="str">
        <f t="shared" si="152"/>
        <v/>
      </c>
      <c r="FQ783" s="2579" t="str">
        <f t="shared" si="153"/>
        <v/>
      </c>
      <c r="FR783" s="2579" t="str">
        <f t="shared" si="154"/>
        <v/>
      </c>
      <c r="FS783" s="2579" t="str">
        <f t="shared" si="155"/>
        <v/>
      </c>
      <c r="FT783" s="2579" t="str">
        <f t="shared" si="156"/>
        <v/>
      </c>
      <c r="FU783" s="2579" t="str">
        <f t="shared" si="157"/>
        <v/>
      </c>
      <c r="FV783" s="2579" t="str">
        <f t="shared" si="158"/>
        <v/>
      </c>
      <c r="FW783" s="2579" t="str">
        <f t="shared" si="159"/>
        <v/>
      </c>
      <c r="FX783" s="2579" t="str">
        <f t="shared" si="160"/>
        <v/>
      </c>
      <c r="FY783" s="2579" t="str">
        <f t="shared" si="161"/>
        <v/>
      </c>
      <c r="FZ783" s="2579" t="str">
        <f t="shared" si="162"/>
        <v/>
      </c>
      <c r="GA783" s="2579" t="str">
        <f t="shared" si="163"/>
        <v/>
      </c>
      <c r="GB783" s="2579" t="str">
        <f t="shared" si="164"/>
        <v/>
      </c>
      <c r="GC783" s="2579" t="str">
        <f t="shared" si="165"/>
        <v/>
      </c>
      <c r="GD783" s="2579" t="str">
        <f t="shared" si="166"/>
        <v/>
      </c>
      <c r="GE783" s="2579" t="str">
        <f t="shared" si="167"/>
        <v/>
      </c>
      <c r="GF783" s="2579" t="str">
        <f t="shared" si="168"/>
        <v/>
      </c>
      <c r="GG783" s="2579" t="str">
        <f t="shared" si="169"/>
        <v/>
      </c>
      <c r="GH783" s="2579" t="str">
        <f t="shared" si="170"/>
        <v/>
      </c>
      <c r="GI783" s="2579" t="str">
        <f t="shared" si="171"/>
        <v/>
      </c>
      <c r="GJ783" s="2579" t="str">
        <f t="shared" si="172"/>
        <v/>
      </c>
      <c r="GK783" s="2579" t="str">
        <f t="shared" si="173"/>
        <v/>
      </c>
      <c r="GL783" s="2579" t="str">
        <f t="shared" si="174"/>
        <v/>
      </c>
      <c r="GM783" s="2579" t="str">
        <f t="shared" si="175"/>
        <v/>
      </c>
      <c r="GN783" s="2579" t="str">
        <f t="shared" si="176"/>
        <v/>
      </c>
      <c r="GO783" s="2579" t="str">
        <f t="shared" si="177"/>
        <v/>
      </c>
      <c r="GP783" s="2579" t="str">
        <f t="shared" si="178"/>
        <v/>
      </c>
      <c r="GQ783" s="2579" t="str">
        <f t="shared" si="179"/>
        <v/>
      </c>
      <c r="GR783" s="2579" t="str">
        <f t="shared" si="180"/>
        <v/>
      </c>
      <c r="GS783" s="2579" t="str">
        <f t="shared" si="181"/>
        <v/>
      </c>
      <c r="GT783" s="2579" t="str">
        <f t="shared" si="182"/>
        <v/>
      </c>
      <c r="GU783" s="2579" t="str">
        <f t="shared" si="183"/>
        <v/>
      </c>
      <c r="GV783" s="2579" t="str">
        <f t="shared" si="184"/>
        <v/>
      </c>
      <c r="GW783" s="2579" t="str">
        <f t="shared" si="185"/>
        <v/>
      </c>
      <c r="GX783" s="2579" t="str">
        <f t="shared" si="186"/>
        <v/>
      </c>
      <c r="GY783" s="2579" t="str">
        <f t="shared" si="187"/>
        <v/>
      </c>
      <c r="GZ783" s="2579" t="str">
        <f t="shared" si="188"/>
        <v/>
      </c>
      <c r="HA783" s="2579" t="str">
        <f t="shared" si="189"/>
        <v/>
      </c>
      <c r="HB783" s="2579" t="str">
        <f t="shared" si="190"/>
        <v/>
      </c>
      <c r="HC783" s="2579" t="str">
        <f t="shared" si="191"/>
        <v/>
      </c>
      <c r="HD783" s="2579" t="str">
        <f t="shared" si="192"/>
        <v/>
      </c>
      <c r="HE783" s="2579" t="str">
        <f t="shared" si="193"/>
        <v/>
      </c>
      <c r="HF783" s="2579" t="str">
        <f t="shared" si="194"/>
        <v/>
      </c>
      <c r="HG783" s="2579" t="str">
        <f t="shared" si="195"/>
        <v/>
      </c>
      <c r="HH783" s="2579" t="str">
        <f t="shared" si="196"/>
        <v/>
      </c>
      <c r="HI783" s="2579" t="str">
        <f t="shared" si="197"/>
        <v/>
      </c>
      <c r="HJ783" s="2579" t="str">
        <f t="shared" si="198"/>
        <v/>
      </c>
      <c r="HK783" s="2579" t="str">
        <f t="shared" si="199"/>
        <v/>
      </c>
      <c r="HL783" s="2579" t="str">
        <f t="shared" si="200"/>
        <v/>
      </c>
      <c r="HM783" s="2579" t="str">
        <f t="shared" si="201"/>
        <v/>
      </c>
      <c r="HN783" s="2579" t="str">
        <f t="shared" si="202"/>
        <v/>
      </c>
      <c r="HO783" s="2579" t="str">
        <f t="shared" si="203"/>
        <v/>
      </c>
      <c r="HP783" s="2579" t="str">
        <f t="shared" si="204"/>
        <v/>
      </c>
      <c r="HQ783" s="2579" t="str">
        <f t="shared" si="205"/>
        <v/>
      </c>
      <c r="HR783" s="2579" t="str">
        <f t="shared" si="206"/>
        <v/>
      </c>
      <c r="HS783" s="2579" t="str">
        <f t="shared" si="207"/>
        <v/>
      </c>
      <c r="HT783" s="2579" t="str">
        <f t="shared" si="208"/>
        <v/>
      </c>
      <c r="HU783" s="2579" t="str">
        <f t="shared" si="209"/>
        <v/>
      </c>
      <c r="HV783" s="2579" t="str">
        <f t="shared" si="210"/>
        <v/>
      </c>
      <c r="HW783" s="2579" t="str">
        <f t="shared" si="211"/>
        <v/>
      </c>
      <c r="HX783" s="2579" t="str">
        <f t="shared" si="212"/>
        <v/>
      </c>
      <c r="HY783" s="2579" t="str">
        <f t="shared" si="213"/>
        <v/>
      </c>
      <c r="HZ783" s="2579" t="str">
        <f t="shared" si="214"/>
        <v/>
      </c>
      <c r="IA783" s="2579" t="str">
        <f t="shared" si="215"/>
        <v/>
      </c>
      <c r="IB783" s="2579" t="str">
        <f t="shared" si="216"/>
        <v/>
      </c>
      <c r="IC783" s="2579" t="str">
        <f t="shared" si="217"/>
        <v/>
      </c>
      <c r="ID783" s="2551" t="str">
        <f t="shared" si="218"/>
        <v/>
      </c>
      <c r="IE783" s="2551" t="str">
        <f t="shared" si="219"/>
        <v/>
      </c>
      <c r="IF783" s="2551" t="str">
        <f t="shared" si="220"/>
        <v/>
      </c>
      <c r="IG783" s="2551" t="str">
        <f t="shared" si="221"/>
        <v/>
      </c>
      <c r="IH783" s="2551"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2549">
        <f t="shared" si="243"/>
        <v>0</v>
      </c>
      <c r="JD783" s="2549">
        <f t="shared" si="244"/>
        <v>0</v>
      </c>
      <c r="JE783" s="2549">
        <f t="shared" si="245"/>
        <v>0</v>
      </c>
      <c r="JF783" s="2549">
        <f t="shared" si="246"/>
        <v>0</v>
      </c>
      <c r="JG783" s="2549">
        <f t="shared" si="247"/>
        <v>0</v>
      </c>
      <c r="JH783" s="2549">
        <f t="shared" si="248"/>
        <v>0</v>
      </c>
      <c r="JI783" s="2549">
        <f t="shared" si="249"/>
        <v>0</v>
      </c>
      <c r="JJ783" s="2549">
        <f t="shared" si="250"/>
        <v>0</v>
      </c>
      <c r="JK783" s="2549">
        <f t="shared" si="251"/>
        <v>0</v>
      </c>
      <c r="JL783" s="2549">
        <f t="shared" si="252"/>
        <v>0</v>
      </c>
      <c r="JM783" s="2549">
        <f t="shared" si="253"/>
        <v>0</v>
      </c>
      <c r="JN783" s="2549">
        <f t="shared" si="254"/>
        <v>0</v>
      </c>
      <c r="JO783" s="2549">
        <f t="shared" si="255"/>
        <v>0</v>
      </c>
      <c r="JP783" s="2549">
        <f t="shared" si="256"/>
        <v>0</v>
      </c>
      <c r="JQ783" s="2549">
        <f t="shared" si="257"/>
        <v>0</v>
      </c>
    </row>
    <row r="784" spans="1:277" ht="12" customHeight="1">
      <c r="A784" s="2562" t="str">
        <f t="shared" si="0"/>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1"/>
        <v>0</v>
      </c>
      <c r="L784" s="2576">
        <f t="shared" si="2"/>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2579" t="str">
        <f t="shared" si="133"/>
        <v/>
      </c>
      <c r="EX784" s="2579" t="str">
        <f t="shared" si="134"/>
        <v/>
      </c>
      <c r="EY784" s="2579" t="str">
        <f t="shared" si="135"/>
        <v/>
      </c>
      <c r="EZ784" s="2579" t="str">
        <f t="shared" si="136"/>
        <v/>
      </c>
      <c r="FA784" s="2579" t="str">
        <f t="shared" si="137"/>
        <v/>
      </c>
      <c r="FB784" s="2579" t="str">
        <f t="shared" si="138"/>
        <v/>
      </c>
      <c r="FC784" s="2579" t="str">
        <f t="shared" si="139"/>
        <v/>
      </c>
      <c r="FD784" s="2579" t="str">
        <f t="shared" si="140"/>
        <v/>
      </c>
      <c r="FE784" s="2579" t="str">
        <f t="shared" si="141"/>
        <v/>
      </c>
      <c r="FF784" s="2579" t="str">
        <f t="shared" si="142"/>
        <v/>
      </c>
      <c r="FG784" s="2579" t="str">
        <f t="shared" si="143"/>
        <v/>
      </c>
      <c r="FH784" s="2579" t="str">
        <f t="shared" si="144"/>
        <v/>
      </c>
      <c r="FI784" s="2579" t="str">
        <f t="shared" si="145"/>
        <v/>
      </c>
      <c r="FJ784" s="2579" t="str">
        <f t="shared" si="146"/>
        <v/>
      </c>
      <c r="FK784" s="2579" t="str">
        <f t="shared" si="147"/>
        <v/>
      </c>
      <c r="FL784" s="2579" t="str">
        <f t="shared" si="148"/>
        <v/>
      </c>
      <c r="FM784" s="2579" t="str">
        <f t="shared" si="149"/>
        <v/>
      </c>
      <c r="FN784" s="2579" t="str">
        <f t="shared" si="150"/>
        <v/>
      </c>
      <c r="FO784" s="2579" t="str">
        <f t="shared" si="151"/>
        <v/>
      </c>
      <c r="FP784" s="2579" t="str">
        <f t="shared" si="152"/>
        <v/>
      </c>
      <c r="FQ784" s="2579" t="str">
        <f t="shared" si="153"/>
        <v/>
      </c>
      <c r="FR784" s="2579" t="str">
        <f t="shared" si="154"/>
        <v/>
      </c>
      <c r="FS784" s="2579" t="str">
        <f t="shared" si="155"/>
        <v/>
      </c>
      <c r="FT784" s="2579" t="str">
        <f t="shared" si="156"/>
        <v/>
      </c>
      <c r="FU784" s="2579" t="str">
        <f t="shared" si="157"/>
        <v/>
      </c>
      <c r="FV784" s="2579" t="str">
        <f t="shared" si="158"/>
        <v/>
      </c>
      <c r="FW784" s="2579" t="str">
        <f t="shared" si="159"/>
        <v/>
      </c>
      <c r="FX784" s="2579" t="str">
        <f t="shared" si="160"/>
        <v/>
      </c>
      <c r="FY784" s="2579" t="str">
        <f t="shared" si="161"/>
        <v/>
      </c>
      <c r="FZ784" s="2579" t="str">
        <f t="shared" si="162"/>
        <v/>
      </c>
      <c r="GA784" s="2579" t="str">
        <f t="shared" si="163"/>
        <v/>
      </c>
      <c r="GB784" s="2579" t="str">
        <f t="shared" si="164"/>
        <v/>
      </c>
      <c r="GC784" s="2579" t="str">
        <f t="shared" si="165"/>
        <v/>
      </c>
      <c r="GD784" s="2579" t="str">
        <f t="shared" si="166"/>
        <v/>
      </c>
      <c r="GE784" s="2579" t="str">
        <f t="shared" si="167"/>
        <v/>
      </c>
      <c r="GF784" s="2579" t="str">
        <f t="shared" si="168"/>
        <v/>
      </c>
      <c r="GG784" s="2579" t="str">
        <f t="shared" si="169"/>
        <v/>
      </c>
      <c r="GH784" s="2579" t="str">
        <f t="shared" si="170"/>
        <v/>
      </c>
      <c r="GI784" s="2579" t="str">
        <f t="shared" si="171"/>
        <v/>
      </c>
      <c r="GJ784" s="2579" t="str">
        <f t="shared" si="172"/>
        <v/>
      </c>
      <c r="GK784" s="2579" t="str">
        <f t="shared" si="173"/>
        <v/>
      </c>
      <c r="GL784" s="2579" t="str">
        <f t="shared" si="174"/>
        <v/>
      </c>
      <c r="GM784" s="2579" t="str">
        <f t="shared" si="175"/>
        <v/>
      </c>
      <c r="GN784" s="2579" t="str">
        <f t="shared" si="176"/>
        <v/>
      </c>
      <c r="GO784" s="2579" t="str">
        <f t="shared" si="177"/>
        <v/>
      </c>
      <c r="GP784" s="2579" t="str">
        <f t="shared" si="178"/>
        <v/>
      </c>
      <c r="GQ784" s="2579" t="str">
        <f t="shared" si="179"/>
        <v/>
      </c>
      <c r="GR784" s="2579" t="str">
        <f t="shared" si="180"/>
        <v/>
      </c>
      <c r="GS784" s="2579" t="str">
        <f t="shared" si="181"/>
        <v/>
      </c>
      <c r="GT784" s="2579" t="str">
        <f t="shared" si="182"/>
        <v/>
      </c>
      <c r="GU784" s="2579" t="str">
        <f t="shared" si="183"/>
        <v/>
      </c>
      <c r="GV784" s="2579" t="str">
        <f t="shared" si="184"/>
        <v/>
      </c>
      <c r="GW784" s="2579" t="str">
        <f t="shared" si="185"/>
        <v/>
      </c>
      <c r="GX784" s="2579" t="str">
        <f t="shared" si="186"/>
        <v/>
      </c>
      <c r="GY784" s="2579" t="str">
        <f t="shared" si="187"/>
        <v/>
      </c>
      <c r="GZ784" s="2579" t="str">
        <f t="shared" si="188"/>
        <v/>
      </c>
      <c r="HA784" s="2579" t="str">
        <f t="shared" si="189"/>
        <v/>
      </c>
      <c r="HB784" s="2579" t="str">
        <f t="shared" si="190"/>
        <v/>
      </c>
      <c r="HC784" s="2579" t="str">
        <f t="shared" si="191"/>
        <v/>
      </c>
      <c r="HD784" s="2579" t="str">
        <f t="shared" si="192"/>
        <v/>
      </c>
      <c r="HE784" s="2579" t="str">
        <f t="shared" si="193"/>
        <v/>
      </c>
      <c r="HF784" s="2579" t="str">
        <f t="shared" si="194"/>
        <v/>
      </c>
      <c r="HG784" s="2579" t="str">
        <f t="shared" si="195"/>
        <v/>
      </c>
      <c r="HH784" s="2579" t="str">
        <f t="shared" si="196"/>
        <v/>
      </c>
      <c r="HI784" s="2579" t="str">
        <f t="shared" si="197"/>
        <v/>
      </c>
      <c r="HJ784" s="2579" t="str">
        <f t="shared" si="198"/>
        <v/>
      </c>
      <c r="HK784" s="2579" t="str">
        <f t="shared" si="199"/>
        <v/>
      </c>
      <c r="HL784" s="2579" t="str">
        <f t="shared" si="200"/>
        <v/>
      </c>
      <c r="HM784" s="2579" t="str">
        <f t="shared" si="201"/>
        <v/>
      </c>
      <c r="HN784" s="2579" t="str">
        <f t="shared" si="202"/>
        <v/>
      </c>
      <c r="HO784" s="2579" t="str">
        <f t="shared" si="203"/>
        <v/>
      </c>
      <c r="HP784" s="2579" t="str">
        <f t="shared" si="204"/>
        <v/>
      </c>
      <c r="HQ784" s="2579" t="str">
        <f t="shared" si="205"/>
        <v/>
      </c>
      <c r="HR784" s="2579" t="str">
        <f t="shared" si="206"/>
        <v/>
      </c>
      <c r="HS784" s="2579" t="str">
        <f t="shared" si="207"/>
        <v/>
      </c>
      <c r="HT784" s="2579" t="str">
        <f t="shared" si="208"/>
        <v/>
      </c>
      <c r="HU784" s="2579" t="str">
        <f t="shared" si="209"/>
        <v/>
      </c>
      <c r="HV784" s="2579" t="str">
        <f t="shared" si="210"/>
        <v/>
      </c>
      <c r="HW784" s="2579" t="str">
        <f t="shared" si="211"/>
        <v/>
      </c>
      <c r="HX784" s="2579" t="str">
        <f t="shared" si="212"/>
        <v/>
      </c>
      <c r="HY784" s="2579" t="str">
        <f t="shared" si="213"/>
        <v/>
      </c>
      <c r="HZ784" s="2579" t="str">
        <f t="shared" si="214"/>
        <v/>
      </c>
      <c r="IA784" s="2579" t="str">
        <f t="shared" si="215"/>
        <v/>
      </c>
      <c r="IB784" s="2579" t="str">
        <f t="shared" si="216"/>
        <v/>
      </c>
      <c r="IC784" s="2579" t="str">
        <f t="shared" si="217"/>
        <v/>
      </c>
      <c r="ID784" s="2551" t="str">
        <f t="shared" si="218"/>
        <v/>
      </c>
      <c r="IE784" s="2551" t="str">
        <f t="shared" si="219"/>
        <v/>
      </c>
      <c r="IF784" s="2551" t="str">
        <f t="shared" si="220"/>
        <v/>
      </c>
      <c r="IG784" s="2551" t="str">
        <f t="shared" si="221"/>
        <v/>
      </c>
      <c r="IH784" s="2551"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2549">
        <f t="shared" si="243"/>
        <v>0</v>
      </c>
      <c r="JD784" s="2549">
        <f t="shared" si="244"/>
        <v>0</v>
      </c>
      <c r="JE784" s="2549">
        <f t="shared" si="245"/>
        <v>0</v>
      </c>
      <c r="JF784" s="2549">
        <f t="shared" si="246"/>
        <v>0</v>
      </c>
      <c r="JG784" s="2549">
        <f t="shared" si="247"/>
        <v>0</v>
      </c>
      <c r="JH784" s="2549">
        <f t="shared" si="248"/>
        <v>0</v>
      </c>
      <c r="JI784" s="2549">
        <f t="shared" si="249"/>
        <v>0</v>
      </c>
      <c r="JJ784" s="2549">
        <f t="shared" si="250"/>
        <v>0</v>
      </c>
      <c r="JK784" s="2549">
        <f t="shared" si="251"/>
        <v>0</v>
      </c>
      <c r="JL784" s="2549">
        <f t="shared" si="252"/>
        <v>0</v>
      </c>
      <c r="JM784" s="2549">
        <f t="shared" si="253"/>
        <v>0</v>
      </c>
      <c r="JN784" s="2549">
        <f t="shared" si="254"/>
        <v>0</v>
      </c>
      <c r="JO784" s="2549">
        <f t="shared" si="255"/>
        <v>0</v>
      </c>
      <c r="JP784" s="2549">
        <f t="shared" si="256"/>
        <v>0</v>
      </c>
      <c r="JQ784" s="2549">
        <f t="shared" si="257"/>
        <v>0</v>
      </c>
    </row>
    <row r="785" spans="1:277" ht="12" customHeight="1">
      <c r="A785" s="2562" t="str">
        <f t="shared" si="0"/>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1"/>
        <v>0</v>
      </c>
      <c r="L785" s="2576">
        <f t="shared" si="2"/>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2579" t="str">
        <f t="shared" si="133"/>
        <v/>
      </c>
      <c r="EX785" s="2579" t="str">
        <f t="shared" si="134"/>
        <v/>
      </c>
      <c r="EY785" s="2579" t="str">
        <f t="shared" si="135"/>
        <v/>
      </c>
      <c r="EZ785" s="2579" t="str">
        <f t="shared" si="136"/>
        <v/>
      </c>
      <c r="FA785" s="2579" t="str">
        <f t="shared" si="137"/>
        <v/>
      </c>
      <c r="FB785" s="2579" t="str">
        <f t="shared" si="138"/>
        <v/>
      </c>
      <c r="FC785" s="2579" t="str">
        <f t="shared" si="139"/>
        <v/>
      </c>
      <c r="FD785" s="2579" t="str">
        <f t="shared" si="140"/>
        <v/>
      </c>
      <c r="FE785" s="2579" t="str">
        <f t="shared" si="141"/>
        <v/>
      </c>
      <c r="FF785" s="2579" t="str">
        <f t="shared" si="142"/>
        <v/>
      </c>
      <c r="FG785" s="2579" t="str">
        <f t="shared" si="143"/>
        <v/>
      </c>
      <c r="FH785" s="2579" t="str">
        <f t="shared" si="144"/>
        <v/>
      </c>
      <c r="FI785" s="2579" t="str">
        <f t="shared" si="145"/>
        <v/>
      </c>
      <c r="FJ785" s="2579" t="str">
        <f t="shared" si="146"/>
        <v/>
      </c>
      <c r="FK785" s="2579" t="str">
        <f t="shared" si="147"/>
        <v/>
      </c>
      <c r="FL785" s="2579" t="str">
        <f t="shared" si="148"/>
        <v/>
      </c>
      <c r="FM785" s="2579" t="str">
        <f t="shared" si="149"/>
        <v/>
      </c>
      <c r="FN785" s="2579" t="str">
        <f t="shared" si="150"/>
        <v/>
      </c>
      <c r="FO785" s="2579" t="str">
        <f t="shared" si="151"/>
        <v/>
      </c>
      <c r="FP785" s="2579" t="str">
        <f t="shared" si="152"/>
        <v/>
      </c>
      <c r="FQ785" s="2579" t="str">
        <f t="shared" si="153"/>
        <v/>
      </c>
      <c r="FR785" s="2579" t="str">
        <f t="shared" si="154"/>
        <v/>
      </c>
      <c r="FS785" s="2579" t="str">
        <f t="shared" si="155"/>
        <v/>
      </c>
      <c r="FT785" s="2579" t="str">
        <f t="shared" si="156"/>
        <v/>
      </c>
      <c r="FU785" s="2579" t="str">
        <f t="shared" si="157"/>
        <v/>
      </c>
      <c r="FV785" s="2579" t="str">
        <f t="shared" si="158"/>
        <v/>
      </c>
      <c r="FW785" s="2579" t="str">
        <f t="shared" si="159"/>
        <v/>
      </c>
      <c r="FX785" s="2579" t="str">
        <f t="shared" si="160"/>
        <v/>
      </c>
      <c r="FY785" s="2579" t="str">
        <f t="shared" si="161"/>
        <v/>
      </c>
      <c r="FZ785" s="2579" t="str">
        <f t="shared" si="162"/>
        <v/>
      </c>
      <c r="GA785" s="2579" t="str">
        <f t="shared" si="163"/>
        <v/>
      </c>
      <c r="GB785" s="2579" t="str">
        <f t="shared" si="164"/>
        <v/>
      </c>
      <c r="GC785" s="2579" t="str">
        <f t="shared" si="165"/>
        <v/>
      </c>
      <c r="GD785" s="2579" t="str">
        <f t="shared" si="166"/>
        <v/>
      </c>
      <c r="GE785" s="2579" t="str">
        <f t="shared" si="167"/>
        <v/>
      </c>
      <c r="GF785" s="2579" t="str">
        <f t="shared" si="168"/>
        <v/>
      </c>
      <c r="GG785" s="2579" t="str">
        <f t="shared" si="169"/>
        <v/>
      </c>
      <c r="GH785" s="2579" t="str">
        <f t="shared" si="170"/>
        <v/>
      </c>
      <c r="GI785" s="2579" t="str">
        <f t="shared" si="171"/>
        <v/>
      </c>
      <c r="GJ785" s="2579" t="str">
        <f t="shared" si="172"/>
        <v/>
      </c>
      <c r="GK785" s="2579" t="str">
        <f t="shared" si="173"/>
        <v/>
      </c>
      <c r="GL785" s="2579" t="str">
        <f t="shared" si="174"/>
        <v/>
      </c>
      <c r="GM785" s="2579" t="str">
        <f t="shared" si="175"/>
        <v/>
      </c>
      <c r="GN785" s="2579" t="str">
        <f t="shared" si="176"/>
        <v/>
      </c>
      <c r="GO785" s="2579" t="str">
        <f t="shared" si="177"/>
        <v/>
      </c>
      <c r="GP785" s="2579" t="str">
        <f t="shared" si="178"/>
        <v/>
      </c>
      <c r="GQ785" s="2579" t="str">
        <f t="shared" si="179"/>
        <v/>
      </c>
      <c r="GR785" s="2579" t="str">
        <f t="shared" si="180"/>
        <v/>
      </c>
      <c r="GS785" s="2579" t="str">
        <f t="shared" si="181"/>
        <v/>
      </c>
      <c r="GT785" s="2579" t="str">
        <f t="shared" si="182"/>
        <v/>
      </c>
      <c r="GU785" s="2579" t="str">
        <f t="shared" si="183"/>
        <v/>
      </c>
      <c r="GV785" s="2579" t="str">
        <f t="shared" si="184"/>
        <v/>
      </c>
      <c r="GW785" s="2579" t="str">
        <f t="shared" si="185"/>
        <v/>
      </c>
      <c r="GX785" s="2579" t="str">
        <f t="shared" si="186"/>
        <v/>
      </c>
      <c r="GY785" s="2579" t="str">
        <f t="shared" si="187"/>
        <v/>
      </c>
      <c r="GZ785" s="2579" t="str">
        <f t="shared" si="188"/>
        <v/>
      </c>
      <c r="HA785" s="2579" t="str">
        <f t="shared" si="189"/>
        <v/>
      </c>
      <c r="HB785" s="2579" t="str">
        <f t="shared" si="190"/>
        <v/>
      </c>
      <c r="HC785" s="2579" t="str">
        <f t="shared" si="191"/>
        <v/>
      </c>
      <c r="HD785" s="2579" t="str">
        <f t="shared" si="192"/>
        <v/>
      </c>
      <c r="HE785" s="2579" t="str">
        <f t="shared" si="193"/>
        <v/>
      </c>
      <c r="HF785" s="2579" t="str">
        <f t="shared" si="194"/>
        <v/>
      </c>
      <c r="HG785" s="2579" t="str">
        <f t="shared" si="195"/>
        <v/>
      </c>
      <c r="HH785" s="2579" t="str">
        <f t="shared" si="196"/>
        <v/>
      </c>
      <c r="HI785" s="2579" t="str">
        <f t="shared" si="197"/>
        <v/>
      </c>
      <c r="HJ785" s="2579" t="str">
        <f t="shared" si="198"/>
        <v/>
      </c>
      <c r="HK785" s="2579" t="str">
        <f t="shared" si="199"/>
        <v/>
      </c>
      <c r="HL785" s="2579" t="str">
        <f t="shared" si="200"/>
        <v/>
      </c>
      <c r="HM785" s="2579" t="str">
        <f t="shared" si="201"/>
        <v/>
      </c>
      <c r="HN785" s="2579" t="str">
        <f t="shared" si="202"/>
        <v/>
      </c>
      <c r="HO785" s="2579" t="str">
        <f t="shared" si="203"/>
        <v/>
      </c>
      <c r="HP785" s="2579" t="str">
        <f t="shared" si="204"/>
        <v/>
      </c>
      <c r="HQ785" s="2579" t="str">
        <f t="shared" si="205"/>
        <v/>
      </c>
      <c r="HR785" s="2579" t="str">
        <f t="shared" si="206"/>
        <v/>
      </c>
      <c r="HS785" s="2579" t="str">
        <f t="shared" si="207"/>
        <v/>
      </c>
      <c r="HT785" s="2579" t="str">
        <f t="shared" si="208"/>
        <v/>
      </c>
      <c r="HU785" s="2579" t="str">
        <f t="shared" si="209"/>
        <v/>
      </c>
      <c r="HV785" s="2579" t="str">
        <f t="shared" si="210"/>
        <v/>
      </c>
      <c r="HW785" s="2579" t="str">
        <f t="shared" si="211"/>
        <v/>
      </c>
      <c r="HX785" s="2579" t="str">
        <f t="shared" si="212"/>
        <v/>
      </c>
      <c r="HY785" s="2579" t="str">
        <f t="shared" si="213"/>
        <v/>
      </c>
      <c r="HZ785" s="2579" t="str">
        <f t="shared" si="214"/>
        <v/>
      </c>
      <c r="IA785" s="2579" t="str">
        <f t="shared" si="215"/>
        <v/>
      </c>
      <c r="IB785" s="2579" t="str">
        <f t="shared" si="216"/>
        <v/>
      </c>
      <c r="IC785" s="2579" t="str">
        <f t="shared" si="217"/>
        <v/>
      </c>
      <c r="ID785" s="2551" t="str">
        <f t="shared" si="218"/>
        <v/>
      </c>
      <c r="IE785" s="2551" t="str">
        <f t="shared" si="219"/>
        <v/>
      </c>
      <c r="IF785" s="2551" t="str">
        <f t="shared" si="220"/>
        <v/>
      </c>
      <c r="IG785" s="2551" t="str">
        <f t="shared" si="221"/>
        <v/>
      </c>
      <c r="IH785" s="2551"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2549">
        <f t="shared" si="243"/>
        <v>0</v>
      </c>
      <c r="JD785" s="2549">
        <f t="shared" si="244"/>
        <v>0</v>
      </c>
      <c r="JE785" s="2549">
        <f t="shared" si="245"/>
        <v>0</v>
      </c>
      <c r="JF785" s="2549">
        <f t="shared" si="246"/>
        <v>0</v>
      </c>
      <c r="JG785" s="2549">
        <f t="shared" si="247"/>
        <v>0</v>
      </c>
      <c r="JH785" s="2549">
        <f t="shared" si="248"/>
        <v>0</v>
      </c>
      <c r="JI785" s="2549">
        <f t="shared" si="249"/>
        <v>0</v>
      </c>
      <c r="JJ785" s="2549">
        <f t="shared" si="250"/>
        <v>0</v>
      </c>
      <c r="JK785" s="2549">
        <f t="shared" si="251"/>
        <v>0</v>
      </c>
      <c r="JL785" s="2549">
        <f t="shared" si="252"/>
        <v>0</v>
      </c>
      <c r="JM785" s="2549">
        <f t="shared" si="253"/>
        <v>0</v>
      </c>
      <c r="JN785" s="2549">
        <f t="shared" si="254"/>
        <v>0</v>
      </c>
      <c r="JO785" s="2549">
        <f t="shared" si="255"/>
        <v>0</v>
      </c>
      <c r="JP785" s="2549">
        <f t="shared" si="256"/>
        <v>0</v>
      </c>
      <c r="JQ785" s="2549">
        <f t="shared" si="257"/>
        <v>0</v>
      </c>
    </row>
    <row r="786" spans="1:277" ht="12" customHeight="1">
      <c r="A786" s="2562" t="str">
        <f t="shared" si="0"/>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1"/>
        <v>0</v>
      </c>
      <c r="L786" s="2576">
        <f t="shared" si="2"/>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2579" t="str">
        <f t="shared" si="133"/>
        <v/>
      </c>
      <c r="EX786" s="2579" t="str">
        <f t="shared" si="134"/>
        <v/>
      </c>
      <c r="EY786" s="2579" t="str">
        <f t="shared" si="135"/>
        <v/>
      </c>
      <c r="EZ786" s="2579" t="str">
        <f t="shared" si="136"/>
        <v/>
      </c>
      <c r="FA786" s="2579" t="str">
        <f t="shared" si="137"/>
        <v/>
      </c>
      <c r="FB786" s="2579" t="str">
        <f t="shared" si="138"/>
        <v/>
      </c>
      <c r="FC786" s="2579" t="str">
        <f t="shared" si="139"/>
        <v/>
      </c>
      <c r="FD786" s="2579" t="str">
        <f t="shared" si="140"/>
        <v/>
      </c>
      <c r="FE786" s="2579" t="str">
        <f t="shared" si="141"/>
        <v/>
      </c>
      <c r="FF786" s="2579" t="str">
        <f t="shared" si="142"/>
        <v/>
      </c>
      <c r="FG786" s="2579" t="str">
        <f t="shared" si="143"/>
        <v/>
      </c>
      <c r="FH786" s="2579" t="str">
        <f t="shared" si="144"/>
        <v/>
      </c>
      <c r="FI786" s="2579" t="str">
        <f t="shared" si="145"/>
        <v/>
      </c>
      <c r="FJ786" s="2579" t="str">
        <f t="shared" si="146"/>
        <v/>
      </c>
      <c r="FK786" s="2579" t="str">
        <f t="shared" si="147"/>
        <v/>
      </c>
      <c r="FL786" s="2579" t="str">
        <f t="shared" si="148"/>
        <v/>
      </c>
      <c r="FM786" s="2579" t="str">
        <f t="shared" si="149"/>
        <v/>
      </c>
      <c r="FN786" s="2579" t="str">
        <f t="shared" si="150"/>
        <v/>
      </c>
      <c r="FO786" s="2579" t="str">
        <f t="shared" si="151"/>
        <v/>
      </c>
      <c r="FP786" s="2579" t="str">
        <f t="shared" si="152"/>
        <v/>
      </c>
      <c r="FQ786" s="2579" t="str">
        <f t="shared" si="153"/>
        <v/>
      </c>
      <c r="FR786" s="2579" t="str">
        <f t="shared" si="154"/>
        <v/>
      </c>
      <c r="FS786" s="2579" t="str">
        <f t="shared" si="155"/>
        <v/>
      </c>
      <c r="FT786" s="2579" t="str">
        <f t="shared" si="156"/>
        <v/>
      </c>
      <c r="FU786" s="2579" t="str">
        <f t="shared" si="157"/>
        <v/>
      </c>
      <c r="FV786" s="2579" t="str">
        <f t="shared" si="158"/>
        <v/>
      </c>
      <c r="FW786" s="2579" t="str">
        <f t="shared" si="159"/>
        <v/>
      </c>
      <c r="FX786" s="2579" t="str">
        <f t="shared" si="160"/>
        <v/>
      </c>
      <c r="FY786" s="2579" t="str">
        <f t="shared" si="161"/>
        <v/>
      </c>
      <c r="FZ786" s="2579" t="str">
        <f t="shared" si="162"/>
        <v/>
      </c>
      <c r="GA786" s="2579" t="str">
        <f t="shared" si="163"/>
        <v/>
      </c>
      <c r="GB786" s="2579" t="str">
        <f t="shared" si="164"/>
        <v/>
      </c>
      <c r="GC786" s="2579" t="str">
        <f t="shared" si="165"/>
        <v/>
      </c>
      <c r="GD786" s="2579" t="str">
        <f t="shared" si="166"/>
        <v/>
      </c>
      <c r="GE786" s="2579" t="str">
        <f t="shared" si="167"/>
        <v/>
      </c>
      <c r="GF786" s="2579" t="str">
        <f t="shared" si="168"/>
        <v/>
      </c>
      <c r="GG786" s="2579" t="str">
        <f t="shared" si="169"/>
        <v/>
      </c>
      <c r="GH786" s="2579" t="str">
        <f t="shared" si="170"/>
        <v/>
      </c>
      <c r="GI786" s="2579" t="str">
        <f t="shared" si="171"/>
        <v/>
      </c>
      <c r="GJ786" s="2579" t="str">
        <f t="shared" si="172"/>
        <v/>
      </c>
      <c r="GK786" s="2579" t="str">
        <f t="shared" si="173"/>
        <v/>
      </c>
      <c r="GL786" s="2579" t="str">
        <f t="shared" si="174"/>
        <v/>
      </c>
      <c r="GM786" s="2579" t="str">
        <f t="shared" si="175"/>
        <v/>
      </c>
      <c r="GN786" s="2579" t="str">
        <f t="shared" si="176"/>
        <v/>
      </c>
      <c r="GO786" s="2579" t="str">
        <f t="shared" si="177"/>
        <v/>
      </c>
      <c r="GP786" s="2579" t="str">
        <f t="shared" si="178"/>
        <v/>
      </c>
      <c r="GQ786" s="2579" t="str">
        <f t="shared" si="179"/>
        <v/>
      </c>
      <c r="GR786" s="2579" t="str">
        <f t="shared" si="180"/>
        <v/>
      </c>
      <c r="GS786" s="2579" t="str">
        <f t="shared" si="181"/>
        <v/>
      </c>
      <c r="GT786" s="2579" t="str">
        <f t="shared" si="182"/>
        <v/>
      </c>
      <c r="GU786" s="2579" t="str">
        <f t="shared" si="183"/>
        <v/>
      </c>
      <c r="GV786" s="2579" t="str">
        <f t="shared" si="184"/>
        <v/>
      </c>
      <c r="GW786" s="2579" t="str">
        <f t="shared" si="185"/>
        <v/>
      </c>
      <c r="GX786" s="2579" t="str">
        <f t="shared" si="186"/>
        <v/>
      </c>
      <c r="GY786" s="2579" t="str">
        <f t="shared" si="187"/>
        <v/>
      </c>
      <c r="GZ786" s="2579" t="str">
        <f t="shared" si="188"/>
        <v/>
      </c>
      <c r="HA786" s="2579" t="str">
        <f t="shared" si="189"/>
        <v/>
      </c>
      <c r="HB786" s="2579" t="str">
        <f t="shared" si="190"/>
        <v/>
      </c>
      <c r="HC786" s="2579" t="str">
        <f t="shared" si="191"/>
        <v/>
      </c>
      <c r="HD786" s="2579" t="str">
        <f t="shared" si="192"/>
        <v/>
      </c>
      <c r="HE786" s="2579" t="str">
        <f t="shared" si="193"/>
        <v/>
      </c>
      <c r="HF786" s="2579" t="str">
        <f t="shared" si="194"/>
        <v/>
      </c>
      <c r="HG786" s="2579" t="str">
        <f t="shared" si="195"/>
        <v/>
      </c>
      <c r="HH786" s="2579" t="str">
        <f t="shared" si="196"/>
        <v/>
      </c>
      <c r="HI786" s="2579" t="str">
        <f t="shared" si="197"/>
        <v/>
      </c>
      <c r="HJ786" s="2579" t="str">
        <f t="shared" si="198"/>
        <v/>
      </c>
      <c r="HK786" s="2579" t="str">
        <f t="shared" si="199"/>
        <v/>
      </c>
      <c r="HL786" s="2579" t="str">
        <f t="shared" si="200"/>
        <v/>
      </c>
      <c r="HM786" s="2579" t="str">
        <f t="shared" si="201"/>
        <v/>
      </c>
      <c r="HN786" s="2579" t="str">
        <f t="shared" si="202"/>
        <v/>
      </c>
      <c r="HO786" s="2579" t="str">
        <f t="shared" si="203"/>
        <v/>
      </c>
      <c r="HP786" s="2579" t="str">
        <f t="shared" si="204"/>
        <v/>
      </c>
      <c r="HQ786" s="2579" t="str">
        <f t="shared" si="205"/>
        <v/>
      </c>
      <c r="HR786" s="2579" t="str">
        <f t="shared" si="206"/>
        <v/>
      </c>
      <c r="HS786" s="2579" t="str">
        <f t="shared" si="207"/>
        <v/>
      </c>
      <c r="HT786" s="2579" t="str">
        <f t="shared" si="208"/>
        <v/>
      </c>
      <c r="HU786" s="2579" t="str">
        <f t="shared" si="209"/>
        <v/>
      </c>
      <c r="HV786" s="2579" t="str">
        <f t="shared" si="210"/>
        <v/>
      </c>
      <c r="HW786" s="2579" t="str">
        <f t="shared" si="211"/>
        <v/>
      </c>
      <c r="HX786" s="2579" t="str">
        <f t="shared" si="212"/>
        <v/>
      </c>
      <c r="HY786" s="2579" t="str">
        <f t="shared" si="213"/>
        <v/>
      </c>
      <c r="HZ786" s="2579" t="str">
        <f t="shared" si="214"/>
        <v/>
      </c>
      <c r="IA786" s="2579" t="str">
        <f t="shared" si="215"/>
        <v/>
      </c>
      <c r="IB786" s="2579" t="str">
        <f t="shared" si="216"/>
        <v/>
      </c>
      <c r="IC786" s="2579" t="str">
        <f t="shared" si="217"/>
        <v/>
      </c>
      <c r="ID786" s="2551" t="str">
        <f t="shared" si="218"/>
        <v/>
      </c>
      <c r="IE786" s="2551" t="str">
        <f t="shared" si="219"/>
        <v/>
      </c>
      <c r="IF786" s="2551" t="str">
        <f t="shared" si="220"/>
        <v/>
      </c>
      <c r="IG786" s="2551" t="str">
        <f t="shared" si="221"/>
        <v/>
      </c>
      <c r="IH786" s="2551"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2549">
        <f t="shared" si="243"/>
        <v>0</v>
      </c>
      <c r="JD786" s="2549">
        <f t="shared" si="244"/>
        <v>0</v>
      </c>
      <c r="JE786" s="2549">
        <f t="shared" si="245"/>
        <v>0</v>
      </c>
      <c r="JF786" s="2549">
        <f t="shared" si="246"/>
        <v>0</v>
      </c>
      <c r="JG786" s="2549">
        <f t="shared" si="247"/>
        <v>0</v>
      </c>
      <c r="JH786" s="2549">
        <f t="shared" si="248"/>
        <v>0</v>
      </c>
      <c r="JI786" s="2549">
        <f t="shared" si="249"/>
        <v>0</v>
      </c>
      <c r="JJ786" s="2549">
        <f t="shared" si="250"/>
        <v>0</v>
      </c>
      <c r="JK786" s="2549">
        <f t="shared" si="251"/>
        <v>0</v>
      </c>
      <c r="JL786" s="2549">
        <f t="shared" si="252"/>
        <v>0</v>
      </c>
      <c r="JM786" s="2549">
        <f t="shared" si="253"/>
        <v>0</v>
      </c>
      <c r="JN786" s="2549">
        <f t="shared" si="254"/>
        <v>0</v>
      </c>
      <c r="JO786" s="2549">
        <f t="shared" si="255"/>
        <v>0</v>
      </c>
      <c r="JP786" s="2549">
        <f t="shared" si="256"/>
        <v>0</v>
      </c>
      <c r="JQ786" s="2549">
        <f t="shared" si="257"/>
        <v>0</v>
      </c>
    </row>
    <row r="787" spans="1:277" ht="12" customHeight="1">
      <c r="A787" s="2562" t="str">
        <f t="shared" si="0"/>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1"/>
        <v>0</v>
      </c>
      <c r="L787" s="2576">
        <f t="shared" si="2"/>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2579" t="str">
        <f t="shared" si="133"/>
        <v/>
      </c>
      <c r="EX787" s="2579" t="str">
        <f t="shared" si="134"/>
        <v/>
      </c>
      <c r="EY787" s="2579" t="str">
        <f t="shared" si="135"/>
        <v/>
      </c>
      <c r="EZ787" s="2579" t="str">
        <f t="shared" si="136"/>
        <v/>
      </c>
      <c r="FA787" s="2579" t="str">
        <f t="shared" si="137"/>
        <v/>
      </c>
      <c r="FB787" s="2579" t="str">
        <f t="shared" si="138"/>
        <v/>
      </c>
      <c r="FC787" s="2579" t="str">
        <f t="shared" si="139"/>
        <v/>
      </c>
      <c r="FD787" s="2579" t="str">
        <f t="shared" si="140"/>
        <v/>
      </c>
      <c r="FE787" s="2579" t="str">
        <f t="shared" si="141"/>
        <v/>
      </c>
      <c r="FF787" s="2579" t="str">
        <f t="shared" si="142"/>
        <v/>
      </c>
      <c r="FG787" s="2579" t="str">
        <f t="shared" si="143"/>
        <v/>
      </c>
      <c r="FH787" s="2579" t="str">
        <f t="shared" si="144"/>
        <v/>
      </c>
      <c r="FI787" s="2579" t="str">
        <f t="shared" si="145"/>
        <v/>
      </c>
      <c r="FJ787" s="2579" t="str">
        <f t="shared" si="146"/>
        <v/>
      </c>
      <c r="FK787" s="2579" t="str">
        <f t="shared" si="147"/>
        <v/>
      </c>
      <c r="FL787" s="2579" t="str">
        <f t="shared" si="148"/>
        <v/>
      </c>
      <c r="FM787" s="2579" t="str">
        <f t="shared" si="149"/>
        <v/>
      </c>
      <c r="FN787" s="2579" t="str">
        <f t="shared" si="150"/>
        <v/>
      </c>
      <c r="FO787" s="2579" t="str">
        <f t="shared" si="151"/>
        <v/>
      </c>
      <c r="FP787" s="2579" t="str">
        <f t="shared" si="152"/>
        <v/>
      </c>
      <c r="FQ787" s="2579" t="str">
        <f t="shared" si="153"/>
        <v/>
      </c>
      <c r="FR787" s="2579" t="str">
        <f t="shared" si="154"/>
        <v/>
      </c>
      <c r="FS787" s="2579" t="str">
        <f t="shared" si="155"/>
        <v/>
      </c>
      <c r="FT787" s="2579" t="str">
        <f t="shared" si="156"/>
        <v/>
      </c>
      <c r="FU787" s="2579" t="str">
        <f t="shared" si="157"/>
        <v/>
      </c>
      <c r="FV787" s="2579" t="str">
        <f t="shared" si="158"/>
        <v/>
      </c>
      <c r="FW787" s="2579" t="str">
        <f t="shared" si="159"/>
        <v/>
      </c>
      <c r="FX787" s="2579" t="str">
        <f t="shared" si="160"/>
        <v/>
      </c>
      <c r="FY787" s="2579" t="str">
        <f t="shared" si="161"/>
        <v/>
      </c>
      <c r="FZ787" s="2579" t="str">
        <f t="shared" si="162"/>
        <v/>
      </c>
      <c r="GA787" s="2579" t="str">
        <f t="shared" si="163"/>
        <v/>
      </c>
      <c r="GB787" s="2579" t="str">
        <f t="shared" si="164"/>
        <v/>
      </c>
      <c r="GC787" s="2579" t="str">
        <f t="shared" si="165"/>
        <v/>
      </c>
      <c r="GD787" s="2579" t="str">
        <f t="shared" si="166"/>
        <v/>
      </c>
      <c r="GE787" s="2579" t="str">
        <f t="shared" si="167"/>
        <v/>
      </c>
      <c r="GF787" s="2579" t="str">
        <f t="shared" si="168"/>
        <v/>
      </c>
      <c r="GG787" s="2579" t="str">
        <f t="shared" si="169"/>
        <v/>
      </c>
      <c r="GH787" s="2579" t="str">
        <f t="shared" si="170"/>
        <v/>
      </c>
      <c r="GI787" s="2579" t="str">
        <f t="shared" si="171"/>
        <v/>
      </c>
      <c r="GJ787" s="2579" t="str">
        <f t="shared" si="172"/>
        <v/>
      </c>
      <c r="GK787" s="2579" t="str">
        <f t="shared" si="173"/>
        <v/>
      </c>
      <c r="GL787" s="2579" t="str">
        <f t="shared" si="174"/>
        <v/>
      </c>
      <c r="GM787" s="2579" t="str">
        <f t="shared" si="175"/>
        <v/>
      </c>
      <c r="GN787" s="2579" t="str">
        <f t="shared" si="176"/>
        <v/>
      </c>
      <c r="GO787" s="2579" t="str">
        <f t="shared" si="177"/>
        <v/>
      </c>
      <c r="GP787" s="2579" t="str">
        <f t="shared" si="178"/>
        <v/>
      </c>
      <c r="GQ787" s="2579" t="str">
        <f t="shared" si="179"/>
        <v/>
      </c>
      <c r="GR787" s="2579" t="str">
        <f t="shared" si="180"/>
        <v/>
      </c>
      <c r="GS787" s="2579" t="str">
        <f t="shared" si="181"/>
        <v/>
      </c>
      <c r="GT787" s="2579" t="str">
        <f t="shared" si="182"/>
        <v/>
      </c>
      <c r="GU787" s="2579" t="str">
        <f t="shared" si="183"/>
        <v/>
      </c>
      <c r="GV787" s="2579" t="str">
        <f t="shared" si="184"/>
        <v/>
      </c>
      <c r="GW787" s="2579" t="str">
        <f t="shared" si="185"/>
        <v/>
      </c>
      <c r="GX787" s="2579" t="str">
        <f t="shared" si="186"/>
        <v/>
      </c>
      <c r="GY787" s="2579" t="str">
        <f t="shared" si="187"/>
        <v/>
      </c>
      <c r="GZ787" s="2579" t="str">
        <f t="shared" si="188"/>
        <v/>
      </c>
      <c r="HA787" s="2579" t="str">
        <f t="shared" si="189"/>
        <v/>
      </c>
      <c r="HB787" s="2579" t="str">
        <f t="shared" si="190"/>
        <v/>
      </c>
      <c r="HC787" s="2579" t="str">
        <f t="shared" si="191"/>
        <v/>
      </c>
      <c r="HD787" s="2579" t="str">
        <f t="shared" si="192"/>
        <v/>
      </c>
      <c r="HE787" s="2579" t="str">
        <f t="shared" si="193"/>
        <v/>
      </c>
      <c r="HF787" s="2579" t="str">
        <f t="shared" si="194"/>
        <v/>
      </c>
      <c r="HG787" s="2579" t="str">
        <f t="shared" si="195"/>
        <v/>
      </c>
      <c r="HH787" s="2579" t="str">
        <f t="shared" si="196"/>
        <v/>
      </c>
      <c r="HI787" s="2579" t="str">
        <f t="shared" si="197"/>
        <v/>
      </c>
      <c r="HJ787" s="2579" t="str">
        <f t="shared" si="198"/>
        <v/>
      </c>
      <c r="HK787" s="2579" t="str">
        <f t="shared" si="199"/>
        <v/>
      </c>
      <c r="HL787" s="2579" t="str">
        <f t="shared" si="200"/>
        <v/>
      </c>
      <c r="HM787" s="2579" t="str">
        <f t="shared" si="201"/>
        <v/>
      </c>
      <c r="HN787" s="2579" t="str">
        <f t="shared" si="202"/>
        <v/>
      </c>
      <c r="HO787" s="2579" t="str">
        <f t="shared" si="203"/>
        <v/>
      </c>
      <c r="HP787" s="2579" t="str">
        <f t="shared" si="204"/>
        <v/>
      </c>
      <c r="HQ787" s="2579" t="str">
        <f t="shared" si="205"/>
        <v/>
      </c>
      <c r="HR787" s="2579" t="str">
        <f t="shared" si="206"/>
        <v/>
      </c>
      <c r="HS787" s="2579" t="str">
        <f t="shared" si="207"/>
        <v/>
      </c>
      <c r="HT787" s="2579" t="str">
        <f t="shared" si="208"/>
        <v/>
      </c>
      <c r="HU787" s="2579" t="str">
        <f t="shared" si="209"/>
        <v/>
      </c>
      <c r="HV787" s="2579" t="str">
        <f t="shared" si="210"/>
        <v/>
      </c>
      <c r="HW787" s="2579" t="str">
        <f t="shared" si="211"/>
        <v/>
      </c>
      <c r="HX787" s="2579" t="str">
        <f t="shared" si="212"/>
        <v/>
      </c>
      <c r="HY787" s="2579" t="str">
        <f t="shared" si="213"/>
        <v/>
      </c>
      <c r="HZ787" s="2579" t="str">
        <f t="shared" si="214"/>
        <v/>
      </c>
      <c r="IA787" s="2579" t="str">
        <f t="shared" si="215"/>
        <v/>
      </c>
      <c r="IB787" s="2579" t="str">
        <f t="shared" si="216"/>
        <v/>
      </c>
      <c r="IC787" s="2579" t="str">
        <f t="shared" si="217"/>
        <v/>
      </c>
      <c r="ID787" s="2551" t="str">
        <f t="shared" si="218"/>
        <v/>
      </c>
      <c r="IE787" s="2551" t="str">
        <f t="shared" si="219"/>
        <v/>
      </c>
      <c r="IF787" s="2551" t="str">
        <f t="shared" si="220"/>
        <v/>
      </c>
      <c r="IG787" s="2551" t="str">
        <f t="shared" si="221"/>
        <v/>
      </c>
      <c r="IH787" s="2551"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2549">
        <f t="shared" si="243"/>
        <v>0</v>
      </c>
      <c r="JD787" s="2549">
        <f t="shared" si="244"/>
        <v>0</v>
      </c>
      <c r="JE787" s="2549">
        <f t="shared" si="245"/>
        <v>0</v>
      </c>
      <c r="JF787" s="2549">
        <f t="shared" si="246"/>
        <v>0</v>
      </c>
      <c r="JG787" s="2549">
        <f t="shared" si="247"/>
        <v>0</v>
      </c>
      <c r="JH787" s="2549">
        <f t="shared" si="248"/>
        <v>0</v>
      </c>
      <c r="JI787" s="2549">
        <f t="shared" si="249"/>
        <v>0</v>
      </c>
      <c r="JJ787" s="2549">
        <f t="shared" si="250"/>
        <v>0</v>
      </c>
      <c r="JK787" s="2549">
        <f t="shared" si="251"/>
        <v>0</v>
      </c>
      <c r="JL787" s="2549">
        <f t="shared" si="252"/>
        <v>0</v>
      </c>
      <c r="JM787" s="2549">
        <f t="shared" si="253"/>
        <v>0</v>
      </c>
      <c r="JN787" s="2549">
        <f t="shared" si="254"/>
        <v>0</v>
      </c>
      <c r="JO787" s="2549">
        <f t="shared" si="255"/>
        <v>0</v>
      </c>
      <c r="JP787" s="2549">
        <f t="shared" si="256"/>
        <v>0</v>
      </c>
      <c r="JQ787" s="2549">
        <f t="shared" si="257"/>
        <v>0</v>
      </c>
    </row>
    <row r="788" spans="1:277" ht="12" customHeight="1">
      <c r="A788" s="2562" t="str">
        <f t="shared" si="0"/>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1"/>
        <v>0</v>
      </c>
      <c r="L788" s="2576">
        <f t="shared" si="2"/>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2579" t="str">
        <f t="shared" si="133"/>
        <v/>
      </c>
      <c r="EX788" s="2579" t="str">
        <f t="shared" si="134"/>
        <v/>
      </c>
      <c r="EY788" s="2579" t="str">
        <f t="shared" si="135"/>
        <v/>
      </c>
      <c r="EZ788" s="2579" t="str">
        <f t="shared" si="136"/>
        <v/>
      </c>
      <c r="FA788" s="2579" t="str">
        <f t="shared" si="137"/>
        <v/>
      </c>
      <c r="FB788" s="2579" t="str">
        <f t="shared" si="138"/>
        <v/>
      </c>
      <c r="FC788" s="2579" t="str">
        <f t="shared" si="139"/>
        <v/>
      </c>
      <c r="FD788" s="2579" t="str">
        <f t="shared" si="140"/>
        <v/>
      </c>
      <c r="FE788" s="2579" t="str">
        <f t="shared" si="141"/>
        <v/>
      </c>
      <c r="FF788" s="2579" t="str">
        <f t="shared" si="142"/>
        <v/>
      </c>
      <c r="FG788" s="2579" t="str">
        <f t="shared" si="143"/>
        <v/>
      </c>
      <c r="FH788" s="2579" t="str">
        <f t="shared" si="144"/>
        <v/>
      </c>
      <c r="FI788" s="2579" t="str">
        <f t="shared" si="145"/>
        <v/>
      </c>
      <c r="FJ788" s="2579" t="str">
        <f t="shared" si="146"/>
        <v/>
      </c>
      <c r="FK788" s="2579" t="str">
        <f t="shared" si="147"/>
        <v/>
      </c>
      <c r="FL788" s="2579" t="str">
        <f t="shared" si="148"/>
        <v/>
      </c>
      <c r="FM788" s="2579" t="str">
        <f t="shared" si="149"/>
        <v/>
      </c>
      <c r="FN788" s="2579" t="str">
        <f t="shared" si="150"/>
        <v/>
      </c>
      <c r="FO788" s="2579" t="str">
        <f t="shared" si="151"/>
        <v/>
      </c>
      <c r="FP788" s="2579" t="str">
        <f t="shared" si="152"/>
        <v/>
      </c>
      <c r="FQ788" s="2579" t="str">
        <f t="shared" si="153"/>
        <v/>
      </c>
      <c r="FR788" s="2579" t="str">
        <f t="shared" si="154"/>
        <v/>
      </c>
      <c r="FS788" s="2579" t="str">
        <f t="shared" si="155"/>
        <v/>
      </c>
      <c r="FT788" s="2579" t="str">
        <f t="shared" si="156"/>
        <v/>
      </c>
      <c r="FU788" s="2579" t="str">
        <f t="shared" si="157"/>
        <v/>
      </c>
      <c r="FV788" s="2579" t="str">
        <f t="shared" si="158"/>
        <v/>
      </c>
      <c r="FW788" s="2579" t="str">
        <f t="shared" si="159"/>
        <v/>
      </c>
      <c r="FX788" s="2579" t="str">
        <f t="shared" si="160"/>
        <v/>
      </c>
      <c r="FY788" s="2579" t="str">
        <f t="shared" si="161"/>
        <v/>
      </c>
      <c r="FZ788" s="2579" t="str">
        <f t="shared" si="162"/>
        <v/>
      </c>
      <c r="GA788" s="2579" t="str">
        <f t="shared" si="163"/>
        <v/>
      </c>
      <c r="GB788" s="2579" t="str">
        <f t="shared" si="164"/>
        <v/>
      </c>
      <c r="GC788" s="2579" t="str">
        <f t="shared" si="165"/>
        <v/>
      </c>
      <c r="GD788" s="2579" t="str">
        <f t="shared" si="166"/>
        <v/>
      </c>
      <c r="GE788" s="2579" t="str">
        <f t="shared" si="167"/>
        <v/>
      </c>
      <c r="GF788" s="2579" t="str">
        <f t="shared" si="168"/>
        <v/>
      </c>
      <c r="GG788" s="2579" t="str">
        <f t="shared" si="169"/>
        <v/>
      </c>
      <c r="GH788" s="2579" t="str">
        <f t="shared" si="170"/>
        <v/>
      </c>
      <c r="GI788" s="2579" t="str">
        <f t="shared" si="171"/>
        <v/>
      </c>
      <c r="GJ788" s="2579" t="str">
        <f t="shared" si="172"/>
        <v/>
      </c>
      <c r="GK788" s="2579" t="str">
        <f t="shared" si="173"/>
        <v/>
      </c>
      <c r="GL788" s="2579" t="str">
        <f t="shared" si="174"/>
        <v/>
      </c>
      <c r="GM788" s="2579" t="str">
        <f t="shared" si="175"/>
        <v/>
      </c>
      <c r="GN788" s="2579" t="str">
        <f t="shared" si="176"/>
        <v/>
      </c>
      <c r="GO788" s="2579" t="str">
        <f t="shared" si="177"/>
        <v/>
      </c>
      <c r="GP788" s="2579" t="str">
        <f t="shared" si="178"/>
        <v/>
      </c>
      <c r="GQ788" s="2579" t="str">
        <f t="shared" si="179"/>
        <v/>
      </c>
      <c r="GR788" s="2579" t="str">
        <f t="shared" si="180"/>
        <v/>
      </c>
      <c r="GS788" s="2579" t="str">
        <f t="shared" si="181"/>
        <v/>
      </c>
      <c r="GT788" s="2579" t="str">
        <f t="shared" si="182"/>
        <v/>
      </c>
      <c r="GU788" s="2579" t="str">
        <f t="shared" si="183"/>
        <v/>
      </c>
      <c r="GV788" s="2579" t="str">
        <f t="shared" si="184"/>
        <v/>
      </c>
      <c r="GW788" s="2579" t="str">
        <f t="shared" si="185"/>
        <v/>
      </c>
      <c r="GX788" s="2579" t="str">
        <f t="shared" si="186"/>
        <v/>
      </c>
      <c r="GY788" s="2579" t="str">
        <f t="shared" si="187"/>
        <v/>
      </c>
      <c r="GZ788" s="2579" t="str">
        <f t="shared" si="188"/>
        <v/>
      </c>
      <c r="HA788" s="2579" t="str">
        <f t="shared" si="189"/>
        <v/>
      </c>
      <c r="HB788" s="2579" t="str">
        <f t="shared" si="190"/>
        <v/>
      </c>
      <c r="HC788" s="2579" t="str">
        <f t="shared" si="191"/>
        <v/>
      </c>
      <c r="HD788" s="2579" t="str">
        <f t="shared" si="192"/>
        <v/>
      </c>
      <c r="HE788" s="2579" t="str">
        <f t="shared" si="193"/>
        <v/>
      </c>
      <c r="HF788" s="2579" t="str">
        <f t="shared" si="194"/>
        <v/>
      </c>
      <c r="HG788" s="2579" t="str">
        <f t="shared" si="195"/>
        <v/>
      </c>
      <c r="HH788" s="2579" t="str">
        <f t="shared" si="196"/>
        <v/>
      </c>
      <c r="HI788" s="2579" t="str">
        <f t="shared" si="197"/>
        <v/>
      </c>
      <c r="HJ788" s="2579" t="str">
        <f t="shared" si="198"/>
        <v/>
      </c>
      <c r="HK788" s="2579" t="str">
        <f t="shared" si="199"/>
        <v/>
      </c>
      <c r="HL788" s="2579" t="str">
        <f t="shared" si="200"/>
        <v/>
      </c>
      <c r="HM788" s="2579" t="str">
        <f t="shared" si="201"/>
        <v/>
      </c>
      <c r="HN788" s="2579" t="str">
        <f t="shared" si="202"/>
        <v/>
      </c>
      <c r="HO788" s="2579" t="str">
        <f t="shared" si="203"/>
        <v/>
      </c>
      <c r="HP788" s="2579" t="str">
        <f t="shared" si="204"/>
        <v/>
      </c>
      <c r="HQ788" s="2579" t="str">
        <f t="shared" si="205"/>
        <v/>
      </c>
      <c r="HR788" s="2579" t="str">
        <f t="shared" si="206"/>
        <v/>
      </c>
      <c r="HS788" s="2579" t="str">
        <f t="shared" si="207"/>
        <v/>
      </c>
      <c r="HT788" s="2579" t="str">
        <f t="shared" si="208"/>
        <v/>
      </c>
      <c r="HU788" s="2579" t="str">
        <f t="shared" si="209"/>
        <v/>
      </c>
      <c r="HV788" s="2579" t="str">
        <f t="shared" si="210"/>
        <v/>
      </c>
      <c r="HW788" s="2579" t="str">
        <f t="shared" si="211"/>
        <v/>
      </c>
      <c r="HX788" s="2579" t="str">
        <f t="shared" si="212"/>
        <v/>
      </c>
      <c r="HY788" s="2579" t="str">
        <f t="shared" si="213"/>
        <v/>
      </c>
      <c r="HZ788" s="2579" t="str">
        <f t="shared" si="214"/>
        <v/>
      </c>
      <c r="IA788" s="2579" t="str">
        <f t="shared" si="215"/>
        <v/>
      </c>
      <c r="IB788" s="2579" t="str">
        <f t="shared" si="216"/>
        <v/>
      </c>
      <c r="IC788" s="2579" t="str">
        <f t="shared" si="217"/>
        <v/>
      </c>
      <c r="ID788" s="2551" t="str">
        <f t="shared" si="218"/>
        <v/>
      </c>
      <c r="IE788" s="2551" t="str">
        <f t="shared" si="219"/>
        <v/>
      </c>
      <c r="IF788" s="2551" t="str">
        <f t="shared" si="220"/>
        <v/>
      </c>
      <c r="IG788" s="2551" t="str">
        <f t="shared" si="221"/>
        <v/>
      </c>
      <c r="IH788" s="2551"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2549">
        <f t="shared" si="243"/>
        <v>0</v>
      </c>
      <c r="JD788" s="2549">
        <f t="shared" si="244"/>
        <v>0</v>
      </c>
      <c r="JE788" s="2549">
        <f t="shared" si="245"/>
        <v>0</v>
      </c>
      <c r="JF788" s="2549">
        <f t="shared" si="246"/>
        <v>0</v>
      </c>
      <c r="JG788" s="2549">
        <f t="shared" si="247"/>
        <v>0</v>
      </c>
      <c r="JH788" s="2549">
        <f t="shared" si="248"/>
        <v>0</v>
      </c>
      <c r="JI788" s="2549">
        <f t="shared" si="249"/>
        <v>0</v>
      </c>
      <c r="JJ788" s="2549">
        <f t="shared" si="250"/>
        <v>0</v>
      </c>
      <c r="JK788" s="2549">
        <f t="shared" si="251"/>
        <v>0</v>
      </c>
      <c r="JL788" s="2549">
        <f t="shared" si="252"/>
        <v>0</v>
      </c>
      <c r="JM788" s="2549">
        <f t="shared" si="253"/>
        <v>0</v>
      </c>
      <c r="JN788" s="2549">
        <f t="shared" si="254"/>
        <v>0</v>
      </c>
      <c r="JO788" s="2549">
        <f t="shared" si="255"/>
        <v>0</v>
      </c>
      <c r="JP788" s="2549">
        <f t="shared" si="256"/>
        <v>0</v>
      </c>
      <c r="JQ788" s="2549">
        <f t="shared" si="257"/>
        <v>0</v>
      </c>
    </row>
    <row r="789" spans="1:277" ht="12" customHeight="1">
      <c r="A789" s="2562" t="str">
        <f t="shared" si="0"/>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1"/>
        <v>0</v>
      </c>
      <c r="L789" s="2576">
        <f t="shared" si="2"/>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2579" t="str">
        <f t="shared" si="133"/>
        <v/>
      </c>
      <c r="EX789" s="2579" t="str">
        <f t="shared" si="134"/>
        <v/>
      </c>
      <c r="EY789" s="2579" t="str">
        <f t="shared" si="135"/>
        <v/>
      </c>
      <c r="EZ789" s="2579" t="str">
        <f t="shared" si="136"/>
        <v/>
      </c>
      <c r="FA789" s="2579" t="str">
        <f t="shared" si="137"/>
        <v/>
      </c>
      <c r="FB789" s="2579" t="str">
        <f t="shared" si="138"/>
        <v/>
      </c>
      <c r="FC789" s="2579" t="str">
        <f t="shared" si="139"/>
        <v/>
      </c>
      <c r="FD789" s="2579" t="str">
        <f t="shared" si="140"/>
        <v/>
      </c>
      <c r="FE789" s="2579" t="str">
        <f t="shared" si="141"/>
        <v/>
      </c>
      <c r="FF789" s="2579" t="str">
        <f t="shared" si="142"/>
        <v/>
      </c>
      <c r="FG789" s="2579" t="str">
        <f t="shared" si="143"/>
        <v/>
      </c>
      <c r="FH789" s="2579" t="str">
        <f t="shared" si="144"/>
        <v/>
      </c>
      <c r="FI789" s="2579" t="str">
        <f t="shared" si="145"/>
        <v/>
      </c>
      <c r="FJ789" s="2579" t="str">
        <f t="shared" si="146"/>
        <v/>
      </c>
      <c r="FK789" s="2579" t="str">
        <f t="shared" si="147"/>
        <v/>
      </c>
      <c r="FL789" s="2579" t="str">
        <f t="shared" si="148"/>
        <v/>
      </c>
      <c r="FM789" s="2579" t="str">
        <f t="shared" si="149"/>
        <v/>
      </c>
      <c r="FN789" s="2579" t="str">
        <f t="shared" si="150"/>
        <v/>
      </c>
      <c r="FO789" s="2579" t="str">
        <f t="shared" si="151"/>
        <v/>
      </c>
      <c r="FP789" s="2579" t="str">
        <f t="shared" si="152"/>
        <v/>
      </c>
      <c r="FQ789" s="2579" t="str">
        <f t="shared" si="153"/>
        <v/>
      </c>
      <c r="FR789" s="2579" t="str">
        <f t="shared" si="154"/>
        <v/>
      </c>
      <c r="FS789" s="2579" t="str">
        <f t="shared" si="155"/>
        <v/>
      </c>
      <c r="FT789" s="2579" t="str">
        <f t="shared" si="156"/>
        <v/>
      </c>
      <c r="FU789" s="2579" t="str">
        <f t="shared" si="157"/>
        <v/>
      </c>
      <c r="FV789" s="2579" t="str">
        <f t="shared" si="158"/>
        <v/>
      </c>
      <c r="FW789" s="2579" t="str">
        <f t="shared" si="159"/>
        <v/>
      </c>
      <c r="FX789" s="2579" t="str">
        <f t="shared" si="160"/>
        <v/>
      </c>
      <c r="FY789" s="2579" t="str">
        <f t="shared" si="161"/>
        <v/>
      </c>
      <c r="FZ789" s="2579" t="str">
        <f t="shared" si="162"/>
        <v/>
      </c>
      <c r="GA789" s="2579" t="str">
        <f t="shared" si="163"/>
        <v/>
      </c>
      <c r="GB789" s="2579" t="str">
        <f t="shared" si="164"/>
        <v/>
      </c>
      <c r="GC789" s="2579" t="str">
        <f t="shared" si="165"/>
        <v/>
      </c>
      <c r="GD789" s="2579" t="str">
        <f t="shared" si="166"/>
        <v/>
      </c>
      <c r="GE789" s="2579" t="str">
        <f t="shared" si="167"/>
        <v/>
      </c>
      <c r="GF789" s="2579" t="str">
        <f t="shared" si="168"/>
        <v/>
      </c>
      <c r="GG789" s="2579" t="str">
        <f t="shared" si="169"/>
        <v/>
      </c>
      <c r="GH789" s="2579" t="str">
        <f t="shared" si="170"/>
        <v/>
      </c>
      <c r="GI789" s="2579" t="str">
        <f t="shared" si="171"/>
        <v/>
      </c>
      <c r="GJ789" s="2579" t="str">
        <f t="shared" si="172"/>
        <v/>
      </c>
      <c r="GK789" s="2579" t="str">
        <f t="shared" si="173"/>
        <v/>
      </c>
      <c r="GL789" s="2579" t="str">
        <f t="shared" si="174"/>
        <v/>
      </c>
      <c r="GM789" s="2579" t="str">
        <f t="shared" si="175"/>
        <v/>
      </c>
      <c r="GN789" s="2579" t="str">
        <f t="shared" si="176"/>
        <v/>
      </c>
      <c r="GO789" s="2579" t="str">
        <f t="shared" si="177"/>
        <v/>
      </c>
      <c r="GP789" s="2579" t="str">
        <f t="shared" si="178"/>
        <v/>
      </c>
      <c r="GQ789" s="2579" t="str">
        <f t="shared" si="179"/>
        <v/>
      </c>
      <c r="GR789" s="2579" t="str">
        <f t="shared" si="180"/>
        <v/>
      </c>
      <c r="GS789" s="2579" t="str">
        <f t="shared" si="181"/>
        <v/>
      </c>
      <c r="GT789" s="2579" t="str">
        <f t="shared" si="182"/>
        <v/>
      </c>
      <c r="GU789" s="2579" t="str">
        <f t="shared" si="183"/>
        <v/>
      </c>
      <c r="GV789" s="2579" t="str">
        <f t="shared" si="184"/>
        <v/>
      </c>
      <c r="GW789" s="2579" t="str">
        <f t="shared" si="185"/>
        <v/>
      </c>
      <c r="GX789" s="2579" t="str">
        <f t="shared" si="186"/>
        <v/>
      </c>
      <c r="GY789" s="2579" t="str">
        <f t="shared" si="187"/>
        <v/>
      </c>
      <c r="GZ789" s="2579" t="str">
        <f t="shared" si="188"/>
        <v/>
      </c>
      <c r="HA789" s="2579" t="str">
        <f t="shared" si="189"/>
        <v/>
      </c>
      <c r="HB789" s="2579" t="str">
        <f t="shared" si="190"/>
        <v/>
      </c>
      <c r="HC789" s="2579" t="str">
        <f t="shared" si="191"/>
        <v/>
      </c>
      <c r="HD789" s="2579" t="str">
        <f t="shared" si="192"/>
        <v/>
      </c>
      <c r="HE789" s="2579" t="str">
        <f t="shared" si="193"/>
        <v/>
      </c>
      <c r="HF789" s="2579" t="str">
        <f t="shared" si="194"/>
        <v/>
      </c>
      <c r="HG789" s="2579" t="str">
        <f t="shared" si="195"/>
        <v/>
      </c>
      <c r="HH789" s="2579" t="str">
        <f t="shared" si="196"/>
        <v/>
      </c>
      <c r="HI789" s="2579" t="str">
        <f t="shared" si="197"/>
        <v/>
      </c>
      <c r="HJ789" s="2579" t="str">
        <f t="shared" si="198"/>
        <v/>
      </c>
      <c r="HK789" s="2579" t="str">
        <f t="shared" si="199"/>
        <v/>
      </c>
      <c r="HL789" s="2579" t="str">
        <f t="shared" si="200"/>
        <v/>
      </c>
      <c r="HM789" s="2579" t="str">
        <f t="shared" si="201"/>
        <v/>
      </c>
      <c r="HN789" s="2579" t="str">
        <f t="shared" si="202"/>
        <v/>
      </c>
      <c r="HO789" s="2579" t="str">
        <f t="shared" si="203"/>
        <v/>
      </c>
      <c r="HP789" s="2579" t="str">
        <f t="shared" si="204"/>
        <v/>
      </c>
      <c r="HQ789" s="2579" t="str">
        <f t="shared" si="205"/>
        <v/>
      </c>
      <c r="HR789" s="2579" t="str">
        <f t="shared" si="206"/>
        <v/>
      </c>
      <c r="HS789" s="2579" t="str">
        <f t="shared" si="207"/>
        <v/>
      </c>
      <c r="HT789" s="2579" t="str">
        <f t="shared" si="208"/>
        <v/>
      </c>
      <c r="HU789" s="2579" t="str">
        <f t="shared" si="209"/>
        <v/>
      </c>
      <c r="HV789" s="2579" t="str">
        <f t="shared" si="210"/>
        <v/>
      </c>
      <c r="HW789" s="2579" t="str">
        <f t="shared" si="211"/>
        <v/>
      </c>
      <c r="HX789" s="2579" t="str">
        <f t="shared" si="212"/>
        <v/>
      </c>
      <c r="HY789" s="2579" t="str">
        <f t="shared" si="213"/>
        <v/>
      </c>
      <c r="HZ789" s="2579" t="str">
        <f t="shared" si="214"/>
        <v/>
      </c>
      <c r="IA789" s="2579" t="str">
        <f t="shared" si="215"/>
        <v/>
      </c>
      <c r="IB789" s="2579" t="str">
        <f t="shared" si="216"/>
        <v/>
      </c>
      <c r="IC789" s="2579" t="str">
        <f t="shared" si="217"/>
        <v/>
      </c>
      <c r="ID789" s="2551" t="str">
        <f t="shared" si="218"/>
        <v/>
      </c>
      <c r="IE789" s="2551" t="str">
        <f t="shared" si="219"/>
        <v/>
      </c>
      <c r="IF789" s="2551" t="str">
        <f t="shared" si="220"/>
        <v/>
      </c>
      <c r="IG789" s="2551" t="str">
        <f t="shared" si="221"/>
        <v/>
      </c>
      <c r="IH789" s="2551"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2549">
        <f t="shared" si="243"/>
        <v>0</v>
      </c>
      <c r="JD789" s="2549">
        <f t="shared" si="244"/>
        <v>0</v>
      </c>
      <c r="JE789" s="2549">
        <f t="shared" si="245"/>
        <v>0</v>
      </c>
      <c r="JF789" s="2549">
        <f t="shared" si="246"/>
        <v>0</v>
      </c>
      <c r="JG789" s="2549">
        <f t="shared" si="247"/>
        <v>0</v>
      </c>
      <c r="JH789" s="2549">
        <f t="shared" si="248"/>
        <v>0</v>
      </c>
      <c r="JI789" s="2549">
        <f t="shared" si="249"/>
        <v>0</v>
      </c>
      <c r="JJ789" s="2549">
        <f t="shared" si="250"/>
        <v>0</v>
      </c>
      <c r="JK789" s="2549">
        <f t="shared" si="251"/>
        <v>0</v>
      </c>
      <c r="JL789" s="2549">
        <f t="shared" si="252"/>
        <v>0</v>
      </c>
      <c r="JM789" s="2549">
        <f t="shared" si="253"/>
        <v>0</v>
      </c>
      <c r="JN789" s="2549">
        <f t="shared" si="254"/>
        <v>0</v>
      </c>
      <c r="JO789" s="2549">
        <f t="shared" si="255"/>
        <v>0</v>
      </c>
      <c r="JP789" s="2549">
        <f t="shared" si="256"/>
        <v>0</v>
      </c>
      <c r="JQ789" s="2549">
        <f t="shared" si="257"/>
        <v>0</v>
      </c>
    </row>
    <row r="790" spans="1:277" ht="12" customHeight="1">
      <c r="A790" s="2562" t="str">
        <f t="shared" si="0"/>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1"/>
        <v>0</v>
      </c>
      <c r="L790" s="2576">
        <f t="shared" si="2"/>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2579" t="str">
        <f t="shared" si="133"/>
        <v/>
      </c>
      <c r="EX790" s="2579" t="str">
        <f t="shared" si="134"/>
        <v/>
      </c>
      <c r="EY790" s="2579" t="str">
        <f t="shared" si="135"/>
        <v/>
      </c>
      <c r="EZ790" s="2579" t="str">
        <f t="shared" si="136"/>
        <v/>
      </c>
      <c r="FA790" s="2579" t="str">
        <f t="shared" si="137"/>
        <v/>
      </c>
      <c r="FB790" s="2579" t="str">
        <f t="shared" si="138"/>
        <v/>
      </c>
      <c r="FC790" s="2579" t="str">
        <f t="shared" si="139"/>
        <v/>
      </c>
      <c r="FD790" s="2579" t="str">
        <f t="shared" si="140"/>
        <v/>
      </c>
      <c r="FE790" s="2579" t="str">
        <f t="shared" si="141"/>
        <v/>
      </c>
      <c r="FF790" s="2579" t="str">
        <f t="shared" si="142"/>
        <v/>
      </c>
      <c r="FG790" s="2579" t="str">
        <f t="shared" si="143"/>
        <v/>
      </c>
      <c r="FH790" s="2579" t="str">
        <f t="shared" si="144"/>
        <v/>
      </c>
      <c r="FI790" s="2579" t="str">
        <f t="shared" si="145"/>
        <v/>
      </c>
      <c r="FJ790" s="2579" t="str">
        <f t="shared" si="146"/>
        <v/>
      </c>
      <c r="FK790" s="2579" t="str">
        <f t="shared" si="147"/>
        <v/>
      </c>
      <c r="FL790" s="2579" t="str">
        <f t="shared" si="148"/>
        <v/>
      </c>
      <c r="FM790" s="2579" t="str">
        <f t="shared" si="149"/>
        <v/>
      </c>
      <c r="FN790" s="2579" t="str">
        <f t="shared" si="150"/>
        <v/>
      </c>
      <c r="FO790" s="2579" t="str">
        <f t="shared" si="151"/>
        <v/>
      </c>
      <c r="FP790" s="2579" t="str">
        <f t="shared" si="152"/>
        <v/>
      </c>
      <c r="FQ790" s="2579" t="str">
        <f t="shared" si="153"/>
        <v/>
      </c>
      <c r="FR790" s="2579" t="str">
        <f t="shared" si="154"/>
        <v/>
      </c>
      <c r="FS790" s="2579" t="str">
        <f t="shared" si="155"/>
        <v/>
      </c>
      <c r="FT790" s="2579" t="str">
        <f t="shared" si="156"/>
        <v/>
      </c>
      <c r="FU790" s="2579" t="str">
        <f t="shared" si="157"/>
        <v/>
      </c>
      <c r="FV790" s="2579" t="str">
        <f t="shared" si="158"/>
        <v/>
      </c>
      <c r="FW790" s="2579" t="str">
        <f t="shared" si="159"/>
        <v/>
      </c>
      <c r="FX790" s="2579" t="str">
        <f t="shared" si="160"/>
        <v/>
      </c>
      <c r="FY790" s="2579" t="str">
        <f t="shared" si="161"/>
        <v/>
      </c>
      <c r="FZ790" s="2579" t="str">
        <f t="shared" si="162"/>
        <v/>
      </c>
      <c r="GA790" s="2579" t="str">
        <f t="shared" si="163"/>
        <v/>
      </c>
      <c r="GB790" s="2579" t="str">
        <f t="shared" si="164"/>
        <v/>
      </c>
      <c r="GC790" s="2579" t="str">
        <f t="shared" si="165"/>
        <v/>
      </c>
      <c r="GD790" s="2579" t="str">
        <f t="shared" si="166"/>
        <v/>
      </c>
      <c r="GE790" s="2579" t="str">
        <f t="shared" si="167"/>
        <v/>
      </c>
      <c r="GF790" s="2579" t="str">
        <f t="shared" si="168"/>
        <v/>
      </c>
      <c r="GG790" s="2579" t="str">
        <f t="shared" si="169"/>
        <v/>
      </c>
      <c r="GH790" s="2579" t="str">
        <f t="shared" si="170"/>
        <v/>
      </c>
      <c r="GI790" s="2579" t="str">
        <f t="shared" si="171"/>
        <v/>
      </c>
      <c r="GJ790" s="2579" t="str">
        <f t="shared" si="172"/>
        <v/>
      </c>
      <c r="GK790" s="2579" t="str">
        <f t="shared" si="173"/>
        <v/>
      </c>
      <c r="GL790" s="2579" t="str">
        <f t="shared" si="174"/>
        <v/>
      </c>
      <c r="GM790" s="2579" t="str">
        <f t="shared" si="175"/>
        <v/>
      </c>
      <c r="GN790" s="2579" t="str">
        <f t="shared" si="176"/>
        <v/>
      </c>
      <c r="GO790" s="2579" t="str">
        <f t="shared" si="177"/>
        <v/>
      </c>
      <c r="GP790" s="2579" t="str">
        <f t="shared" si="178"/>
        <v/>
      </c>
      <c r="GQ790" s="2579" t="str">
        <f t="shared" si="179"/>
        <v/>
      </c>
      <c r="GR790" s="2579" t="str">
        <f t="shared" si="180"/>
        <v/>
      </c>
      <c r="GS790" s="2579" t="str">
        <f t="shared" si="181"/>
        <v/>
      </c>
      <c r="GT790" s="2579" t="str">
        <f t="shared" si="182"/>
        <v/>
      </c>
      <c r="GU790" s="2579" t="str">
        <f t="shared" si="183"/>
        <v/>
      </c>
      <c r="GV790" s="2579" t="str">
        <f t="shared" si="184"/>
        <v/>
      </c>
      <c r="GW790" s="2579" t="str">
        <f t="shared" si="185"/>
        <v/>
      </c>
      <c r="GX790" s="2579" t="str">
        <f t="shared" si="186"/>
        <v/>
      </c>
      <c r="GY790" s="2579" t="str">
        <f t="shared" si="187"/>
        <v/>
      </c>
      <c r="GZ790" s="2579" t="str">
        <f t="shared" si="188"/>
        <v/>
      </c>
      <c r="HA790" s="2579" t="str">
        <f t="shared" si="189"/>
        <v/>
      </c>
      <c r="HB790" s="2579" t="str">
        <f t="shared" si="190"/>
        <v/>
      </c>
      <c r="HC790" s="2579" t="str">
        <f t="shared" si="191"/>
        <v/>
      </c>
      <c r="HD790" s="2579" t="str">
        <f t="shared" si="192"/>
        <v/>
      </c>
      <c r="HE790" s="2579" t="str">
        <f t="shared" si="193"/>
        <v/>
      </c>
      <c r="HF790" s="2579" t="str">
        <f t="shared" si="194"/>
        <v/>
      </c>
      <c r="HG790" s="2579" t="str">
        <f t="shared" si="195"/>
        <v/>
      </c>
      <c r="HH790" s="2579" t="str">
        <f t="shared" si="196"/>
        <v/>
      </c>
      <c r="HI790" s="2579" t="str">
        <f t="shared" si="197"/>
        <v/>
      </c>
      <c r="HJ790" s="2579" t="str">
        <f t="shared" si="198"/>
        <v/>
      </c>
      <c r="HK790" s="2579" t="str">
        <f t="shared" si="199"/>
        <v/>
      </c>
      <c r="HL790" s="2579" t="str">
        <f t="shared" si="200"/>
        <v/>
      </c>
      <c r="HM790" s="2579" t="str">
        <f t="shared" si="201"/>
        <v/>
      </c>
      <c r="HN790" s="2579" t="str">
        <f t="shared" si="202"/>
        <v/>
      </c>
      <c r="HO790" s="2579" t="str">
        <f t="shared" si="203"/>
        <v/>
      </c>
      <c r="HP790" s="2579" t="str">
        <f t="shared" si="204"/>
        <v/>
      </c>
      <c r="HQ790" s="2579" t="str">
        <f t="shared" si="205"/>
        <v/>
      </c>
      <c r="HR790" s="2579" t="str">
        <f t="shared" si="206"/>
        <v/>
      </c>
      <c r="HS790" s="2579" t="str">
        <f t="shared" si="207"/>
        <v/>
      </c>
      <c r="HT790" s="2579" t="str">
        <f t="shared" si="208"/>
        <v/>
      </c>
      <c r="HU790" s="2579" t="str">
        <f t="shared" si="209"/>
        <v/>
      </c>
      <c r="HV790" s="2579" t="str">
        <f t="shared" si="210"/>
        <v/>
      </c>
      <c r="HW790" s="2579" t="str">
        <f t="shared" si="211"/>
        <v/>
      </c>
      <c r="HX790" s="2579" t="str">
        <f t="shared" si="212"/>
        <v/>
      </c>
      <c r="HY790" s="2579" t="str">
        <f t="shared" si="213"/>
        <v/>
      </c>
      <c r="HZ790" s="2579" t="str">
        <f t="shared" si="214"/>
        <v/>
      </c>
      <c r="IA790" s="2579" t="str">
        <f t="shared" si="215"/>
        <v/>
      </c>
      <c r="IB790" s="2579" t="str">
        <f t="shared" si="216"/>
        <v/>
      </c>
      <c r="IC790" s="2579" t="str">
        <f t="shared" si="217"/>
        <v/>
      </c>
      <c r="ID790" s="2551" t="str">
        <f t="shared" si="218"/>
        <v/>
      </c>
      <c r="IE790" s="2551" t="str">
        <f t="shared" si="219"/>
        <v/>
      </c>
      <c r="IF790" s="2551" t="str">
        <f t="shared" si="220"/>
        <v/>
      </c>
      <c r="IG790" s="2551" t="str">
        <f t="shared" si="221"/>
        <v/>
      </c>
      <c r="IH790" s="2551"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2549">
        <f t="shared" si="243"/>
        <v>0</v>
      </c>
      <c r="JD790" s="2549">
        <f t="shared" si="244"/>
        <v>0</v>
      </c>
      <c r="JE790" s="2549">
        <f t="shared" si="245"/>
        <v>0</v>
      </c>
      <c r="JF790" s="2549">
        <f t="shared" si="246"/>
        <v>0</v>
      </c>
      <c r="JG790" s="2549">
        <f t="shared" si="247"/>
        <v>0</v>
      </c>
      <c r="JH790" s="2549">
        <f t="shared" si="248"/>
        <v>0</v>
      </c>
      <c r="JI790" s="2549">
        <f t="shared" si="249"/>
        <v>0</v>
      </c>
      <c r="JJ790" s="2549">
        <f t="shared" si="250"/>
        <v>0</v>
      </c>
      <c r="JK790" s="2549">
        <f t="shared" si="251"/>
        <v>0</v>
      </c>
      <c r="JL790" s="2549">
        <f t="shared" si="252"/>
        <v>0</v>
      </c>
      <c r="JM790" s="2549">
        <f t="shared" si="253"/>
        <v>0</v>
      </c>
      <c r="JN790" s="2549">
        <f t="shared" si="254"/>
        <v>0</v>
      </c>
      <c r="JO790" s="2549">
        <f t="shared" si="255"/>
        <v>0</v>
      </c>
      <c r="JP790" s="2549">
        <f t="shared" si="256"/>
        <v>0</v>
      </c>
      <c r="JQ790" s="2549">
        <f t="shared" si="257"/>
        <v>0</v>
      </c>
    </row>
    <row r="791" spans="1:277" ht="12" customHeight="1">
      <c r="A791" s="2562" t="str">
        <f t="shared" si="0"/>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1"/>
        <v>0</v>
      </c>
      <c r="L791" s="2576">
        <f t="shared" si="2"/>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2579" t="str">
        <f t="shared" si="133"/>
        <v/>
      </c>
      <c r="EX791" s="2579" t="str">
        <f t="shared" si="134"/>
        <v/>
      </c>
      <c r="EY791" s="2579" t="str">
        <f t="shared" si="135"/>
        <v/>
      </c>
      <c r="EZ791" s="2579" t="str">
        <f t="shared" si="136"/>
        <v/>
      </c>
      <c r="FA791" s="2579" t="str">
        <f t="shared" si="137"/>
        <v/>
      </c>
      <c r="FB791" s="2579" t="str">
        <f t="shared" si="138"/>
        <v/>
      </c>
      <c r="FC791" s="2579" t="str">
        <f t="shared" si="139"/>
        <v/>
      </c>
      <c r="FD791" s="2579" t="str">
        <f t="shared" si="140"/>
        <v/>
      </c>
      <c r="FE791" s="2579" t="str">
        <f t="shared" si="141"/>
        <v/>
      </c>
      <c r="FF791" s="2579" t="str">
        <f t="shared" si="142"/>
        <v/>
      </c>
      <c r="FG791" s="2579" t="str">
        <f t="shared" si="143"/>
        <v/>
      </c>
      <c r="FH791" s="2579" t="str">
        <f t="shared" si="144"/>
        <v/>
      </c>
      <c r="FI791" s="2579" t="str">
        <f t="shared" si="145"/>
        <v/>
      </c>
      <c r="FJ791" s="2579" t="str">
        <f t="shared" si="146"/>
        <v/>
      </c>
      <c r="FK791" s="2579" t="str">
        <f t="shared" si="147"/>
        <v/>
      </c>
      <c r="FL791" s="2579" t="str">
        <f t="shared" si="148"/>
        <v/>
      </c>
      <c r="FM791" s="2579" t="str">
        <f t="shared" si="149"/>
        <v/>
      </c>
      <c r="FN791" s="2579" t="str">
        <f t="shared" si="150"/>
        <v/>
      </c>
      <c r="FO791" s="2579" t="str">
        <f t="shared" si="151"/>
        <v/>
      </c>
      <c r="FP791" s="2579" t="str">
        <f t="shared" si="152"/>
        <v/>
      </c>
      <c r="FQ791" s="2579" t="str">
        <f t="shared" si="153"/>
        <v/>
      </c>
      <c r="FR791" s="2579" t="str">
        <f t="shared" si="154"/>
        <v/>
      </c>
      <c r="FS791" s="2579" t="str">
        <f t="shared" si="155"/>
        <v/>
      </c>
      <c r="FT791" s="2579" t="str">
        <f t="shared" si="156"/>
        <v/>
      </c>
      <c r="FU791" s="2579" t="str">
        <f t="shared" si="157"/>
        <v/>
      </c>
      <c r="FV791" s="2579" t="str">
        <f t="shared" si="158"/>
        <v/>
      </c>
      <c r="FW791" s="2579" t="str">
        <f t="shared" si="159"/>
        <v/>
      </c>
      <c r="FX791" s="2579" t="str">
        <f t="shared" si="160"/>
        <v/>
      </c>
      <c r="FY791" s="2579" t="str">
        <f t="shared" si="161"/>
        <v/>
      </c>
      <c r="FZ791" s="2579" t="str">
        <f t="shared" si="162"/>
        <v/>
      </c>
      <c r="GA791" s="2579" t="str">
        <f t="shared" si="163"/>
        <v/>
      </c>
      <c r="GB791" s="2579" t="str">
        <f t="shared" si="164"/>
        <v/>
      </c>
      <c r="GC791" s="2579" t="str">
        <f t="shared" si="165"/>
        <v/>
      </c>
      <c r="GD791" s="2579" t="str">
        <f t="shared" si="166"/>
        <v/>
      </c>
      <c r="GE791" s="2579" t="str">
        <f t="shared" si="167"/>
        <v/>
      </c>
      <c r="GF791" s="2579" t="str">
        <f t="shared" si="168"/>
        <v/>
      </c>
      <c r="GG791" s="2579" t="str">
        <f t="shared" si="169"/>
        <v/>
      </c>
      <c r="GH791" s="2579" t="str">
        <f t="shared" si="170"/>
        <v/>
      </c>
      <c r="GI791" s="2579" t="str">
        <f t="shared" si="171"/>
        <v/>
      </c>
      <c r="GJ791" s="2579" t="str">
        <f t="shared" si="172"/>
        <v/>
      </c>
      <c r="GK791" s="2579" t="str">
        <f t="shared" si="173"/>
        <v/>
      </c>
      <c r="GL791" s="2579" t="str">
        <f t="shared" si="174"/>
        <v/>
      </c>
      <c r="GM791" s="2579" t="str">
        <f t="shared" si="175"/>
        <v/>
      </c>
      <c r="GN791" s="2579" t="str">
        <f t="shared" si="176"/>
        <v/>
      </c>
      <c r="GO791" s="2579" t="str">
        <f t="shared" si="177"/>
        <v/>
      </c>
      <c r="GP791" s="2579" t="str">
        <f t="shared" si="178"/>
        <v/>
      </c>
      <c r="GQ791" s="2579" t="str">
        <f t="shared" si="179"/>
        <v/>
      </c>
      <c r="GR791" s="2579" t="str">
        <f t="shared" si="180"/>
        <v/>
      </c>
      <c r="GS791" s="2579" t="str">
        <f t="shared" si="181"/>
        <v/>
      </c>
      <c r="GT791" s="2579" t="str">
        <f t="shared" si="182"/>
        <v/>
      </c>
      <c r="GU791" s="2579" t="str">
        <f t="shared" si="183"/>
        <v/>
      </c>
      <c r="GV791" s="2579" t="str">
        <f t="shared" si="184"/>
        <v/>
      </c>
      <c r="GW791" s="2579" t="str">
        <f t="shared" si="185"/>
        <v/>
      </c>
      <c r="GX791" s="2579" t="str">
        <f t="shared" si="186"/>
        <v/>
      </c>
      <c r="GY791" s="2579" t="str">
        <f t="shared" si="187"/>
        <v/>
      </c>
      <c r="GZ791" s="2579" t="str">
        <f t="shared" si="188"/>
        <v/>
      </c>
      <c r="HA791" s="2579" t="str">
        <f t="shared" si="189"/>
        <v/>
      </c>
      <c r="HB791" s="2579" t="str">
        <f t="shared" si="190"/>
        <v/>
      </c>
      <c r="HC791" s="2579" t="str">
        <f t="shared" si="191"/>
        <v/>
      </c>
      <c r="HD791" s="2579" t="str">
        <f t="shared" si="192"/>
        <v/>
      </c>
      <c r="HE791" s="2579" t="str">
        <f t="shared" si="193"/>
        <v/>
      </c>
      <c r="HF791" s="2579" t="str">
        <f t="shared" si="194"/>
        <v/>
      </c>
      <c r="HG791" s="2579" t="str">
        <f t="shared" si="195"/>
        <v/>
      </c>
      <c r="HH791" s="2579" t="str">
        <f t="shared" si="196"/>
        <v/>
      </c>
      <c r="HI791" s="2579" t="str">
        <f t="shared" si="197"/>
        <v/>
      </c>
      <c r="HJ791" s="2579" t="str">
        <f t="shared" si="198"/>
        <v/>
      </c>
      <c r="HK791" s="2579" t="str">
        <f t="shared" si="199"/>
        <v/>
      </c>
      <c r="HL791" s="2579" t="str">
        <f t="shared" si="200"/>
        <v/>
      </c>
      <c r="HM791" s="2579" t="str">
        <f t="shared" si="201"/>
        <v/>
      </c>
      <c r="HN791" s="2579" t="str">
        <f t="shared" si="202"/>
        <v/>
      </c>
      <c r="HO791" s="2579" t="str">
        <f t="shared" si="203"/>
        <v/>
      </c>
      <c r="HP791" s="2579" t="str">
        <f t="shared" si="204"/>
        <v/>
      </c>
      <c r="HQ791" s="2579" t="str">
        <f t="shared" si="205"/>
        <v/>
      </c>
      <c r="HR791" s="2579" t="str">
        <f t="shared" si="206"/>
        <v/>
      </c>
      <c r="HS791" s="2579" t="str">
        <f t="shared" si="207"/>
        <v/>
      </c>
      <c r="HT791" s="2579" t="str">
        <f t="shared" si="208"/>
        <v/>
      </c>
      <c r="HU791" s="2579" t="str">
        <f t="shared" si="209"/>
        <v/>
      </c>
      <c r="HV791" s="2579" t="str">
        <f t="shared" si="210"/>
        <v/>
      </c>
      <c r="HW791" s="2579" t="str">
        <f t="shared" si="211"/>
        <v/>
      </c>
      <c r="HX791" s="2579" t="str">
        <f t="shared" si="212"/>
        <v/>
      </c>
      <c r="HY791" s="2579" t="str">
        <f t="shared" si="213"/>
        <v/>
      </c>
      <c r="HZ791" s="2579" t="str">
        <f t="shared" si="214"/>
        <v/>
      </c>
      <c r="IA791" s="2579" t="str">
        <f t="shared" si="215"/>
        <v/>
      </c>
      <c r="IB791" s="2579" t="str">
        <f t="shared" si="216"/>
        <v/>
      </c>
      <c r="IC791" s="2579" t="str">
        <f t="shared" si="217"/>
        <v/>
      </c>
      <c r="ID791" s="2551" t="str">
        <f t="shared" si="218"/>
        <v/>
      </c>
      <c r="IE791" s="2551" t="str">
        <f t="shared" si="219"/>
        <v/>
      </c>
      <c r="IF791" s="2551" t="str">
        <f t="shared" si="220"/>
        <v/>
      </c>
      <c r="IG791" s="2551" t="str">
        <f t="shared" si="221"/>
        <v/>
      </c>
      <c r="IH791" s="2551"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2549">
        <f t="shared" si="243"/>
        <v>0</v>
      </c>
      <c r="JD791" s="2549">
        <f t="shared" si="244"/>
        <v>0</v>
      </c>
      <c r="JE791" s="2549">
        <f t="shared" si="245"/>
        <v>0</v>
      </c>
      <c r="JF791" s="2549">
        <f t="shared" si="246"/>
        <v>0</v>
      </c>
      <c r="JG791" s="2549">
        <f t="shared" si="247"/>
        <v>0</v>
      </c>
      <c r="JH791" s="2549">
        <f t="shared" si="248"/>
        <v>0</v>
      </c>
      <c r="JI791" s="2549">
        <f t="shared" si="249"/>
        <v>0</v>
      </c>
      <c r="JJ791" s="2549">
        <f t="shared" si="250"/>
        <v>0</v>
      </c>
      <c r="JK791" s="2549">
        <f t="shared" si="251"/>
        <v>0</v>
      </c>
      <c r="JL791" s="2549">
        <f t="shared" si="252"/>
        <v>0</v>
      </c>
      <c r="JM791" s="2549">
        <f t="shared" si="253"/>
        <v>0</v>
      </c>
      <c r="JN791" s="2549">
        <f t="shared" si="254"/>
        <v>0</v>
      </c>
      <c r="JO791" s="2549">
        <f t="shared" si="255"/>
        <v>0</v>
      </c>
      <c r="JP791" s="2549">
        <f t="shared" si="256"/>
        <v>0</v>
      </c>
      <c r="JQ791" s="2549">
        <f t="shared" si="257"/>
        <v>0</v>
      </c>
    </row>
    <row r="792" spans="1:277" ht="12" customHeight="1">
      <c r="A792" s="2562" t="str">
        <f t="shared" si="0"/>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1"/>
        <v>0</v>
      </c>
      <c r="L792" s="2576">
        <f t="shared" si="2"/>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2579" t="str">
        <f t="shared" si="133"/>
        <v/>
      </c>
      <c r="EX792" s="2579" t="str">
        <f t="shared" si="134"/>
        <v/>
      </c>
      <c r="EY792" s="2579" t="str">
        <f t="shared" si="135"/>
        <v/>
      </c>
      <c r="EZ792" s="2579" t="str">
        <f t="shared" si="136"/>
        <v/>
      </c>
      <c r="FA792" s="2579" t="str">
        <f t="shared" si="137"/>
        <v/>
      </c>
      <c r="FB792" s="2579" t="str">
        <f t="shared" si="138"/>
        <v/>
      </c>
      <c r="FC792" s="2579" t="str">
        <f t="shared" si="139"/>
        <v/>
      </c>
      <c r="FD792" s="2579" t="str">
        <f t="shared" si="140"/>
        <v/>
      </c>
      <c r="FE792" s="2579" t="str">
        <f t="shared" si="141"/>
        <v/>
      </c>
      <c r="FF792" s="2579" t="str">
        <f t="shared" si="142"/>
        <v/>
      </c>
      <c r="FG792" s="2579" t="str">
        <f t="shared" si="143"/>
        <v/>
      </c>
      <c r="FH792" s="2579" t="str">
        <f t="shared" si="144"/>
        <v/>
      </c>
      <c r="FI792" s="2579" t="str">
        <f t="shared" si="145"/>
        <v/>
      </c>
      <c r="FJ792" s="2579" t="str">
        <f t="shared" si="146"/>
        <v/>
      </c>
      <c r="FK792" s="2579" t="str">
        <f t="shared" si="147"/>
        <v/>
      </c>
      <c r="FL792" s="2579" t="str">
        <f t="shared" si="148"/>
        <v/>
      </c>
      <c r="FM792" s="2579" t="str">
        <f t="shared" si="149"/>
        <v/>
      </c>
      <c r="FN792" s="2579" t="str">
        <f t="shared" si="150"/>
        <v/>
      </c>
      <c r="FO792" s="2579" t="str">
        <f t="shared" si="151"/>
        <v/>
      </c>
      <c r="FP792" s="2579" t="str">
        <f t="shared" si="152"/>
        <v/>
      </c>
      <c r="FQ792" s="2579" t="str">
        <f t="shared" si="153"/>
        <v/>
      </c>
      <c r="FR792" s="2579" t="str">
        <f t="shared" si="154"/>
        <v/>
      </c>
      <c r="FS792" s="2579" t="str">
        <f t="shared" si="155"/>
        <v/>
      </c>
      <c r="FT792" s="2579" t="str">
        <f t="shared" si="156"/>
        <v/>
      </c>
      <c r="FU792" s="2579" t="str">
        <f t="shared" si="157"/>
        <v/>
      </c>
      <c r="FV792" s="2579" t="str">
        <f t="shared" si="158"/>
        <v/>
      </c>
      <c r="FW792" s="2579" t="str">
        <f t="shared" si="159"/>
        <v/>
      </c>
      <c r="FX792" s="2579" t="str">
        <f t="shared" si="160"/>
        <v/>
      </c>
      <c r="FY792" s="2579" t="str">
        <f t="shared" si="161"/>
        <v/>
      </c>
      <c r="FZ792" s="2579" t="str">
        <f t="shared" si="162"/>
        <v/>
      </c>
      <c r="GA792" s="2579" t="str">
        <f t="shared" si="163"/>
        <v/>
      </c>
      <c r="GB792" s="2579" t="str">
        <f t="shared" si="164"/>
        <v/>
      </c>
      <c r="GC792" s="2579" t="str">
        <f t="shared" si="165"/>
        <v/>
      </c>
      <c r="GD792" s="2579" t="str">
        <f t="shared" si="166"/>
        <v/>
      </c>
      <c r="GE792" s="2579" t="str">
        <f t="shared" si="167"/>
        <v/>
      </c>
      <c r="GF792" s="2579" t="str">
        <f t="shared" si="168"/>
        <v/>
      </c>
      <c r="GG792" s="2579" t="str">
        <f t="shared" si="169"/>
        <v/>
      </c>
      <c r="GH792" s="2579" t="str">
        <f t="shared" si="170"/>
        <v/>
      </c>
      <c r="GI792" s="2579" t="str">
        <f t="shared" si="171"/>
        <v/>
      </c>
      <c r="GJ792" s="2579" t="str">
        <f t="shared" si="172"/>
        <v/>
      </c>
      <c r="GK792" s="2579" t="str">
        <f t="shared" si="173"/>
        <v/>
      </c>
      <c r="GL792" s="2579" t="str">
        <f t="shared" si="174"/>
        <v/>
      </c>
      <c r="GM792" s="2579" t="str">
        <f t="shared" si="175"/>
        <v/>
      </c>
      <c r="GN792" s="2579" t="str">
        <f t="shared" si="176"/>
        <v/>
      </c>
      <c r="GO792" s="2579" t="str">
        <f t="shared" si="177"/>
        <v/>
      </c>
      <c r="GP792" s="2579" t="str">
        <f t="shared" si="178"/>
        <v/>
      </c>
      <c r="GQ792" s="2579" t="str">
        <f t="shared" si="179"/>
        <v/>
      </c>
      <c r="GR792" s="2579" t="str">
        <f t="shared" si="180"/>
        <v/>
      </c>
      <c r="GS792" s="2579" t="str">
        <f t="shared" si="181"/>
        <v/>
      </c>
      <c r="GT792" s="2579" t="str">
        <f t="shared" si="182"/>
        <v/>
      </c>
      <c r="GU792" s="2579" t="str">
        <f t="shared" si="183"/>
        <v/>
      </c>
      <c r="GV792" s="2579" t="str">
        <f t="shared" si="184"/>
        <v/>
      </c>
      <c r="GW792" s="2579" t="str">
        <f t="shared" si="185"/>
        <v/>
      </c>
      <c r="GX792" s="2579" t="str">
        <f t="shared" si="186"/>
        <v/>
      </c>
      <c r="GY792" s="2579" t="str">
        <f t="shared" si="187"/>
        <v/>
      </c>
      <c r="GZ792" s="2579" t="str">
        <f t="shared" si="188"/>
        <v/>
      </c>
      <c r="HA792" s="2579" t="str">
        <f t="shared" si="189"/>
        <v/>
      </c>
      <c r="HB792" s="2579" t="str">
        <f t="shared" si="190"/>
        <v/>
      </c>
      <c r="HC792" s="2579" t="str">
        <f t="shared" si="191"/>
        <v/>
      </c>
      <c r="HD792" s="2579" t="str">
        <f t="shared" si="192"/>
        <v/>
      </c>
      <c r="HE792" s="2579" t="str">
        <f t="shared" si="193"/>
        <v/>
      </c>
      <c r="HF792" s="2579" t="str">
        <f t="shared" si="194"/>
        <v/>
      </c>
      <c r="HG792" s="2579" t="str">
        <f t="shared" si="195"/>
        <v/>
      </c>
      <c r="HH792" s="2579" t="str">
        <f t="shared" si="196"/>
        <v/>
      </c>
      <c r="HI792" s="2579" t="str">
        <f t="shared" si="197"/>
        <v/>
      </c>
      <c r="HJ792" s="2579" t="str">
        <f t="shared" si="198"/>
        <v/>
      </c>
      <c r="HK792" s="2579" t="str">
        <f t="shared" si="199"/>
        <v/>
      </c>
      <c r="HL792" s="2579" t="str">
        <f t="shared" si="200"/>
        <v/>
      </c>
      <c r="HM792" s="2579" t="str">
        <f t="shared" si="201"/>
        <v/>
      </c>
      <c r="HN792" s="2579" t="str">
        <f t="shared" si="202"/>
        <v/>
      </c>
      <c r="HO792" s="2579" t="str">
        <f t="shared" si="203"/>
        <v/>
      </c>
      <c r="HP792" s="2579" t="str">
        <f t="shared" si="204"/>
        <v/>
      </c>
      <c r="HQ792" s="2579" t="str">
        <f t="shared" si="205"/>
        <v/>
      </c>
      <c r="HR792" s="2579" t="str">
        <f t="shared" si="206"/>
        <v/>
      </c>
      <c r="HS792" s="2579" t="str">
        <f t="shared" si="207"/>
        <v/>
      </c>
      <c r="HT792" s="2579" t="str">
        <f t="shared" si="208"/>
        <v/>
      </c>
      <c r="HU792" s="2579" t="str">
        <f t="shared" si="209"/>
        <v/>
      </c>
      <c r="HV792" s="2579" t="str">
        <f t="shared" si="210"/>
        <v/>
      </c>
      <c r="HW792" s="2579" t="str">
        <f t="shared" si="211"/>
        <v/>
      </c>
      <c r="HX792" s="2579" t="str">
        <f t="shared" si="212"/>
        <v/>
      </c>
      <c r="HY792" s="2579" t="str">
        <f t="shared" si="213"/>
        <v/>
      </c>
      <c r="HZ792" s="2579" t="str">
        <f t="shared" si="214"/>
        <v/>
      </c>
      <c r="IA792" s="2579" t="str">
        <f t="shared" si="215"/>
        <v/>
      </c>
      <c r="IB792" s="2579" t="str">
        <f t="shared" si="216"/>
        <v/>
      </c>
      <c r="IC792" s="2579" t="str">
        <f t="shared" si="217"/>
        <v/>
      </c>
      <c r="ID792" s="2551" t="str">
        <f t="shared" si="218"/>
        <v/>
      </c>
      <c r="IE792" s="2551" t="str">
        <f t="shared" si="219"/>
        <v/>
      </c>
      <c r="IF792" s="2551" t="str">
        <f t="shared" si="220"/>
        <v/>
      </c>
      <c r="IG792" s="2551" t="str">
        <f t="shared" si="221"/>
        <v/>
      </c>
      <c r="IH792" s="2551"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2549">
        <f t="shared" si="243"/>
        <v>0</v>
      </c>
      <c r="JD792" s="2549">
        <f t="shared" si="244"/>
        <v>0</v>
      </c>
      <c r="JE792" s="2549">
        <f t="shared" si="245"/>
        <v>0</v>
      </c>
      <c r="JF792" s="2549">
        <f t="shared" si="246"/>
        <v>0</v>
      </c>
      <c r="JG792" s="2549">
        <f t="shared" si="247"/>
        <v>0</v>
      </c>
      <c r="JH792" s="2549">
        <f t="shared" si="248"/>
        <v>0</v>
      </c>
      <c r="JI792" s="2549">
        <f t="shared" si="249"/>
        <v>0</v>
      </c>
      <c r="JJ792" s="2549">
        <f t="shared" si="250"/>
        <v>0</v>
      </c>
      <c r="JK792" s="2549">
        <f t="shared" si="251"/>
        <v>0</v>
      </c>
      <c r="JL792" s="2549">
        <f t="shared" si="252"/>
        <v>0</v>
      </c>
      <c r="JM792" s="2549">
        <f t="shared" si="253"/>
        <v>0</v>
      </c>
      <c r="JN792" s="2549">
        <f t="shared" si="254"/>
        <v>0</v>
      </c>
      <c r="JO792" s="2549">
        <f t="shared" si="255"/>
        <v>0</v>
      </c>
      <c r="JP792" s="2549">
        <f t="shared" si="256"/>
        <v>0</v>
      </c>
      <c r="JQ792" s="2549">
        <f t="shared" si="257"/>
        <v>0</v>
      </c>
    </row>
    <row r="793" spans="1:277" ht="12" customHeight="1">
      <c r="A793" s="2562" t="str">
        <f t="shared" si="0"/>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1"/>
        <v>0</v>
      </c>
      <c r="L793" s="2576">
        <f t="shared" si="2"/>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2579" t="str">
        <f t="shared" si="133"/>
        <v/>
      </c>
      <c r="EX793" s="2579" t="str">
        <f t="shared" si="134"/>
        <v/>
      </c>
      <c r="EY793" s="2579" t="str">
        <f t="shared" si="135"/>
        <v/>
      </c>
      <c r="EZ793" s="2579" t="str">
        <f t="shared" si="136"/>
        <v/>
      </c>
      <c r="FA793" s="2579" t="str">
        <f t="shared" si="137"/>
        <v/>
      </c>
      <c r="FB793" s="2579" t="str">
        <f t="shared" si="138"/>
        <v/>
      </c>
      <c r="FC793" s="2579" t="str">
        <f t="shared" si="139"/>
        <v/>
      </c>
      <c r="FD793" s="2579" t="str">
        <f t="shared" si="140"/>
        <v/>
      </c>
      <c r="FE793" s="2579" t="str">
        <f t="shared" si="141"/>
        <v/>
      </c>
      <c r="FF793" s="2579" t="str">
        <f t="shared" si="142"/>
        <v/>
      </c>
      <c r="FG793" s="2579" t="str">
        <f t="shared" si="143"/>
        <v/>
      </c>
      <c r="FH793" s="2579" t="str">
        <f t="shared" si="144"/>
        <v/>
      </c>
      <c r="FI793" s="2579" t="str">
        <f t="shared" si="145"/>
        <v/>
      </c>
      <c r="FJ793" s="2579" t="str">
        <f t="shared" si="146"/>
        <v/>
      </c>
      <c r="FK793" s="2579" t="str">
        <f t="shared" si="147"/>
        <v/>
      </c>
      <c r="FL793" s="2579" t="str">
        <f t="shared" si="148"/>
        <v/>
      </c>
      <c r="FM793" s="2579" t="str">
        <f t="shared" si="149"/>
        <v/>
      </c>
      <c r="FN793" s="2579" t="str">
        <f t="shared" si="150"/>
        <v/>
      </c>
      <c r="FO793" s="2579" t="str">
        <f t="shared" si="151"/>
        <v/>
      </c>
      <c r="FP793" s="2579" t="str">
        <f t="shared" si="152"/>
        <v/>
      </c>
      <c r="FQ793" s="2579" t="str">
        <f t="shared" si="153"/>
        <v/>
      </c>
      <c r="FR793" s="2579" t="str">
        <f t="shared" si="154"/>
        <v/>
      </c>
      <c r="FS793" s="2579" t="str">
        <f t="shared" si="155"/>
        <v/>
      </c>
      <c r="FT793" s="2579" t="str">
        <f t="shared" si="156"/>
        <v/>
      </c>
      <c r="FU793" s="2579" t="str">
        <f t="shared" si="157"/>
        <v/>
      </c>
      <c r="FV793" s="2579" t="str">
        <f t="shared" si="158"/>
        <v/>
      </c>
      <c r="FW793" s="2579" t="str">
        <f t="shared" si="159"/>
        <v/>
      </c>
      <c r="FX793" s="2579" t="str">
        <f t="shared" si="160"/>
        <v/>
      </c>
      <c r="FY793" s="2579" t="str">
        <f t="shared" si="161"/>
        <v/>
      </c>
      <c r="FZ793" s="2579" t="str">
        <f t="shared" si="162"/>
        <v/>
      </c>
      <c r="GA793" s="2579" t="str">
        <f t="shared" si="163"/>
        <v/>
      </c>
      <c r="GB793" s="2579" t="str">
        <f t="shared" si="164"/>
        <v/>
      </c>
      <c r="GC793" s="2579" t="str">
        <f t="shared" si="165"/>
        <v/>
      </c>
      <c r="GD793" s="2579" t="str">
        <f t="shared" si="166"/>
        <v/>
      </c>
      <c r="GE793" s="2579" t="str">
        <f t="shared" si="167"/>
        <v/>
      </c>
      <c r="GF793" s="2579" t="str">
        <f t="shared" si="168"/>
        <v/>
      </c>
      <c r="GG793" s="2579" t="str">
        <f t="shared" si="169"/>
        <v/>
      </c>
      <c r="GH793" s="2579" t="str">
        <f t="shared" si="170"/>
        <v/>
      </c>
      <c r="GI793" s="2579" t="str">
        <f t="shared" si="171"/>
        <v/>
      </c>
      <c r="GJ793" s="2579" t="str">
        <f t="shared" si="172"/>
        <v/>
      </c>
      <c r="GK793" s="2579" t="str">
        <f t="shared" si="173"/>
        <v/>
      </c>
      <c r="GL793" s="2579" t="str">
        <f t="shared" si="174"/>
        <v/>
      </c>
      <c r="GM793" s="2579" t="str">
        <f t="shared" si="175"/>
        <v/>
      </c>
      <c r="GN793" s="2579" t="str">
        <f t="shared" si="176"/>
        <v/>
      </c>
      <c r="GO793" s="2579" t="str">
        <f t="shared" si="177"/>
        <v/>
      </c>
      <c r="GP793" s="2579" t="str">
        <f t="shared" si="178"/>
        <v/>
      </c>
      <c r="GQ793" s="2579" t="str">
        <f t="shared" si="179"/>
        <v/>
      </c>
      <c r="GR793" s="2579" t="str">
        <f t="shared" si="180"/>
        <v/>
      </c>
      <c r="GS793" s="2579" t="str">
        <f t="shared" si="181"/>
        <v/>
      </c>
      <c r="GT793" s="2579" t="str">
        <f t="shared" si="182"/>
        <v/>
      </c>
      <c r="GU793" s="2579" t="str">
        <f t="shared" si="183"/>
        <v/>
      </c>
      <c r="GV793" s="2579" t="str">
        <f t="shared" si="184"/>
        <v/>
      </c>
      <c r="GW793" s="2579" t="str">
        <f t="shared" si="185"/>
        <v/>
      </c>
      <c r="GX793" s="2579" t="str">
        <f t="shared" si="186"/>
        <v/>
      </c>
      <c r="GY793" s="2579" t="str">
        <f t="shared" si="187"/>
        <v/>
      </c>
      <c r="GZ793" s="2579" t="str">
        <f t="shared" si="188"/>
        <v/>
      </c>
      <c r="HA793" s="2579" t="str">
        <f t="shared" si="189"/>
        <v/>
      </c>
      <c r="HB793" s="2579" t="str">
        <f t="shared" si="190"/>
        <v/>
      </c>
      <c r="HC793" s="2579" t="str">
        <f t="shared" si="191"/>
        <v/>
      </c>
      <c r="HD793" s="2579" t="str">
        <f t="shared" si="192"/>
        <v/>
      </c>
      <c r="HE793" s="2579" t="str">
        <f t="shared" si="193"/>
        <v/>
      </c>
      <c r="HF793" s="2579" t="str">
        <f t="shared" si="194"/>
        <v/>
      </c>
      <c r="HG793" s="2579" t="str">
        <f t="shared" si="195"/>
        <v/>
      </c>
      <c r="HH793" s="2579" t="str">
        <f t="shared" si="196"/>
        <v/>
      </c>
      <c r="HI793" s="2579" t="str">
        <f t="shared" si="197"/>
        <v/>
      </c>
      <c r="HJ793" s="2579" t="str">
        <f t="shared" si="198"/>
        <v/>
      </c>
      <c r="HK793" s="2579" t="str">
        <f t="shared" si="199"/>
        <v/>
      </c>
      <c r="HL793" s="2579" t="str">
        <f t="shared" si="200"/>
        <v/>
      </c>
      <c r="HM793" s="2579" t="str">
        <f t="shared" si="201"/>
        <v/>
      </c>
      <c r="HN793" s="2579" t="str">
        <f t="shared" si="202"/>
        <v/>
      </c>
      <c r="HO793" s="2579" t="str">
        <f t="shared" si="203"/>
        <v/>
      </c>
      <c r="HP793" s="2579" t="str">
        <f t="shared" si="204"/>
        <v/>
      </c>
      <c r="HQ793" s="2579" t="str">
        <f t="shared" si="205"/>
        <v/>
      </c>
      <c r="HR793" s="2579" t="str">
        <f t="shared" si="206"/>
        <v/>
      </c>
      <c r="HS793" s="2579" t="str">
        <f t="shared" si="207"/>
        <v/>
      </c>
      <c r="HT793" s="2579" t="str">
        <f t="shared" si="208"/>
        <v/>
      </c>
      <c r="HU793" s="2579" t="str">
        <f t="shared" si="209"/>
        <v/>
      </c>
      <c r="HV793" s="2579" t="str">
        <f t="shared" si="210"/>
        <v/>
      </c>
      <c r="HW793" s="2579" t="str">
        <f t="shared" si="211"/>
        <v/>
      </c>
      <c r="HX793" s="2579" t="str">
        <f t="shared" si="212"/>
        <v/>
      </c>
      <c r="HY793" s="2579" t="str">
        <f t="shared" si="213"/>
        <v/>
      </c>
      <c r="HZ793" s="2579" t="str">
        <f t="shared" si="214"/>
        <v/>
      </c>
      <c r="IA793" s="2579" t="str">
        <f t="shared" si="215"/>
        <v/>
      </c>
      <c r="IB793" s="2579" t="str">
        <f t="shared" si="216"/>
        <v/>
      </c>
      <c r="IC793" s="2579" t="str">
        <f t="shared" si="217"/>
        <v/>
      </c>
      <c r="ID793" s="2551" t="str">
        <f t="shared" si="218"/>
        <v/>
      </c>
      <c r="IE793" s="2551" t="str">
        <f t="shared" si="219"/>
        <v/>
      </c>
      <c r="IF793" s="2551" t="str">
        <f t="shared" si="220"/>
        <v/>
      </c>
      <c r="IG793" s="2551" t="str">
        <f t="shared" si="221"/>
        <v/>
      </c>
      <c r="IH793" s="2551"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2549">
        <f t="shared" si="243"/>
        <v>0</v>
      </c>
      <c r="JD793" s="2549">
        <f t="shared" si="244"/>
        <v>0</v>
      </c>
      <c r="JE793" s="2549">
        <f t="shared" si="245"/>
        <v>0</v>
      </c>
      <c r="JF793" s="2549">
        <f t="shared" si="246"/>
        <v>0</v>
      </c>
      <c r="JG793" s="2549">
        <f t="shared" si="247"/>
        <v>0</v>
      </c>
      <c r="JH793" s="2549">
        <f t="shared" si="248"/>
        <v>0</v>
      </c>
      <c r="JI793" s="2549">
        <f t="shared" si="249"/>
        <v>0</v>
      </c>
      <c r="JJ793" s="2549">
        <f t="shared" si="250"/>
        <v>0</v>
      </c>
      <c r="JK793" s="2549">
        <f t="shared" si="251"/>
        <v>0</v>
      </c>
      <c r="JL793" s="2549">
        <f t="shared" si="252"/>
        <v>0</v>
      </c>
      <c r="JM793" s="2549">
        <f t="shared" si="253"/>
        <v>0</v>
      </c>
      <c r="JN793" s="2549">
        <f t="shared" si="254"/>
        <v>0</v>
      </c>
      <c r="JO793" s="2549">
        <f t="shared" si="255"/>
        <v>0</v>
      </c>
      <c r="JP793" s="2549">
        <f t="shared" si="256"/>
        <v>0</v>
      </c>
      <c r="JQ793" s="2549">
        <f t="shared" si="257"/>
        <v>0</v>
      </c>
    </row>
    <row r="794" spans="1:277" ht="12" customHeight="1">
      <c r="A794" s="2562" t="str">
        <f t="shared" si="0"/>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1"/>
        <v>0</v>
      </c>
      <c r="L794" s="2576">
        <f t="shared" si="2"/>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2579" t="str">
        <f t="shared" si="133"/>
        <v/>
      </c>
      <c r="EX794" s="2579" t="str">
        <f t="shared" si="134"/>
        <v/>
      </c>
      <c r="EY794" s="2579" t="str">
        <f t="shared" si="135"/>
        <v/>
      </c>
      <c r="EZ794" s="2579" t="str">
        <f t="shared" si="136"/>
        <v/>
      </c>
      <c r="FA794" s="2579" t="str">
        <f t="shared" si="137"/>
        <v/>
      </c>
      <c r="FB794" s="2579" t="str">
        <f t="shared" si="138"/>
        <v/>
      </c>
      <c r="FC794" s="2579" t="str">
        <f t="shared" si="139"/>
        <v/>
      </c>
      <c r="FD794" s="2579" t="str">
        <f t="shared" si="140"/>
        <v/>
      </c>
      <c r="FE794" s="2579" t="str">
        <f t="shared" si="141"/>
        <v/>
      </c>
      <c r="FF794" s="2579" t="str">
        <f t="shared" si="142"/>
        <v/>
      </c>
      <c r="FG794" s="2579" t="str">
        <f t="shared" si="143"/>
        <v/>
      </c>
      <c r="FH794" s="2579" t="str">
        <f t="shared" si="144"/>
        <v/>
      </c>
      <c r="FI794" s="2579" t="str">
        <f t="shared" si="145"/>
        <v/>
      </c>
      <c r="FJ794" s="2579" t="str">
        <f t="shared" si="146"/>
        <v/>
      </c>
      <c r="FK794" s="2579" t="str">
        <f t="shared" si="147"/>
        <v/>
      </c>
      <c r="FL794" s="2579" t="str">
        <f t="shared" si="148"/>
        <v/>
      </c>
      <c r="FM794" s="2579" t="str">
        <f t="shared" si="149"/>
        <v/>
      </c>
      <c r="FN794" s="2579" t="str">
        <f t="shared" si="150"/>
        <v/>
      </c>
      <c r="FO794" s="2579" t="str">
        <f t="shared" si="151"/>
        <v/>
      </c>
      <c r="FP794" s="2579" t="str">
        <f t="shared" si="152"/>
        <v/>
      </c>
      <c r="FQ794" s="2579" t="str">
        <f t="shared" si="153"/>
        <v/>
      </c>
      <c r="FR794" s="2579" t="str">
        <f t="shared" si="154"/>
        <v/>
      </c>
      <c r="FS794" s="2579" t="str">
        <f t="shared" si="155"/>
        <v/>
      </c>
      <c r="FT794" s="2579" t="str">
        <f t="shared" si="156"/>
        <v/>
      </c>
      <c r="FU794" s="2579" t="str">
        <f t="shared" si="157"/>
        <v/>
      </c>
      <c r="FV794" s="2579" t="str">
        <f t="shared" si="158"/>
        <v/>
      </c>
      <c r="FW794" s="2579" t="str">
        <f t="shared" si="159"/>
        <v/>
      </c>
      <c r="FX794" s="2579" t="str">
        <f t="shared" si="160"/>
        <v/>
      </c>
      <c r="FY794" s="2579" t="str">
        <f t="shared" si="161"/>
        <v/>
      </c>
      <c r="FZ794" s="2579" t="str">
        <f t="shared" si="162"/>
        <v/>
      </c>
      <c r="GA794" s="2579" t="str">
        <f t="shared" si="163"/>
        <v/>
      </c>
      <c r="GB794" s="2579" t="str">
        <f t="shared" si="164"/>
        <v/>
      </c>
      <c r="GC794" s="2579" t="str">
        <f t="shared" si="165"/>
        <v/>
      </c>
      <c r="GD794" s="2579" t="str">
        <f t="shared" si="166"/>
        <v/>
      </c>
      <c r="GE794" s="2579" t="str">
        <f t="shared" si="167"/>
        <v/>
      </c>
      <c r="GF794" s="2579" t="str">
        <f t="shared" si="168"/>
        <v/>
      </c>
      <c r="GG794" s="2579" t="str">
        <f t="shared" si="169"/>
        <v/>
      </c>
      <c r="GH794" s="2579" t="str">
        <f t="shared" si="170"/>
        <v/>
      </c>
      <c r="GI794" s="2579" t="str">
        <f t="shared" si="171"/>
        <v/>
      </c>
      <c r="GJ794" s="2579" t="str">
        <f t="shared" si="172"/>
        <v/>
      </c>
      <c r="GK794" s="2579" t="str">
        <f t="shared" si="173"/>
        <v/>
      </c>
      <c r="GL794" s="2579" t="str">
        <f t="shared" si="174"/>
        <v/>
      </c>
      <c r="GM794" s="2579" t="str">
        <f t="shared" si="175"/>
        <v/>
      </c>
      <c r="GN794" s="2579" t="str">
        <f t="shared" si="176"/>
        <v/>
      </c>
      <c r="GO794" s="2579" t="str">
        <f t="shared" si="177"/>
        <v/>
      </c>
      <c r="GP794" s="2579" t="str">
        <f t="shared" si="178"/>
        <v/>
      </c>
      <c r="GQ794" s="2579" t="str">
        <f t="shared" si="179"/>
        <v/>
      </c>
      <c r="GR794" s="2579" t="str">
        <f t="shared" si="180"/>
        <v/>
      </c>
      <c r="GS794" s="2579" t="str">
        <f t="shared" si="181"/>
        <v/>
      </c>
      <c r="GT794" s="2579" t="str">
        <f t="shared" si="182"/>
        <v/>
      </c>
      <c r="GU794" s="2579" t="str">
        <f t="shared" si="183"/>
        <v/>
      </c>
      <c r="GV794" s="2579" t="str">
        <f t="shared" si="184"/>
        <v/>
      </c>
      <c r="GW794" s="2579" t="str">
        <f t="shared" si="185"/>
        <v/>
      </c>
      <c r="GX794" s="2579" t="str">
        <f t="shared" si="186"/>
        <v/>
      </c>
      <c r="GY794" s="2579" t="str">
        <f t="shared" si="187"/>
        <v/>
      </c>
      <c r="GZ794" s="2579" t="str">
        <f t="shared" si="188"/>
        <v/>
      </c>
      <c r="HA794" s="2579" t="str">
        <f t="shared" si="189"/>
        <v/>
      </c>
      <c r="HB794" s="2579" t="str">
        <f t="shared" si="190"/>
        <v/>
      </c>
      <c r="HC794" s="2579" t="str">
        <f t="shared" si="191"/>
        <v/>
      </c>
      <c r="HD794" s="2579" t="str">
        <f t="shared" si="192"/>
        <v/>
      </c>
      <c r="HE794" s="2579" t="str">
        <f t="shared" si="193"/>
        <v/>
      </c>
      <c r="HF794" s="2579" t="str">
        <f t="shared" si="194"/>
        <v/>
      </c>
      <c r="HG794" s="2579" t="str">
        <f t="shared" si="195"/>
        <v/>
      </c>
      <c r="HH794" s="2579" t="str">
        <f t="shared" si="196"/>
        <v/>
      </c>
      <c r="HI794" s="2579" t="str">
        <f t="shared" si="197"/>
        <v/>
      </c>
      <c r="HJ794" s="2579" t="str">
        <f t="shared" si="198"/>
        <v/>
      </c>
      <c r="HK794" s="2579" t="str">
        <f t="shared" si="199"/>
        <v/>
      </c>
      <c r="HL794" s="2579" t="str">
        <f t="shared" si="200"/>
        <v/>
      </c>
      <c r="HM794" s="2579" t="str">
        <f t="shared" si="201"/>
        <v/>
      </c>
      <c r="HN794" s="2579" t="str">
        <f t="shared" si="202"/>
        <v/>
      </c>
      <c r="HO794" s="2579" t="str">
        <f t="shared" si="203"/>
        <v/>
      </c>
      <c r="HP794" s="2579" t="str">
        <f t="shared" si="204"/>
        <v/>
      </c>
      <c r="HQ794" s="2579" t="str">
        <f t="shared" si="205"/>
        <v/>
      </c>
      <c r="HR794" s="2579" t="str">
        <f t="shared" si="206"/>
        <v/>
      </c>
      <c r="HS794" s="2579" t="str">
        <f t="shared" si="207"/>
        <v/>
      </c>
      <c r="HT794" s="2579" t="str">
        <f t="shared" si="208"/>
        <v/>
      </c>
      <c r="HU794" s="2579" t="str">
        <f t="shared" si="209"/>
        <v/>
      </c>
      <c r="HV794" s="2579" t="str">
        <f t="shared" si="210"/>
        <v/>
      </c>
      <c r="HW794" s="2579" t="str">
        <f t="shared" si="211"/>
        <v/>
      </c>
      <c r="HX794" s="2579" t="str">
        <f t="shared" si="212"/>
        <v/>
      </c>
      <c r="HY794" s="2579" t="str">
        <f t="shared" si="213"/>
        <v/>
      </c>
      <c r="HZ794" s="2579" t="str">
        <f t="shared" si="214"/>
        <v/>
      </c>
      <c r="IA794" s="2579" t="str">
        <f t="shared" si="215"/>
        <v/>
      </c>
      <c r="IB794" s="2579" t="str">
        <f t="shared" si="216"/>
        <v/>
      </c>
      <c r="IC794" s="2579" t="str">
        <f t="shared" si="217"/>
        <v/>
      </c>
      <c r="ID794" s="2551" t="str">
        <f t="shared" si="218"/>
        <v/>
      </c>
      <c r="IE794" s="2551" t="str">
        <f t="shared" si="219"/>
        <v/>
      </c>
      <c r="IF794" s="2551" t="str">
        <f t="shared" si="220"/>
        <v/>
      </c>
      <c r="IG794" s="2551" t="str">
        <f t="shared" si="221"/>
        <v/>
      </c>
      <c r="IH794" s="2551"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2549">
        <f t="shared" si="243"/>
        <v>0</v>
      </c>
      <c r="JD794" s="2549">
        <f t="shared" si="244"/>
        <v>0</v>
      </c>
      <c r="JE794" s="2549">
        <f t="shared" si="245"/>
        <v>0</v>
      </c>
      <c r="JF794" s="2549">
        <f t="shared" si="246"/>
        <v>0</v>
      </c>
      <c r="JG794" s="2549">
        <f t="shared" si="247"/>
        <v>0</v>
      </c>
      <c r="JH794" s="2549">
        <f t="shared" si="248"/>
        <v>0</v>
      </c>
      <c r="JI794" s="2549">
        <f t="shared" si="249"/>
        <v>0</v>
      </c>
      <c r="JJ794" s="2549">
        <f t="shared" si="250"/>
        <v>0</v>
      </c>
      <c r="JK794" s="2549">
        <f t="shared" si="251"/>
        <v>0</v>
      </c>
      <c r="JL794" s="2549">
        <f t="shared" si="252"/>
        <v>0</v>
      </c>
      <c r="JM794" s="2549">
        <f t="shared" si="253"/>
        <v>0</v>
      </c>
      <c r="JN794" s="2549">
        <f t="shared" si="254"/>
        <v>0</v>
      </c>
      <c r="JO794" s="2549">
        <f t="shared" si="255"/>
        <v>0</v>
      </c>
      <c r="JP794" s="2549">
        <f t="shared" si="256"/>
        <v>0</v>
      </c>
      <c r="JQ794" s="2549">
        <f t="shared" si="257"/>
        <v>0</v>
      </c>
    </row>
    <row r="795" spans="1:277" ht="12" customHeight="1">
      <c r="A795" s="2562" t="str">
        <f t="shared" si="0"/>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1"/>
        <v>0</v>
      </c>
      <c r="L795" s="2576">
        <f t="shared" si="2"/>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2579" t="str">
        <f t="shared" si="133"/>
        <v/>
      </c>
      <c r="EX795" s="2579" t="str">
        <f t="shared" si="134"/>
        <v/>
      </c>
      <c r="EY795" s="2579" t="str">
        <f t="shared" si="135"/>
        <v/>
      </c>
      <c r="EZ795" s="2579" t="str">
        <f t="shared" si="136"/>
        <v/>
      </c>
      <c r="FA795" s="2579" t="str">
        <f t="shared" si="137"/>
        <v/>
      </c>
      <c r="FB795" s="2579" t="str">
        <f t="shared" si="138"/>
        <v/>
      </c>
      <c r="FC795" s="2579" t="str">
        <f t="shared" si="139"/>
        <v/>
      </c>
      <c r="FD795" s="2579" t="str">
        <f t="shared" si="140"/>
        <v/>
      </c>
      <c r="FE795" s="2579" t="str">
        <f t="shared" si="141"/>
        <v/>
      </c>
      <c r="FF795" s="2579" t="str">
        <f t="shared" si="142"/>
        <v/>
      </c>
      <c r="FG795" s="2579" t="str">
        <f t="shared" si="143"/>
        <v/>
      </c>
      <c r="FH795" s="2579" t="str">
        <f t="shared" si="144"/>
        <v/>
      </c>
      <c r="FI795" s="2579" t="str">
        <f t="shared" si="145"/>
        <v/>
      </c>
      <c r="FJ795" s="2579" t="str">
        <f t="shared" si="146"/>
        <v/>
      </c>
      <c r="FK795" s="2579" t="str">
        <f t="shared" si="147"/>
        <v/>
      </c>
      <c r="FL795" s="2579" t="str">
        <f t="shared" si="148"/>
        <v/>
      </c>
      <c r="FM795" s="2579" t="str">
        <f t="shared" si="149"/>
        <v/>
      </c>
      <c r="FN795" s="2579" t="str">
        <f t="shared" si="150"/>
        <v/>
      </c>
      <c r="FO795" s="2579" t="str">
        <f t="shared" si="151"/>
        <v/>
      </c>
      <c r="FP795" s="2579" t="str">
        <f t="shared" si="152"/>
        <v/>
      </c>
      <c r="FQ795" s="2579" t="str">
        <f t="shared" si="153"/>
        <v/>
      </c>
      <c r="FR795" s="2579" t="str">
        <f t="shared" si="154"/>
        <v/>
      </c>
      <c r="FS795" s="2579" t="str">
        <f t="shared" si="155"/>
        <v/>
      </c>
      <c r="FT795" s="2579" t="str">
        <f t="shared" si="156"/>
        <v/>
      </c>
      <c r="FU795" s="2579" t="str">
        <f t="shared" si="157"/>
        <v/>
      </c>
      <c r="FV795" s="2579" t="str">
        <f t="shared" si="158"/>
        <v/>
      </c>
      <c r="FW795" s="2579" t="str">
        <f t="shared" si="159"/>
        <v/>
      </c>
      <c r="FX795" s="2579" t="str">
        <f t="shared" si="160"/>
        <v/>
      </c>
      <c r="FY795" s="2579" t="str">
        <f t="shared" si="161"/>
        <v/>
      </c>
      <c r="FZ795" s="2579" t="str">
        <f t="shared" si="162"/>
        <v/>
      </c>
      <c r="GA795" s="2579" t="str">
        <f t="shared" si="163"/>
        <v/>
      </c>
      <c r="GB795" s="2579" t="str">
        <f t="shared" si="164"/>
        <v/>
      </c>
      <c r="GC795" s="2579" t="str">
        <f t="shared" si="165"/>
        <v/>
      </c>
      <c r="GD795" s="2579" t="str">
        <f t="shared" si="166"/>
        <v/>
      </c>
      <c r="GE795" s="2579" t="str">
        <f t="shared" si="167"/>
        <v/>
      </c>
      <c r="GF795" s="2579" t="str">
        <f t="shared" si="168"/>
        <v/>
      </c>
      <c r="GG795" s="2579" t="str">
        <f t="shared" si="169"/>
        <v/>
      </c>
      <c r="GH795" s="2579" t="str">
        <f t="shared" si="170"/>
        <v/>
      </c>
      <c r="GI795" s="2579" t="str">
        <f t="shared" si="171"/>
        <v/>
      </c>
      <c r="GJ795" s="2579" t="str">
        <f t="shared" si="172"/>
        <v/>
      </c>
      <c r="GK795" s="2579" t="str">
        <f t="shared" si="173"/>
        <v/>
      </c>
      <c r="GL795" s="2579" t="str">
        <f t="shared" si="174"/>
        <v/>
      </c>
      <c r="GM795" s="2579" t="str">
        <f t="shared" si="175"/>
        <v/>
      </c>
      <c r="GN795" s="2579" t="str">
        <f t="shared" si="176"/>
        <v/>
      </c>
      <c r="GO795" s="2579" t="str">
        <f t="shared" si="177"/>
        <v/>
      </c>
      <c r="GP795" s="2579" t="str">
        <f t="shared" si="178"/>
        <v/>
      </c>
      <c r="GQ795" s="2579" t="str">
        <f t="shared" si="179"/>
        <v/>
      </c>
      <c r="GR795" s="2579" t="str">
        <f t="shared" si="180"/>
        <v/>
      </c>
      <c r="GS795" s="2579" t="str">
        <f t="shared" si="181"/>
        <v/>
      </c>
      <c r="GT795" s="2579" t="str">
        <f t="shared" si="182"/>
        <v/>
      </c>
      <c r="GU795" s="2579" t="str">
        <f t="shared" si="183"/>
        <v/>
      </c>
      <c r="GV795" s="2579" t="str">
        <f t="shared" si="184"/>
        <v/>
      </c>
      <c r="GW795" s="2579" t="str">
        <f t="shared" si="185"/>
        <v/>
      </c>
      <c r="GX795" s="2579" t="str">
        <f t="shared" si="186"/>
        <v/>
      </c>
      <c r="GY795" s="2579" t="str">
        <f t="shared" si="187"/>
        <v/>
      </c>
      <c r="GZ795" s="2579" t="str">
        <f t="shared" si="188"/>
        <v/>
      </c>
      <c r="HA795" s="2579" t="str">
        <f t="shared" si="189"/>
        <v/>
      </c>
      <c r="HB795" s="2579" t="str">
        <f t="shared" si="190"/>
        <v/>
      </c>
      <c r="HC795" s="2579" t="str">
        <f t="shared" si="191"/>
        <v/>
      </c>
      <c r="HD795" s="2579" t="str">
        <f t="shared" si="192"/>
        <v/>
      </c>
      <c r="HE795" s="2579" t="str">
        <f t="shared" si="193"/>
        <v/>
      </c>
      <c r="HF795" s="2579" t="str">
        <f t="shared" si="194"/>
        <v/>
      </c>
      <c r="HG795" s="2579" t="str">
        <f t="shared" si="195"/>
        <v/>
      </c>
      <c r="HH795" s="2579" t="str">
        <f t="shared" si="196"/>
        <v/>
      </c>
      <c r="HI795" s="2579" t="str">
        <f t="shared" si="197"/>
        <v/>
      </c>
      <c r="HJ795" s="2579" t="str">
        <f t="shared" si="198"/>
        <v/>
      </c>
      <c r="HK795" s="2579" t="str">
        <f t="shared" si="199"/>
        <v/>
      </c>
      <c r="HL795" s="2579" t="str">
        <f t="shared" si="200"/>
        <v/>
      </c>
      <c r="HM795" s="2579" t="str">
        <f t="shared" si="201"/>
        <v/>
      </c>
      <c r="HN795" s="2579" t="str">
        <f t="shared" si="202"/>
        <v/>
      </c>
      <c r="HO795" s="2579" t="str">
        <f t="shared" si="203"/>
        <v/>
      </c>
      <c r="HP795" s="2579" t="str">
        <f t="shared" si="204"/>
        <v/>
      </c>
      <c r="HQ795" s="2579" t="str">
        <f t="shared" si="205"/>
        <v/>
      </c>
      <c r="HR795" s="2579" t="str">
        <f t="shared" si="206"/>
        <v/>
      </c>
      <c r="HS795" s="2579" t="str">
        <f t="shared" si="207"/>
        <v/>
      </c>
      <c r="HT795" s="2579" t="str">
        <f t="shared" si="208"/>
        <v/>
      </c>
      <c r="HU795" s="2579" t="str">
        <f t="shared" si="209"/>
        <v/>
      </c>
      <c r="HV795" s="2579" t="str">
        <f t="shared" si="210"/>
        <v/>
      </c>
      <c r="HW795" s="2579" t="str">
        <f t="shared" si="211"/>
        <v/>
      </c>
      <c r="HX795" s="2579" t="str">
        <f t="shared" si="212"/>
        <v/>
      </c>
      <c r="HY795" s="2579" t="str">
        <f t="shared" si="213"/>
        <v/>
      </c>
      <c r="HZ795" s="2579" t="str">
        <f t="shared" si="214"/>
        <v/>
      </c>
      <c r="IA795" s="2579" t="str">
        <f t="shared" si="215"/>
        <v/>
      </c>
      <c r="IB795" s="2579" t="str">
        <f t="shared" si="216"/>
        <v/>
      </c>
      <c r="IC795" s="2579" t="str">
        <f t="shared" si="217"/>
        <v/>
      </c>
      <c r="ID795" s="2551" t="str">
        <f t="shared" si="218"/>
        <v/>
      </c>
      <c r="IE795" s="2551" t="str">
        <f t="shared" si="219"/>
        <v/>
      </c>
      <c r="IF795" s="2551" t="str">
        <f t="shared" si="220"/>
        <v/>
      </c>
      <c r="IG795" s="2551" t="str">
        <f t="shared" si="221"/>
        <v/>
      </c>
      <c r="IH795" s="2551"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2549">
        <f t="shared" si="243"/>
        <v>0</v>
      </c>
      <c r="JD795" s="2549">
        <f t="shared" si="244"/>
        <v>0</v>
      </c>
      <c r="JE795" s="2549">
        <f t="shared" si="245"/>
        <v>0</v>
      </c>
      <c r="JF795" s="2549">
        <f t="shared" si="246"/>
        <v>0</v>
      </c>
      <c r="JG795" s="2549">
        <f t="shared" si="247"/>
        <v>0</v>
      </c>
      <c r="JH795" s="2549">
        <f t="shared" si="248"/>
        <v>0</v>
      </c>
      <c r="JI795" s="2549">
        <f t="shared" si="249"/>
        <v>0</v>
      </c>
      <c r="JJ795" s="2549">
        <f t="shared" si="250"/>
        <v>0</v>
      </c>
      <c r="JK795" s="2549">
        <f t="shared" si="251"/>
        <v>0</v>
      </c>
      <c r="JL795" s="2549">
        <f t="shared" si="252"/>
        <v>0</v>
      </c>
      <c r="JM795" s="2549">
        <f t="shared" si="253"/>
        <v>0</v>
      </c>
      <c r="JN795" s="2549">
        <f t="shared" si="254"/>
        <v>0</v>
      </c>
      <c r="JO795" s="2549">
        <f t="shared" si="255"/>
        <v>0</v>
      </c>
      <c r="JP795" s="2549">
        <f t="shared" si="256"/>
        <v>0</v>
      </c>
      <c r="JQ795" s="2549">
        <f t="shared" si="257"/>
        <v>0</v>
      </c>
    </row>
    <row r="796" spans="1:277" ht="12" customHeight="1">
      <c r="A796" s="2562" t="str">
        <f t="shared" si="0"/>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1"/>
        <v>0</v>
      </c>
      <c r="L796" s="2576">
        <f t="shared" si="2"/>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2579" t="str">
        <f t="shared" si="133"/>
        <v/>
      </c>
      <c r="EX796" s="2579" t="str">
        <f t="shared" si="134"/>
        <v/>
      </c>
      <c r="EY796" s="2579" t="str">
        <f t="shared" si="135"/>
        <v/>
      </c>
      <c r="EZ796" s="2579" t="str">
        <f t="shared" si="136"/>
        <v/>
      </c>
      <c r="FA796" s="2579" t="str">
        <f t="shared" si="137"/>
        <v/>
      </c>
      <c r="FB796" s="2579" t="str">
        <f t="shared" si="138"/>
        <v/>
      </c>
      <c r="FC796" s="2579" t="str">
        <f t="shared" si="139"/>
        <v/>
      </c>
      <c r="FD796" s="2579" t="str">
        <f t="shared" si="140"/>
        <v/>
      </c>
      <c r="FE796" s="2579" t="str">
        <f t="shared" si="141"/>
        <v/>
      </c>
      <c r="FF796" s="2579" t="str">
        <f t="shared" si="142"/>
        <v/>
      </c>
      <c r="FG796" s="2579" t="str">
        <f t="shared" si="143"/>
        <v/>
      </c>
      <c r="FH796" s="2579" t="str">
        <f t="shared" si="144"/>
        <v/>
      </c>
      <c r="FI796" s="2579" t="str">
        <f t="shared" si="145"/>
        <v/>
      </c>
      <c r="FJ796" s="2579" t="str">
        <f t="shared" si="146"/>
        <v/>
      </c>
      <c r="FK796" s="2579" t="str">
        <f t="shared" si="147"/>
        <v/>
      </c>
      <c r="FL796" s="2579" t="str">
        <f t="shared" si="148"/>
        <v/>
      </c>
      <c r="FM796" s="2579" t="str">
        <f t="shared" si="149"/>
        <v/>
      </c>
      <c r="FN796" s="2579" t="str">
        <f t="shared" si="150"/>
        <v/>
      </c>
      <c r="FO796" s="2579" t="str">
        <f t="shared" si="151"/>
        <v/>
      </c>
      <c r="FP796" s="2579" t="str">
        <f t="shared" si="152"/>
        <v/>
      </c>
      <c r="FQ796" s="2579" t="str">
        <f t="shared" si="153"/>
        <v/>
      </c>
      <c r="FR796" s="2579" t="str">
        <f t="shared" si="154"/>
        <v/>
      </c>
      <c r="FS796" s="2579" t="str">
        <f t="shared" si="155"/>
        <v/>
      </c>
      <c r="FT796" s="2579" t="str">
        <f t="shared" si="156"/>
        <v/>
      </c>
      <c r="FU796" s="2579" t="str">
        <f t="shared" si="157"/>
        <v/>
      </c>
      <c r="FV796" s="2579" t="str">
        <f t="shared" si="158"/>
        <v/>
      </c>
      <c r="FW796" s="2579" t="str">
        <f t="shared" si="159"/>
        <v/>
      </c>
      <c r="FX796" s="2579" t="str">
        <f t="shared" si="160"/>
        <v/>
      </c>
      <c r="FY796" s="2579" t="str">
        <f t="shared" si="161"/>
        <v/>
      </c>
      <c r="FZ796" s="2579" t="str">
        <f t="shared" si="162"/>
        <v/>
      </c>
      <c r="GA796" s="2579" t="str">
        <f t="shared" si="163"/>
        <v/>
      </c>
      <c r="GB796" s="2579" t="str">
        <f t="shared" si="164"/>
        <v/>
      </c>
      <c r="GC796" s="2579" t="str">
        <f t="shared" si="165"/>
        <v/>
      </c>
      <c r="GD796" s="2579" t="str">
        <f t="shared" si="166"/>
        <v/>
      </c>
      <c r="GE796" s="2579" t="str">
        <f t="shared" si="167"/>
        <v/>
      </c>
      <c r="GF796" s="2579" t="str">
        <f t="shared" si="168"/>
        <v/>
      </c>
      <c r="GG796" s="2579" t="str">
        <f t="shared" si="169"/>
        <v/>
      </c>
      <c r="GH796" s="2579" t="str">
        <f t="shared" si="170"/>
        <v/>
      </c>
      <c r="GI796" s="2579" t="str">
        <f t="shared" si="171"/>
        <v/>
      </c>
      <c r="GJ796" s="2579" t="str">
        <f t="shared" si="172"/>
        <v/>
      </c>
      <c r="GK796" s="2579" t="str">
        <f t="shared" si="173"/>
        <v/>
      </c>
      <c r="GL796" s="2579" t="str">
        <f t="shared" si="174"/>
        <v/>
      </c>
      <c r="GM796" s="2579" t="str">
        <f t="shared" si="175"/>
        <v/>
      </c>
      <c r="GN796" s="2579" t="str">
        <f t="shared" si="176"/>
        <v/>
      </c>
      <c r="GO796" s="2579" t="str">
        <f t="shared" si="177"/>
        <v/>
      </c>
      <c r="GP796" s="2579" t="str">
        <f t="shared" si="178"/>
        <v/>
      </c>
      <c r="GQ796" s="2579" t="str">
        <f t="shared" si="179"/>
        <v/>
      </c>
      <c r="GR796" s="2579" t="str">
        <f t="shared" si="180"/>
        <v/>
      </c>
      <c r="GS796" s="2579" t="str">
        <f t="shared" si="181"/>
        <v/>
      </c>
      <c r="GT796" s="2579" t="str">
        <f t="shared" si="182"/>
        <v/>
      </c>
      <c r="GU796" s="2579" t="str">
        <f t="shared" si="183"/>
        <v/>
      </c>
      <c r="GV796" s="2579" t="str">
        <f t="shared" si="184"/>
        <v/>
      </c>
      <c r="GW796" s="2579" t="str">
        <f t="shared" si="185"/>
        <v/>
      </c>
      <c r="GX796" s="2579" t="str">
        <f t="shared" si="186"/>
        <v/>
      </c>
      <c r="GY796" s="2579" t="str">
        <f t="shared" si="187"/>
        <v/>
      </c>
      <c r="GZ796" s="2579" t="str">
        <f t="shared" si="188"/>
        <v/>
      </c>
      <c r="HA796" s="2579" t="str">
        <f t="shared" si="189"/>
        <v/>
      </c>
      <c r="HB796" s="2579" t="str">
        <f t="shared" si="190"/>
        <v/>
      </c>
      <c r="HC796" s="2579" t="str">
        <f t="shared" si="191"/>
        <v/>
      </c>
      <c r="HD796" s="2579" t="str">
        <f t="shared" si="192"/>
        <v/>
      </c>
      <c r="HE796" s="2579" t="str">
        <f t="shared" si="193"/>
        <v/>
      </c>
      <c r="HF796" s="2579" t="str">
        <f t="shared" si="194"/>
        <v/>
      </c>
      <c r="HG796" s="2579" t="str">
        <f t="shared" si="195"/>
        <v/>
      </c>
      <c r="HH796" s="2579" t="str">
        <f t="shared" si="196"/>
        <v/>
      </c>
      <c r="HI796" s="2579" t="str">
        <f t="shared" si="197"/>
        <v/>
      </c>
      <c r="HJ796" s="2579" t="str">
        <f t="shared" si="198"/>
        <v/>
      </c>
      <c r="HK796" s="2579" t="str">
        <f t="shared" si="199"/>
        <v/>
      </c>
      <c r="HL796" s="2579" t="str">
        <f t="shared" si="200"/>
        <v/>
      </c>
      <c r="HM796" s="2579" t="str">
        <f t="shared" si="201"/>
        <v/>
      </c>
      <c r="HN796" s="2579" t="str">
        <f t="shared" si="202"/>
        <v/>
      </c>
      <c r="HO796" s="2579" t="str">
        <f t="shared" si="203"/>
        <v/>
      </c>
      <c r="HP796" s="2579" t="str">
        <f t="shared" si="204"/>
        <v/>
      </c>
      <c r="HQ796" s="2579" t="str">
        <f t="shared" si="205"/>
        <v/>
      </c>
      <c r="HR796" s="2579" t="str">
        <f t="shared" si="206"/>
        <v/>
      </c>
      <c r="HS796" s="2579" t="str">
        <f t="shared" si="207"/>
        <v/>
      </c>
      <c r="HT796" s="2579" t="str">
        <f t="shared" si="208"/>
        <v/>
      </c>
      <c r="HU796" s="2579" t="str">
        <f t="shared" si="209"/>
        <v/>
      </c>
      <c r="HV796" s="2579" t="str">
        <f t="shared" si="210"/>
        <v/>
      </c>
      <c r="HW796" s="2579" t="str">
        <f t="shared" si="211"/>
        <v/>
      </c>
      <c r="HX796" s="2579" t="str">
        <f t="shared" si="212"/>
        <v/>
      </c>
      <c r="HY796" s="2579" t="str">
        <f t="shared" si="213"/>
        <v/>
      </c>
      <c r="HZ796" s="2579" t="str">
        <f t="shared" si="214"/>
        <v/>
      </c>
      <c r="IA796" s="2579" t="str">
        <f t="shared" si="215"/>
        <v/>
      </c>
      <c r="IB796" s="2579" t="str">
        <f t="shared" si="216"/>
        <v/>
      </c>
      <c r="IC796" s="2579" t="str">
        <f t="shared" si="217"/>
        <v/>
      </c>
      <c r="ID796" s="2551" t="str">
        <f t="shared" si="218"/>
        <v/>
      </c>
      <c r="IE796" s="2551" t="str">
        <f t="shared" si="219"/>
        <v/>
      </c>
      <c r="IF796" s="2551" t="str">
        <f t="shared" si="220"/>
        <v/>
      </c>
      <c r="IG796" s="2551" t="str">
        <f t="shared" si="221"/>
        <v/>
      </c>
      <c r="IH796" s="2551"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2549">
        <f t="shared" si="243"/>
        <v>0</v>
      </c>
      <c r="JD796" s="2549">
        <f t="shared" si="244"/>
        <v>0</v>
      </c>
      <c r="JE796" s="2549">
        <f t="shared" si="245"/>
        <v>0</v>
      </c>
      <c r="JF796" s="2549">
        <f t="shared" si="246"/>
        <v>0</v>
      </c>
      <c r="JG796" s="2549">
        <f t="shared" si="247"/>
        <v>0</v>
      </c>
      <c r="JH796" s="2549">
        <f t="shared" si="248"/>
        <v>0</v>
      </c>
      <c r="JI796" s="2549">
        <f t="shared" si="249"/>
        <v>0</v>
      </c>
      <c r="JJ796" s="2549">
        <f t="shared" si="250"/>
        <v>0</v>
      </c>
      <c r="JK796" s="2549">
        <f t="shared" si="251"/>
        <v>0</v>
      </c>
      <c r="JL796" s="2549">
        <f t="shared" si="252"/>
        <v>0</v>
      </c>
      <c r="JM796" s="2549">
        <f t="shared" si="253"/>
        <v>0</v>
      </c>
      <c r="JN796" s="2549">
        <f t="shared" si="254"/>
        <v>0</v>
      </c>
      <c r="JO796" s="2549">
        <f t="shared" si="255"/>
        <v>0</v>
      </c>
      <c r="JP796" s="2549">
        <f t="shared" si="256"/>
        <v>0</v>
      </c>
      <c r="JQ796" s="2549">
        <f t="shared" si="257"/>
        <v>0</v>
      </c>
    </row>
    <row r="797" spans="1:277" ht="12" customHeight="1">
      <c r="A797" s="2562" t="str">
        <f t="shared" si="0"/>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1"/>
        <v>0</v>
      </c>
      <c r="L797" s="2576">
        <f t="shared" si="2"/>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2579" t="str">
        <f t="shared" si="133"/>
        <v/>
      </c>
      <c r="EX797" s="2579" t="str">
        <f t="shared" si="134"/>
        <v/>
      </c>
      <c r="EY797" s="2579" t="str">
        <f t="shared" si="135"/>
        <v/>
      </c>
      <c r="EZ797" s="2579" t="str">
        <f t="shared" si="136"/>
        <v/>
      </c>
      <c r="FA797" s="2579" t="str">
        <f t="shared" si="137"/>
        <v/>
      </c>
      <c r="FB797" s="2579" t="str">
        <f t="shared" si="138"/>
        <v/>
      </c>
      <c r="FC797" s="2579" t="str">
        <f t="shared" si="139"/>
        <v/>
      </c>
      <c r="FD797" s="2579" t="str">
        <f t="shared" si="140"/>
        <v/>
      </c>
      <c r="FE797" s="2579" t="str">
        <f t="shared" si="141"/>
        <v/>
      </c>
      <c r="FF797" s="2579" t="str">
        <f t="shared" si="142"/>
        <v/>
      </c>
      <c r="FG797" s="2579" t="str">
        <f t="shared" si="143"/>
        <v/>
      </c>
      <c r="FH797" s="2579" t="str">
        <f t="shared" si="144"/>
        <v/>
      </c>
      <c r="FI797" s="2579" t="str">
        <f t="shared" si="145"/>
        <v/>
      </c>
      <c r="FJ797" s="2579" t="str">
        <f t="shared" si="146"/>
        <v/>
      </c>
      <c r="FK797" s="2579" t="str">
        <f t="shared" si="147"/>
        <v/>
      </c>
      <c r="FL797" s="2579" t="str">
        <f t="shared" si="148"/>
        <v/>
      </c>
      <c r="FM797" s="2579" t="str">
        <f t="shared" si="149"/>
        <v/>
      </c>
      <c r="FN797" s="2579" t="str">
        <f t="shared" si="150"/>
        <v/>
      </c>
      <c r="FO797" s="2579" t="str">
        <f t="shared" si="151"/>
        <v/>
      </c>
      <c r="FP797" s="2579" t="str">
        <f t="shared" si="152"/>
        <v/>
      </c>
      <c r="FQ797" s="2579" t="str">
        <f t="shared" si="153"/>
        <v/>
      </c>
      <c r="FR797" s="2579" t="str">
        <f t="shared" si="154"/>
        <v/>
      </c>
      <c r="FS797" s="2579" t="str">
        <f t="shared" si="155"/>
        <v/>
      </c>
      <c r="FT797" s="2579" t="str">
        <f t="shared" si="156"/>
        <v/>
      </c>
      <c r="FU797" s="2579" t="str">
        <f t="shared" si="157"/>
        <v/>
      </c>
      <c r="FV797" s="2579" t="str">
        <f t="shared" si="158"/>
        <v/>
      </c>
      <c r="FW797" s="2579" t="str">
        <f t="shared" si="159"/>
        <v/>
      </c>
      <c r="FX797" s="2579" t="str">
        <f t="shared" si="160"/>
        <v/>
      </c>
      <c r="FY797" s="2579" t="str">
        <f t="shared" si="161"/>
        <v/>
      </c>
      <c r="FZ797" s="2579" t="str">
        <f t="shared" si="162"/>
        <v/>
      </c>
      <c r="GA797" s="2579" t="str">
        <f t="shared" si="163"/>
        <v/>
      </c>
      <c r="GB797" s="2579" t="str">
        <f t="shared" si="164"/>
        <v/>
      </c>
      <c r="GC797" s="2579" t="str">
        <f t="shared" si="165"/>
        <v/>
      </c>
      <c r="GD797" s="2579" t="str">
        <f t="shared" si="166"/>
        <v/>
      </c>
      <c r="GE797" s="2579" t="str">
        <f t="shared" si="167"/>
        <v/>
      </c>
      <c r="GF797" s="2579" t="str">
        <f t="shared" si="168"/>
        <v/>
      </c>
      <c r="GG797" s="2579" t="str">
        <f t="shared" si="169"/>
        <v/>
      </c>
      <c r="GH797" s="2579" t="str">
        <f t="shared" si="170"/>
        <v/>
      </c>
      <c r="GI797" s="2579" t="str">
        <f t="shared" si="171"/>
        <v/>
      </c>
      <c r="GJ797" s="2579" t="str">
        <f t="shared" si="172"/>
        <v/>
      </c>
      <c r="GK797" s="2579" t="str">
        <f t="shared" si="173"/>
        <v/>
      </c>
      <c r="GL797" s="2579" t="str">
        <f t="shared" si="174"/>
        <v/>
      </c>
      <c r="GM797" s="2579" t="str">
        <f t="shared" si="175"/>
        <v/>
      </c>
      <c r="GN797" s="2579" t="str">
        <f t="shared" si="176"/>
        <v/>
      </c>
      <c r="GO797" s="2579" t="str">
        <f t="shared" si="177"/>
        <v/>
      </c>
      <c r="GP797" s="2579" t="str">
        <f t="shared" si="178"/>
        <v/>
      </c>
      <c r="GQ797" s="2579" t="str">
        <f t="shared" si="179"/>
        <v/>
      </c>
      <c r="GR797" s="2579" t="str">
        <f t="shared" si="180"/>
        <v/>
      </c>
      <c r="GS797" s="2579" t="str">
        <f t="shared" si="181"/>
        <v/>
      </c>
      <c r="GT797" s="2579" t="str">
        <f t="shared" si="182"/>
        <v/>
      </c>
      <c r="GU797" s="2579" t="str">
        <f t="shared" si="183"/>
        <v/>
      </c>
      <c r="GV797" s="2579" t="str">
        <f t="shared" si="184"/>
        <v/>
      </c>
      <c r="GW797" s="2579" t="str">
        <f t="shared" si="185"/>
        <v/>
      </c>
      <c r="GX797" s="2579" t="str">
        <f t="shared" si="186"/>
        <v/>
      </c>
      <c r="GY797" s="2579" t="str">
        <f t="shared" si="187"/>
        <v/>
      </c>
      <c r="GZ797" s="2579" t="str">
        <f t="shared" si="188"/>
        <v/>
      </c>
      <c r="HA797" s="2579" t="str">
        <f t="shared" si="189"/>
        <v/>
      </c>
      <c r="HB797" s="2579" t="str">
        <f t="shared" si="190"/>
        <v/>
      </c>
      <c r="HC797" s="2579" t="str">
        <f t="shared" si="191"/>
        <v/>
      </c>
      <c r="HD797" s="2579" t="str">
        <f t="shared" si="192"/>
        <v/>
      </c>
      <c r="HE797" s="2579" t="str">
        <f t="shared" si="193"/>
        <v/>
      </c>
      <c r="HF797" s="2579" t="str">
        <f t="shared" si="194"/>
        <v/>
      </c>
      <c r="HG797" s="2579" t="str">
        <f t="shared" si="195"/>
        <v/>
      </c>
      <c r="HH797" s="2579" t="str">
        <f t="shared" si="196"/>
        <v/>
      </c>
      <c r="HI797" s="2579" t="str">
        <f t="shared" si="197"/>
        <v/>
      </c>
      <c r="HJ797" s="2579" t="str">
        <f t="shared" si="198"/>
        <v/>
      </c>
      <c r="HK797" s="2579" t="str">
        <f t="shared" si="199"/>
        <v/>
      </c>
      <c r="HL797" s="2579" t="str">
        <f t="shared" si="200"/>
        <v/>
      </c>
      <c r="HM797" s="2579" t="str">
        <f t="shared" si="201"/>
        <v/>
      </c>
      <c r="HN797" s="2579" t="str">
        <f t="shared" si="202"/>
        <v/>
      </c>
      <c r="HO797" s="2579" t="str">
        <f t="shared" si="203"/>
        <v/>
      </c>
      <c r="HP797" s="2579" t="str">
        <f t="shared" si="204"/>
        <v/>
      </c>
      <c r="HQ797" s="2579" t="str">
        <f t="shared" si="205"/>
        <v/>
      </c>
      <c r="HR797" s="2579" t="str">
        <f t="shared" si="206"/>
        <v/>
      </c>
      <c r="HS797" s="2579" t="str">
        <f t="shared" si="207"/>
        <v/>
      </c>
      <c r="HT797" s="2579" t="str">
        <f t="shared" si="208"/>
        <v/>
      </c>
      <c r="HU797" s="2579" t="str">
        <f t="shared" si="209"/>
        <v/>
      </c>
      <c r="HV797" s="2579" t="str">
        <f t="shared" si="210"/>
        <v/>
      </c>
      <c r="HW797" s="2579" t="str">
        <f t="shared" si="211"/>
        <v/>
      </c>
      <c r="HX797" s="2579" t="str">
        <f t="shared" si="212"/>
        <v/>
      </c>
      <c r="HY797" s="2579" t="str">
        <f t="shared" si="213"/>
        <v/>
      </c>
      <c r="HZ797" s="2579" t="str">
        <f t="shared" si="214"/>
        <v/>
      </c>
      <c r="IA797" s="2579" t="str">
        <f t="shared" si="215"/>
        <v/>
      </c>
      <c r="IB797" s="2579" t="str">
        <f t="shared" si="216"/>
        <v/>
      </c>
      <c r="IC797" s="2579" t="str">
        <f t="shared" si="217"/>
        <v/>
      </c>
      <c r="ID797" s="2551" t="str">
        <f t="shared" si="218"/>
        <v/>
      </c>
      <c r="IE797" s="2551" t="str">
        <f t="shared" si="219"/>
        <v/>
      </c>
      <c r="IF797" s="2551" t="str">
        <f t="shared" si="220"/>
        <v/>
      </c>
      <c r="IG797" s="2551" t="str">
        <f t="shared" si="221"/>
        <v/>
      </c>
      <c r="IH797" s="2551"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2549">
        <f t="shared" si="243"/>
        <v>0</v>
      </c>
      <c r="JD797" s="2549">
        <f t="shared" si="244"/>
        <v>0</v>
      </c>
      <c r="JE797" s="2549">
        <f t="shared" si="245"/>
        <v>0</v>
      </c>
      <c r="JF797" s="2549">
        <f t="shared" si="246"/>
        <v>0</v>
      </c>
      <c r="JG797" s="2549">
        <f t="shared" si="247"/>
        <v>0</v>
      </c>
      <c r="JH797" s="2549">
        <f t="shared" si="248"/>
        <v>0</v>
      </c>
      <c r="JI797" s="2549">
        <f t="shared" si="249"/>
        <v>0</v>
      </c>
      <c r="JJ797" s="2549">
        <f t="shared" si="250"/>
        <v>0</v>
      </c>
      <c r="JK797" s="2549">
        <f t="shared" si="251"/>
        <v>0</v>
      </c>
      <c r="JL797" s="2549">
        <f t="shared" si="252"/>
        <v>0</v>
      </c>
      <c r="JM797" s="2549">
        <f t="shared" si="253"/>
        <v>0</v>
      </c>
      <c r="JN797" s="2549">
        <f t="shared" si="254"/>
        <v>0</v>
      </c>
      <c r="JO797" s="2549">
        <f t="shared" si="255"/>
        <v>0</v>
      </c>
      <c r="JP797" s="2549">
        <f t="shared" si="256"/>
        <v>0</v>
      </c>
      <c r="JQ797" s="2549">
        <f t="shared" si="257"/>
        <v>0</v>
      </c>
    </row>
    <row r="798" spans="1:277" ht="12" customHeight="1">
      <c r="A798" s="2562" t="str">
        <f t="shared" si="0"/>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1"/>
        <v>0</v>
      </c>
      <c r="L798" s="2576">
        <f t="shared" si="2"/>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2579" t="str">
        <f t="shared" si="133"/>
        <v/>
      </c>
      <c r="EX798" s="2579" t="str">
        <f t="shared" si="134"/>
        <v/>
      </c>
      <c r="EY798" s="2579" t="str">
        <f t="shared" si="135"/>
        <v/>
      </c>
      <c r="EZ798" s="2579" t="str">
        <f t="shared" si="136"/>
        <v/>
      </c>
      <c r="FA798" s="2579" t="str">
        <f t="shared" si="137"/>
        <v/>
      </c>
      <c r="FB798" s="2579" t="str">
        <f t="shared" si="138"/>
        <v/>
      </c>
      <c r="FC798" s="2579" t="str">
        <f t="shared" si="139"/>
        <v/>
      </c>
      <c r="FD798" s="2579" t="str">
        <f t="shared" si="140"/>
        <v/>
      </c>
      <c r="FE798" s="2579" t="str">
        <f t="shared" si="141"/>
        <v/>
      </c>
      <c r="FF798" s="2579" t="str">
        <f t="shared" si="142"/>
        <v/>
      </c>
      <c r="FG798" s="2579" t="str">
        <f t="shared" si="143"/>
        <v/>
      </c>
      <c r="FH798" s="2579" t="str">
        <f t="shared" si="144"/>
        <v/>
      </c>
      <c r="FI798" s="2579" t="str">
        <f t="shared" si="145"/>
        <v/>
      </c>
      <c r="FJ798" s="2579" t="str">
        <f t="shared" si="146"/>
        <v/>
      </c>
      <c r="FK798" s="2579" t="str">
        <f t="shared" si="147"/>
        <v/>
      </c>
      <c r="FL798" s="2579" t="str">
        <f t="shared" si="148"/>
        <v/>
      </c>
      <c r="FM798" s="2579" t="str">
        <f t="shared" si="149"/>
        <v/>
      </c>
      <c r="FN798" s="2579" t="str">
        <f t="shared" si="150"/>
        <v/>
      </c>
      <c r="FO798" s="2579" t="str">
        <f t="shared" si="151"/>
        <v/>
      </c>
      <c r="FP798" s="2579" t="str">
        <f t="shared" si="152"/>
        <v/>
      </c>
      <c r="FQ798" s="2579" t="str">
        <f t="shared" si="153"/>
        <v/>
      </c>
      <c r="FR798" s="2579" t="str">
        <f t="shared" si="154"/>
        <v/>
      </c>
      <c r="FS798" s="2579" t="str">
        <f t="shared" si="155"/>
        <v/>
      </c>
      <c r="FT798" s="2579" t="str">
        <f t="shared" si="156"/>
        <v/>
      </c>
      <c r="FU798" s="2579" t="str">
        <f t="shared" si="157"/>
        <v/>
      </c>
      <c r="FV798" s="2579" t="str">
        <f t="shared" si="158"/>
        <v/>
      </c>
      <c r="FW798" s="2579" t="str">
        <f t="shared" si="159"/>
        <v/>
      </c>
      <c r="FX798" s="2579" t="str">
        <f t="shared" si="160"/>
        <v/>
      </c>
      <c r="FY798" s="2579" t="str">
        <f t="shared" si="161"/>
        <v/>
      </c>
      <c r="FZ798" s="2579" t="str">
        <f t="shared" si="162"/>
        <v/>
      </c>
      <c r="GA798" s="2579" t="str">
        <f t="shared" si="163"/>
        <v/>
      </c>
      <c r="GB798" s="2579" t="str">
        <f t="shared" si="164"/>
        <v/>
      </c>
      <c r="GC798" s="2579" t="str">
        <f t="shared" si="165"/>
        <v/>
      </c>
      <c r="GD798" s="2579" t="str">
        <f t="shared" si="166"/>
        <v/>
      </c>
      <c r="GE798" s="2579" t="str">
        <f t="shared" si="167"/>
        <v/>
      </c>
      <c r="GF798" s="2579" t="str">
        <f t="shared" si="168"/>
        <v/>
      </c>
      <c r="GG798" s="2579" t="str">
        <f t="shared" si="169"/>
        <v/>
      </c>
      <c r="GH798" s="2579" t="str">
        <f t="shared" si="170"/>
        <v/>
      </c>
      <c r="GI798" s="2579" t="str">
        <f t="shared" si="171"/>
        <v/>
      </c>
      <c r="GJ798" s="2579" t="str">
        <f t="shared" si="172"/>
        <v/>
      </c>
      <c r="GK798" s="2579" t="str">
        <f t="shared" si="173"/>
        <v/>
      </c>
      <c r="GL798" s="2579" t="str">
        <f t="shared" si="174"/>
        <v/>
      </c>
      <c r="GM798" s="2579" t="str">
        <f t="shared" si="175"/>
        <v/>
      </c>
      <c r="GN798" s="2579" t="str">
        <f t="shared" si="176"/>
        <v/>
      </c>
      <c r="GO798" s="2579" t="str">
        <f t="shared" si="177"/>
        <v/>
      </c>
      <c r="GP798" s="2579" t="str">
        <f t="shared" si="178"/>
        <v/>
      </c>
      <c r="GQ798" s="2579" t="str">
        <f t="shared" si="179"/>
        <v/>
      </c>
      <c r="GR798" s="2579" t="str">
        <f t="shared" si="180"/>
        <v/>
      </c>
      <c r="GS798" s="2579" t="str">
        <f t="shared" si="181"/>
        <v/>
      </c>
      <c r="GT798" s="2579" t="str">
        <f t="shared" si="182"/>
        <v/>
      </c>
      <c r="GU798" s="2579" t="str">
        <f t="shared" si="183"/>
        <v/>
      </c>
      <c r="GV798" s="2579" t="str">
        <f t="shared" si="184"/>
        <v/>
      </c>
      <c r="GW798" s="2579" t="str">
        <f t="shared" si="185"/>
        <v/>
      </c>
      <c r="GX798" s="2579" t="str">
        <f t="shared" si="186"/>
        <v/>
      </c>
      <c r="GY798" s="2579" t="str">
        <f t="shared" si="187"/>
        <v/>
      </c>
      <c r="GZ798" s="2579" t="str">
        <f t="shared" si="188"/>
        <v/>
      </c>
      <c r="HA798" s="2579" t="str">
        <f t="shared" si="189"/>
        <v/>
      </c>
      <c r="HB798" s="2579" t="str">
        <f t="shared" si="190"/>
        <v/>
      </c>
      <c r="HC798" s="2579" t="str">
        <f t="shared" si="191"/>
        <v/>
      </c>
      <c r="HD798" s="2579" t="str">
        <f t="shared" si="192"/>
        <v/>
      </c>
      <c r="HE798" s="2579" t="str">
        <f t="shared" si="193"/>
        <v/>
      </c>
      <c r="HF798" s="2579" t="str">
        <f t="shared" si="194"/>
        <v/>
      </c>
      <c r="HG798" s="2579" t="str">
        <f t="shared" si="195"/>
        <v/>
      </c>
      <c r="HH798" s="2579" t="str">
        <f t="shared" si="196"/>
        <v/>
      </c>
      <c r="HI798" s="2579" t="str">
        <f t="shared" si="197"/>
        <v/>
      </c>
      <c r="HJ798" s="2579" t="str">
        <f t="shared" si="198"/>
        <v/>
      </c>
      <c r="HK798" s="2579" t="str">
        <f t="shared" si="199"/>
        <v/>
      </c>
      <c r="HL798" s="2579" t="str">
        <f t="shared" si="200"/>
        <v/>
      </c>
      <c r="HM798" s="2579" t="str">
        <f t="shared" si="201"/>
        <v/>
      </c>
      <c r="HN798" s="2579" t="str">
        <f t="shared" si="202"/>
        <v/>
      </c>
      <c r="HO798" s="2579" t="str">
        <f t="shared" si="203"/>
        <v/>
      </c>
      <c r="HP798" s="2579" t="str">
        <f t="shared" si="204"/>
        <v/>
      </c>
      <c r="HQ798" s="2579" t="str">
        <f t="shared" si="205"/>
        <v/>
      </c>
      <c r="HR798" s="2579" t="str">
        <f t="shared" si="206"/>
        <v/>
      </c>
      <c r="HS798" s="2579" t="str">
        <f t="shared" si="207"/>
        <v/>
      </c>
      <c r="HT798" s="2579" t="str">
        <f t="shared" si="208"/>
        <v/>
      </c>
      <c r="HU798" s="2579" t="str">
        <f t="shared" si="209"/>
        <v/>
      </c>
      <c r="HV798" s="2579" t="str">
        <f t="shared" si="210"/>
        <v/>
      </c>
      <c r="HW798" s="2579" t="str">
        <f t="shared" si="211"/>
        <v/>
      </c>
      <c r="HX798" s="2579" t="str">
        <f t="shared" si="212"/>
        <v/>
      </c>
      <c r="HY798" s="2579" t="str">
        <f t="shared" si="213"/>
        <v/>
      </c>
      <c r="HZ798" s="2579" t="str">
        <f t="shared" si="214"/>
        <v/>
      </c>
      <c r="IA798" s="2579" t="str">
        <f t="shared" si="215"/>
        <v/>
      </c>
      <c r="IB798" s="2579" t="str">
        <f t="shared" si="216"/>
        <v/>
      </c>
      <c r="IC798" s="2579" t="str">
        <f t="shared" si="217"/>
        <v/>
      </c>
      <c r="ID798" s="2551" t="str">
        <f t="shared" si="218"/>
        <v/>
      </c>
      <c r="IE798" s="2551" t="str">
        <f t="shared" si="219"/>
        <v/>
      </c>
      <c r="IF798" s="2551" t="str">
        <f t="shared" si="220"/>
        <v/>
      </c>
      <c r="IG798" s="2551" t="str">
        <f t="shared" si="221"/>
        <v/>
      </c>
      <c r="IH798" s="2551"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2549">
        <f t="shared" si="243"/>
        <v>0</v>
      </c>
      <c r="JD798" s="2549">
        <f t="shared" si="244"/>
        <v>0</v>
      </c>
      <c r="JE798" s="2549">
        <f t="shared" si="245"/>
        <v>0</v>
      </c>
      <c r="JF798" s="2549">
        <f t="shared" si="246"/>
        <v>0</v>
      </c>
      <c r="JG798" s="2549">
        <f t="shared" si="247"/>
        <v>0</v>
      </c>
      <c r="JH798" s="2549">
        <f t="shared" si="248"/>
        <v>0</v>
      </c>
      <c r="JI798" s="2549">
        <f t="shared" si="249"/>
        <v>0</v>
      </c>
      <c r="JJ798" s="2549">
        <f t="shared" si="250"/>
        <v>0</v>
      </c>
      <c r="JK798" s="2549">
        <f t="shared" si="251"/>
        <v>0</v>
      </c>
      <c r="JL798" s="2549">
        <f t="shared" si="252"/>
        <v>0</v>
      </c>
      <c r="JM798" s="2549">
        <f t="shared" si="253"/>
        <v>0</v>
      </c>
      <c r="JN798" s="2549">
        <f t="shared" si="254"/>
        <v>0</v>
      </c>
      <c r="JO798" s="2549">
        <f t="shared" si="255"/>
        <v>0</v>
      </c>
      <c r="JP798" s="2549">
        <f t="shared" si="256"/>
        <v>0</v>
      </c>
      <c r="JQ798" s="2549">
        <f t="shared" si="257"/>
        <v>0</v>
      </c>
    </row>
    <row r="799" spans="1:277" ht="12" customHeight="1">
      <c r="A799" s="2562" t="str">
        <f t="shared" si="0"/>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1"/>
        <v>0</v>
      </c>
      <c r="L799" s="2576">
        <f t="shared" si="2"/>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2579" t="str">
        <f t="shared" si="133"/>
        <v/>
      </c>
      <c r="EX799" s="2579" t="str">
        <f t="shared" si="134"/>
        <v/>
      </c>
      <c r="EY799" s="2579" t="str">
        <f t="shared" si="135"/>
        <v/>
      </c>
      <c r="EZ799" s="2579" t="str">
        <f t="shared" si="136"/>
        <v/>
      </c>
      <c r="FA799" s="2579" t="str">
        <f t="shared" si="137"/>
        <v/>
      </c>
      <c r="FB799" s="2579" t="str">
        <f t="shared" si="138"/>
        <v/>
      </c>
      <c r="FC799" s="2579" t="str">
        <f t="shared" si="139"/>
        <v/>
      </c>
      <c r="FD799" s="2579" t="str">
        <f t="shared" si="140"/>
        <v/>
      </c>
      <c r="FE799" s="2579" t="str">
        <f t="shared" si="141"/>
        <v/>
      </c>
      <c r="FF799" s="2579" t="str">
        <f t="shared" si="142"/>
        <v/>
      </c>
      <c r="FG799" s="2579" t="str">
        <f t="shared" si="143"/>
        <v/>
      </c>
      <c r="FH799" s="2579" t="str">
        <f t="shared" si="144"/>
        <v/>
      </c>
      <c r="FI799" s="2579" t="str">
        <f t="shared" si="145"/>
        <v/>
      </c>
      <c r="FJ799" s="2579" t="str">
        <f t="shared" si="146"/>
        <v/>
      </c>
      <c r="FK799" s="2579" t="str">
        <f t="shared" si="147"/>
        <v/>
      </c>
      <c r="FL799" s="2579" t="str">
        <f t="shared" si="148"/>
        <v/>
      </c>
      <c r="FM799" s="2579" t="str">
        <f t="shared" si="149"/>
        <v/>
      </c>
      <c r="FN799" s="2579" t="str">
        <f t="shared" si="150"/>
        <v/>
      </c>
      <c r="FO799" s="2579" t="str">
        <f t="shared" si="151"/>
        <v/>
      </c>
      <c r="FP799" s="2579" t="str">
        <f t="shared" si="152"/>
        <v/>
      </c>
      <c r="FQ799" s="2579" t="str">
        <f t="shared" si="153"/>
        <v/>
      </c>
      <c r="FR799" s="2579" t="str">
        <f t="shared" si="154"/>
        <v/>
      </c>
      <c r="FS799" s="2579" t="str">
        <f t="shared" si="155"/>
        <v/>
      </c>
      <c r="FT799" s="2579" t="str">
        <f t="shared" si="156"/>
        <v/>
      </c>
      <c r="FU799" s="2579" t="str">
        <f t="shared" si="157"/>
        <v/>
      </c>
      <c r="FV799" s="2579" t="str">
        <f t="shared" si="158"/>
        <v/>
      </c>
      <c r="FW799" s="2579" t="str">
        <f t="shared" si="159"/>
        <v/>
      </c>
      <c r="FX799" s="2579" t="str">
        <f t="shared" si="160"/>
        <v/>
      </c>
      <c r="FY799" s="2579" t="str">
        <f t="shared" si="161"/>
        <v/>
      </c>
      <c r="FZ799" s="2579" t="str">
        <f t="shared" si="162"/>
        <v/>
      </c>
      <c r="GA799" s="2579" t="str">
        <f t="shared" si="163"/>
        <v/>
      </c>
      <c r="GB799" s="2579" t="str">
        <f t="shared" si="164"/>
        <v/>
      </c>
      <c r="GC799" s="2579" t="str">
        <f t="shared" si="165"/>
        <v/>
      </c>
      <c r="GD799" s="2579" t="str">
        <f t="shared" si="166"/>
        <v/>
      </c>
      <c r="GE799" s="2579" t="str">
        <f t="shared" si="167"/>
        <v/>
      </c>
      <c r="GF799" s="2579" t="str">
        <f t="shared" si="168"/>
        <v/>
      </c>
      <c r="GG799" s="2579" t="str">
        <f t="shared" si="169"/>
        <v/>
      </c>
      <c r="GH799" s="2579" t="str">
        <f t="shared" si="170"/>
        <v/>
      </c>
      <c r="GI799" s="2579" t="str">
        <f t="shared" si="171"/>
        <v/>
      </c>
      <c r="GJ799" s="2579" t="str">
        <f t="shared" si="172"/>
        <v/>
      </c>
      <c r="GK799" s="2579" t="str">
        <f t="shared" si="173"/>
        <v/>
      </c>
      <c r="GL799" s="2579" t="str">
        <f t="shared" si="174"/>
        <v/>
      </c>
      <c r="GM799" s="2579" t="str">
        <f t="shared" si="175"/>
        <v/>
      </c>
      <c r="GN799" s="2579" t="str">
        <f t="shared" si="176"/>
        <v/>
      </c>
      <c r="GO799" s="2579" t="str">
        <f t="shared" si="177"/>
        <v/>
      </c>
      <c r="GP799" s="2579" t="str">
        <f t="shared" si="178"/>
        <v/>
      </c>
      <c r="GQ799" s="2579" t="str">
        <f t="shared" si="179"/>
        <v/>
      </c>
      <c r="GR799" s="2579" t="str">
        <f t="shared" si="180"/>
        <v/>
      </c>
      <c r="GS799" s="2579" t="str">
        <f t="shared" si="181"/>
        <v/>
      </c>
      <c r="GT799" s="2579" t="str">
        <f t="shared" si="182"/>
        <v/>
      </c>
      <c r="GU799" s="2579" t="str">
        <f t="shared" si="183"/>
        <v/>
      </c>
      <c r="GV799" s="2579" t="str">
        <f t="shared" si="184"/>
        <v/>
      </c>
      <c r="GW799" s="2579" t="str">
        <f t="shared" si="185"/>
        <v/>
      </c>
      <c r="GX799" s="2579" t="str">
        <f t="shared" si="186"/>
        <v/>
      </c>
      <c r="GY799" s="2579" t="str">
        <f t="shared" si="187"/>
        <v/>
      </c>
      <c r="GZ799" s="2579" t="str">
        <f t="shared" si="188"/>
        <v/>
      </c>
      <c r="HA799" s="2579" t="str">
        <f t="shared" si="189"/>
        <v/>
      </c>
      <c r="HB799" s="2579" t="str">
        <f t="shared" si="190"/>
        <v/>
      </c>
      <c r="HC799" s="2579" t="str">
        <f t="shared" si="191"/>
        <v/>
      </c>
      <c r="HD799" s="2579" t="str">
        <f t="shared" si="192"/>
        <v/>
      </c>
      <c r="HE799" s="2579" t="str">
        <f t="shared" si="193"/>
        <v/>
      </c>
      <c r="HF799" s="2579" t="str">
        <f t="shared" si="194"/>
        <v/>
      </c>
      <c r="HG799" s="2579" t="str">
        <f t="shared" si="195"/>
        <v/>
      </c>
      <c r="HH799" s="2579" t="str">
        <f t="shared" si="196"/>
        <v/>
      </c>
      <c r="HI799" s="2579" t="str">
        <f t="shared" si="197"/>
        <v/>
      </c>
      <c r="HJ799" s="2579" t="str">
        <f t="shared" si="198"/>
        <v/>
      </c>
      <c r="HK799" s="2579" t="str">
        <f t="shared" si="199"/>
        <v/>
      </c>
      <c r="HL799" s="2579" t="str">
        <f t="shared" si="200"/>
        <v/>
      </c>
      <c r="HM799" s="2579" t="str">
        <f t="shared" si="201"/>
        <v/>
      </c>
      <c r="HN799" s="2579" t="str">
        <f t="shared" si="202"/>
        <v/>
      </c>
      <c r="HO799" s="2579" t="str">
        <f t="shared" si="203"/>
        <v/>
      </c>
      <c r="HP799" s="2579" t="str">
        <f t="shared" si="204"/>
        <v/>
      </c>
      <c r="HQ799" s="2579" t="str">
        <f t="shared" si="205"/>
        <v/>
      </c>
      <c r="HR799" s="2579" t="str">
        <f t="shared" si="206"/>
        <v/>
      </c>
      <c r="HS799" s="2579" t="str">
        <f t="shared" si="207"/>
        <v/>
      </c>
      <c r="HT799" s="2579" t="str">
        <f t="shared" si="208"/>
        <v/>
      </c>
      <c r="HU799" s="2579" t="str">
        <f t="shared" si="209"/>
        <v/>
      </c>
      <c r="HV799" s="2579" t="str">
        <f t="shared" si="210"/>
        <v/>
      </c>
      <c r="HW799" s="2579" t="str">
        <f t="shared" si="211"/>
        <v/>
      </c>
      <c r="HX799" s="2579" t="str">
        <f t="shared" si="212"/>
        <v/>
      </c>
      <c r="HY799" s="2579" t="str">
        <f t="shared" si="213"/>
        <v/>
      </c>
      <c r="HZ799" s="2579" t="str">
        <f t="shared" si="214"/>
        <v/>
      </c>
      <c r="IA799" s="2579" t="str">
        <f t="shared" si="215"/>
        <v/>
      </c>
      <c r="IB799" s="2579" t="str">
        <f t="shared" si="216"/>
        <v/>
      </c>
      <c r="IC799" s="2579" t="str">
        <f t="shared" si="217"/>
        <v/>
      </c>
      <c r="ID799" s="2551" t="str">
        <f t="shared" si="218"/>
        <v/>
      </c>
      <c r="IE799" s="2551" t="str">
        <f t="shared" si="219"/>
        <v/>
      </c>
      <c r="IF799" s="2551" t="str">
        <f t="shared" si="220"/>
        <v/>
      </c>
      <c r="IG799" s="2551" t="str">
        <f t="shared" si="221"/>
        <v/>
      </c>
      <c r="IH799" s="2551"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2549">
        <f t="shared" si="243"/>
        <v>0</v>
      </c>
      <c r="JD799" s="2549">
        <f t="shared" si="244"/>
        <v>0</v>
      </c>
      <c r="JE799" s="2549">
        <f t="shared" si="245"/>
        <v>0</v>
      </c>
      <c r="JF799" s="2549">
        <f t="shared" si="246"/>
        <v>0</v>
      </c>
      <c r="JG799" s="2549">
        <f t="shared" si="247"/>
        <v>0</v>
      </c>
      <c r="JH799" s="2549">
        <f t="shared" si="248"/>
        <v>0</v>
      </c>
      <c r="JI799" s="2549">
        <f t="shared" si="249"/>
        <v>0</v>
      </c>
      <c r="JJ799" s="2549">
        <f t="shared" si="250"/>
        <v>0</v>
      </c>
      <c r="JK799" s="2549">
        <f t="shared" si="251"/>
        <v>0</v>
      </c>
      <c r="JL799" s="2549">
        <f t="shared" si="252"/>
        <v>0</v>
      </c>
      <c r="JM799" s="2549">
        <f t="shared" si="253"/>
        <v>0</v>
      </c>
      <c r="JN799" s="2549">
        <f t="shared" si="254"/>
        <v>0</v>
      </c>
      <c r="JO799" s="2549">
        <f t="shared" si="255"/>
        <v>0</v>
      </c>
      <c r="JP799" s="2549">
        <f t="shared" si="256"/>
        <v>0</v>
      </c>
      <c r="JQ799" s="2549">
        <f t="shared" si="257"/>
        <v>0</v>
      </c>
    </row>
    <row r="800" spans="1:277" ht="12" customHeight="1">
      <c r="A800" s="2562" t="str">
        <f t="shared" si="0"/>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1"/>
        <v>0</v>
      </c>
      <c r="L800" s="2576">
        <f t="shared" si="2"/>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2579" t="str">
        <f t="shared" si="133"/>
        <v/>
      </c>
      <c r="EX800" s="2579" t="str">
        <f t="shared" si="134"/>
        <v/>
      </c>
      <c r="EY800" s="2579" t="str">
        <f t="shared" si="135"/>
        <v/>
      </c>
      <c r="EZ800" s="2579" t="str">
        <f t="shared" si="136"/>
        <v/>
      </c>
      <c r="FA800" s="2579" t="str">
        <f t="shared" si="137"/>
        <v/>
      </c>
      <c r="FB800" s="2579" t="str">
        <f t="shared" si="138"/>
        <v/>
      </c>
      <c r="FC800" s="2579" t="str">
        <f t="shared" si="139"/>
        <v/>
      </c>
      <c r="FD800" s="2579" t="str">
        <f t="shared" si="140"/>
        <v/>
      </c>
      <c r="FE800" s="2579" t="str">
        <f t="shared" si="141"/>
        <v/>
      </c>
      <c r="FF800" s="2579" t="str">
        <f t="shared" si="142"/>
        <v/>
      </c>
      <c r="FG800" s="2579" t="str">
        <f t="shared" si="143"/>
        <v/>
      </c>
      <c r="FH800" s="2579" t="str">
        <f t="shared" si="144"/>
        <v/>
      </c>
      <c r="FI800" s="2579" t="str">
        <f t="shared" si="145"/>
        <v/>
      </c>
      <c r="FJ800" s="2579" t="str">
        <f t="shared" si="146"/>
        <v/>
      </c>
      <c r="FK800" s="2579" t="str">
        <f t="shared" si="147"/>
        <v/>
      </c>
      <c r="FL800" s="2579" t="str">
        <f t="shared" si="148"/>
        <v/>
      </c>
      <c r="FM800" s="2579" t="str">
        <f t="shared" si="149"/>
        <v/>
      </c>
      <c r="FN800" s="2579" t="str">
        <f t="shared" si="150"/>
        <v/>
      </c>
      <c r="FO800" s="2579" t="str">
        <f t="shared" si="151"/>
        <v/>
      </c>
      <c r="FP800" s="2579" t="str">
        <f t="shared" si="152"/>
        <v/>
      </c>
      <c r="FQ800" s="2579" t="str">
        <f t="shared" si="153"/>
        <v/>
      </c>
      <c r="FR800" s="2579" t="str">
        <f t="shared" si="154"/>
        <v/>
      </c>
      <c r="FS800" s="2579" t="str">
        <f t="shared" si="155"/>
        <v/>
      </c>
      <c r="FT800" s="2579" t="str">
        <f t="shared" si="156"/>
        <v/>
      </c>
      <c r="FU800" s="2579" t="str">
        <f t="shared" si="157"/>
        <v/>
      </c>
      <c r="FV800" s="2579" t="str">
        <f t="shared" si="158"/>
        <v/>
      </c>
      <c r="FW800" s="2579" t="str">
        <f t="shared" si="159"/>
        <v/>
      </c>
      <c r="FX800" s="2579" t="str">
        <f t="shared" si="160"/>
        <v/>
      </c>
      <c r="FY800" s="2579" t="str">
        <f t="shared" si="161"/>
        <v/>
      </c>
      <c r="FZ800" s="2579" t="str">
        <f t="shared" si="162"/>
        <v/>
      </c>
      <c r="GA800" s="2579" t="str">
        <f t="shared" si="163"/>
        <v/>
      </c>
      <c r="GB800" s="2579" t="str">
        <f t="shared" si="164"/>
        <v/>
      </c>
      <c r="GC800" s="2579" t="str">
        <f t="shared" si="165"/>
        <v/>
      </c>
      <c r="GD800" s="2579" t="str">
        <f t="shared" si="166"/>
        <v/>
      </c>
      <c r="GE800" s="2579" t="str">
        <f t="shared" si="167"/>
        <v/>
      </c>
      <c r="GF800" s="2579" t="str">
        <f t="shared" si="168"/>
        <v/>
      </c>
      <c r="GG800" s="2579" t="str">
        <f t="shared" si="169"/>
        <v/>
      </c>
      <c r="GH800" s="2579" t="str">
        <f t="shared" si="170"/>
        <v/>
      </c>
      <c r="GI800" s="2579" t="str">
        <f t="shared" si="171"/>
        <v/>
      </c>
      <c r="GJ800" s="2579" t="str">
        <f t="shared" si="172"/>
        <v/>
      </c>
      <c r="GK800" s="2579" t="str">
        <f t="shared" si="173"/>
        <v/>
      </c>
      <c r="GL800" s="2579" t="str">
        <f t="shared" si="174"/>
        <v/>
      </c>
      <c r="GM800" s="2579" t="str">
        <f t="shared" si="175"/>
        <v/>
      </c>
      <c r="GN800" s="2579" t="str">
        <f t="shared" si="176"/>
        <v/>
      </c>
      <c r="GO800" s="2579" t="str">
        <f t="shared" si="177"/>
        <v/>
      </c>
      <c r="GP800" s="2579" t="str">
        <f t="shared" si="178"/>
        <v/>
      </c>
      <c r="GQ800" s="2579" t="str">
        <f t="shared" si="179"/>
        <v/>
      </c>
      <c r="GR800" s="2579" t="str">
        <f t="shared" si="180"/>
        <v/>
      </c>
      <c r="GS800" s="2579" t="str">
        <f t="shared" si="181"/>
        <v/>
      </c>
      <c r="GT800" s="2579" t="str">
        <f t="shared" si="182"/>
        <v/>
      </c>
      <c r="GU800" s="2579" t="str">
        <f t="shared" si="183"/>
        <v/>
      </c>
      <c r="GV800" s="2579" t="str">
        <f t="shared" si="184"/>
        <v/>
      </c>
      <c r="GW800" s="2579" t="str">
        <f t="shared" si="185"/>
        <v/>
      </c>
      <c r="GX800" s="2579" t="str">
        <f t="shared" si="186"/>
        <v/>
      </c>
      <c r="GY800" s="2579" t="str">
        <f t="shared" si="187"/>
        <v/>
      </c>
      <c r="GZ800" s="2579" t="str">
        <f t="shared" si="188"/>
        <v/>
      </c>
      <c r="HA800" s="2579" t="str">
        <f t="shared" si="189"/>
        <v/>
      </c>
      <c r="HB800" s="2579" t="str">
        <f t="shared" si="190"/>
        <v/>
      </c>
      <c r="HC800" s="2579" t="str">
        <f t="shared" si="191"/>
        <v/>
      </c>
      <c r="HD800" s="2579" t="str">
        <f t="shared" si="192"/>
        <v/>
      </c>
      <c r="HE800" s="2579" t="str">
        <f t="shared" si="193"/>
        <v/>
      </c>
      <c r="HF800" s="2579" t="str">
        <f t="shared" si="194"/>
        <v/>
      </c>
      <c r="HG800" s="2579" t="str">
        <f t="shared" si="195"/>
        <v/>
      </c>
      <c r="HH800" s="2579" t="str">
        <f t="shared" si="196"/>
        <v/>
      </c>
      <c r="HI800" s="2579" t="str">
        <f t="shared" si="197"/>
        <v/>
      </c>
      <c r="HJ800" s="2579" t="str">
        <f t="shared" si="198"/>
        <v/>
      </c>
      <c r="HK800" s="2579" t="str">
        <f t="shared" si="199"/>
        <v/>
      </c>
      <c r="HL800" s="2579" t="str">
        <f t="shared" si="200"/>
        <v/>
      </c>
      <c r="HM800" s="2579" t="str">
        <f t="shared" si="201"/>
        <v/>
      </c>
      <c r="HN800" s="2579" t="str">
        <f t="shared" si="202"/>
        <v/>
      </c>
      <c r="HO800" s="2579" t="str">
        <f t="shared" si="203"/>
        <v/>
      </c>
      <c r="HP800" s="2579" t="str">
        <f t="shared" si="204"/>
        <v/>
      </c>
      <c r="HQ800" s="2579" t="str">
        <f t="shared" si="205"/>
        <v/>
      </c>
      <c r="HR800" s="2579" t="str">
        <f t="shared" si="206"/>
        <v/>
      </c>
      <c r="HS800" s="2579" t="str">
        <f t="shared" si="207"/>
        <v/>
      </c>
      <c r="HT800" s="2579" t="str">
        <f t="shared" si="208"/>
        <v/>
      </c>
      <c r="HU800" s="2579" t="str">
        <f t="shared" si="209"/>
        <v/>
      </c>
      <c r="HV800" s="2579" t="str">
        <f t="shared" si="210"/>
        <v/>
      </c>
      <c r="HW800" s="2579" t="str">
        <f t="shared" si="211"/>
        <v/>
      </c>
      <c r="HX800" s="2579" t="str">
        <f t="shared" si="212"/>
        <v/>
      </c>
      <c r="HY800" s="2579" t="str">
        <f t="shared" si="213"/>
        <v/>
      </c>
      <c r="HZ800" s="2579" t="str">
        <f t="shared" si="214"/>
        <v/>
      </c>
      <c r="IA800" s="2579" t="str">
        <f t="shared" si="215"/>
        <v/>
      </c>
      <c r="IB800" s="2579" t="str">
        <f t="shared" si="216"/>
        <v/>
      </c>
      <c r="IC800" s="2579" t="str">
        <f t="shared" si="217"/>
        <v/>
      </c>
      <c r="ID800" s="2551" t="str">
        <f t="shared" si="218"/>
        <v/>
      </c>
      <c r="IE800" s="2551" t="str">
        <f t="shared" si="219"/>
        <v/>
      </c>
      <c r="IF800" s="2551" t="str">
        <f t="shared" si="220"/>
        <v/>
      </c>
      <c r="IG800" s="2551" t="str">
        <f t="shared" si="221"/>
        <v/>
      </c>
      <c r="IH800" s="2551"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2549">
        <f t="shared" si="243"/>
        <v>0</v>
      </c>
      <c r="JD800" s="2549">
        <f t="shared" si="244"/>
        <v>0</v>
      </c>
      <c r="JE800" s="2549">
        <f t="shared" si="245"/>
        <v>0</v>
      </c>
      <c r="JF800" s="2549">
        <f t="shared" si="246"/>
        <v>0</v>
      </c>
      <c r="JG800" s="2549">
        <f t="shared" si="247"/>
        <v>0</v>
      </c>
      <c r="JH800" s="2549">
        <f t="shared" si="248"/>
        <v>0</v>
      </c>
      <c r="JI800" s="2549">
        <f t="shared" si="249"/>
        <v>0</v>
      </c>
      <c r="JJ800" s="2549">
        <f t="shared" si="250"/>
        <v>0</v>
      </c>
      <c r="JK800" s="2549">
        <f t="shared" si="251"/>
        <v>0</v>
      </c>
      <c r="JL800" s="2549">
        <f t="shared" si="252"/>
        <v>0</v>
      </c>
      <c r="JM800" s="2549">
        <f t="shared" si="253"/>
        <v>0</v>
      </c>
      <c r="JN800" s="2549">
        <f t="shared" si="254"/>
        <v>0</v>
      </c>
      <c r="JO800" s="2549">
        <f t="shared" si="255"/>
        <v>0</v>
      </c>
      <c r="JP800" s="2549">
        <f t="shared" si="256"/>
        <v>0</v>
      </c>
      <c r="JQ800" s="2549">
        <f t="shared" si="257"/>
        <v>0</v>
      </c>
    </row>
    <row r="801" spans="1:278" ht="12" customHeight="1">
      <c r="A801" s="2562" t="str">
        <f t="shared" si="0"/>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1"/>
        <v>0</v>
      </c>
      <c r="L801" s="2576">
        <f t="shared" si="2"/>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2579" t="str">
        <f t="shared" si="133"/>
        <v/>
      </c>
      <c r="EX801" s="2579" t="str">
        <f t="shared" si="134"/>
        <v/>
      </c>
      <c r="EY801" s="2579" t="str">
        <f t="shared" si="135"/>
        <v/>
      </c>
      <c r="EZ801" s="2579" t="str">
        <f t="shared" si="136"/>
        <v/>
      </c>
      <c r="FA801" s="2579" t="str">
        <f t="shared" si="137"/>
        <v/>
      </c>
      <c r="FB801" s="2579" t="str">
        <f t="shared" si="138"/>
        <v/>
      </c>
      <c r="FC801" s="2579" t="str">
        <f t="shared" si="139"/>
        <v/>
      </c>
      <c r="FD801" s="2579" t="str">
        <f t="shared" si="140"/>
        <v/>
      </c>
      <c r="FE801" s="2579" t="str">
        <f t="shared" si="141"/>
        <v/>
      </c>
      <c r="FF801" s="2579" t="str">
        <f t="shared" si="142"/>
        <v/>
      </c>
      <c r="FG801" s="2579" t="str">
        <f t="shared" si="143"/>
        <v/>
      </c>
      <c r="FH801" s="2579" t="str">
        <f t="shared" si="144"/>
        <v/>
      </c>
      <c r="FI801" s="2579" t="str">
        <f t="shared" si="145"/>
        <v/>
      </c>
      <c r="FJ801" s="2579" t="str">
        <f t="shared" si="146"/>
        <v/>
      </c>
      <c r="FK801" s="2579" t="str">
        <f t="shared" si="147"/>
        <v/>
      </c>
      <c r="FL801" s="2579" t="str">
        <f t="shared" si="148"/>
        <v/>
      </c>
      <c r="FM801" s="2579" t="str">
        <f t="shared" si="149"/>
        <v/>
      </c>
      <c r="FN801" s="2579" t="str">
        <f t="shared" si="150"/>
        <v/>
      </c>
      <c r="FO801" s="2579" t="str">
        <f t="shared" si="151"/>
        <v/>
      </c>
      <c r="FP801" s="2579" t="str">
        <f t="shared" si="152"/>
        <v/>
      </c>
      <c r="FQ801" s="2579" t="str">
        <f t="shared" si="153"/>
        <v/>
      </c>
      <c r="FR801" s="2579" t="str">
        <f t="shared" si="154"/>
        <v/>
      </c>
      <c r="FS801" s="2579" t="str">
        <f t="shared" si="155"/>
        <v/>
      </c>
      <c r="FT801" s="2579" t="str">
        <f t="shared" si="156"/>
        <v/>
      </c>
      <c r="FU801" s="2579" t="str">
        <f t="shared" si="157"/>
        <v/>
      </c>
      <c r="FV801" s="2579" t="str">
        <f t="shared" si="158"/>
        <v/>
      </c>
      <c r="FW801" s="2579" t="str">
        <f t="shared" si="159"/>
        <v/>
      </c>
      <c r="FX801" s="2579" t="str">
        <f t="shared" si="160"/>
        <v/>
      </c>
      <c r="FY801" s="2579" t="str">
        <f t="shared" si="161"/>
        <v/>
      </c>
      <c r="FZ801" s="2579" t="str">
        <f t="shared" si="162"/>
        <v/>
      </c>
      <c r="GA801" s="2579" t="str">
        <f t="shared" si="163"/>
        <v/>
      </c>
      <c r="GB801" s="2579" t="str">
        <f t="shared" si="164"/>
        <v/>
      </c>
      <c r="GC801" s="2579" t="str">
        <f t="shared" si="165"/>
        <v/>
      </c>
      <c r="GD801" s="2579" t="str">
        <f t="shared" si="166"/>
        <v/>
      </c>
      <c r="GE801" s="2579" t="str">
        <f t="shared" si="167"/>
        <v/>
      </c>
      <c r="GF801" s="2579" t="str">
        <f t="shared" si="168"/>
        <v/>
      </c>
      <c r="GG801" s="2579" t="str">
        <f t="shared" si="169"/>
        <v/>
      </c>
      <c r="GH801" s="2579" t="str">
        <f t="shared" si="170"/>
        <v/>
      </c>
      <c r="GI801" s="2579" t="str">
        <f t="shared" si="171"/>
        <v/>
      </c>
      <c r="GJ801" s="2579" t="str">
        <f t="shared" si="172"/>
        <v/>
      </c>
      <c r="GK801" s="2579" t="str">
        <f t="shared" si="173"/>
        <v/>
      </c>
      <c r="GL801" s="2579" t="str">
        <f t="shared" si="174"/>
        <v/>
      </c>
      <c r="GM801" s="2579" t="str">
        <f t="shared" si="175"/>
        <v/>
      </c>
      <c r="GN801" s="2579" t="str">
        <f t="shared" si="176"/>
        <v/>
      </c>
      <c r="GO801" s="2579" t="str">
        <f t="shared" si="177"/>
        <v/>
      </c>
      <c r="GP801" s="2579" t="str">
        <f t="shared" si="178"/>
        <v/>
      </c>
      <c r="GQ801" s="2579" t="str">
        <f t="shared" si="179"/>
        <v/>
      </c>
      <c r="GR801" s="2579" t="str">
        <f t="shared" si="180"/>
        <v/>
      </c>
      <c r="GS801" s="2579" t="str">
        <f t="shared" si="181"/>
        <v/>
      </c>
      <c r="GT801" s="2579" t="str">
        <f t="shared" si="182"/>
        <v/>
      </c>
      <c r="GU801" s="2579" t="str">
        <f t="shared" si="183"/>
        <v/>
      </c>
      <c r="GV801" s="2579" t="str">
        <f t="shared" si="184"/>
        <v/>
      </c>
      <c r="GW801" s="2579" t="str">
        <f t="shared" si="185"/>
        <v/>
      </c>
      <c r="GX801" s="2579" t="str">
        <f t="shared" si="186"/>
        <v/>
      </c>
      <c r="GY801" s="2579" t="str">
        <f t="shared" si="187"/>
        <v/>
      </c>
      <c r="GZ801" s="2579" t="str">
        <f t="shared" si="188"/>
        <v/>
      </c>
      <c r="HA801" s="2579" t="str">
        <f t="shared" si="189"/>
        <v/>
      </c>
      <c r="HB801" s="2579" t="str">
        <f t="shared" si="190"/>
        <v/>
      </c>
      <c r="HC801" s="2579" t="str">
        <f t="shared" si="191"/>
        <v/>
      </c>
      <c r="HD801" s="2579" t="str">
        <f t="shared" si="192"/>
        <v/>
      </c>
      <c r="HE801" s="2579" t="str">
        <f t="shared" si="193"/>
        <v/>
      </c>
      <c r="HF801" s="2579" t="str">
        <f t="shared" si="194"/>
        <v/>
      </c>
      <c r="HG801" s="2579" t="str">
        <f t="shared" si="195"/>
        <v/>
      </c>
      <c r="HH801" s="2579" t="str">
        <f t="shared" si="196"/>
        <v/>
      </c>
      <c r="HI801" s="2579" t="str">
        <f t="shared" si="197"/>
        <v/>
      </c>
      <c r="HJ801" s="2579" t="str">
        <f t="shared" si="198"/>
        <v/>
      </c>
      <c r="HK801" s="2579" t="str">
        <f t="shared" si="199"/>
        <v/>
      </c>
      <c r="HL801" s="2579" t="str">
        <f t="shared" si="200"/>
        <v/>
      </c>
      <c r="HM801" s="2579" t="str">
        <f t="shared" si="201"/>
        <v/>
      </c>
      <c r="HN801" s="2579" t="str">
        <f t="shared" si="202"/>
        <v/>
      </c>
      <c r="HO801" s="2579" t="str">
        <f t="shared" si="203"/>
        <v/>
      </c>
      <c r="HP801" s="2579" t="str">
        <f t="shared" si="204"/>
        <v/>
      </c>
      <c r="HQ801" s="2579" t="str">
        <f t="shared" si="205"/>
        <v/>
      </c>
      <c r="HR801" s="2579" t="str">
        <f t="shared" si="206"/>
        <v/>
      </c>
      <c r="HS801" s="2579" t="str">
        <f t="shared" si="207"/>
        <v/>
      </c>
      <c r="HT801" s="2579" t="str">
        <f t="shared" si="208"/>
        <v/>
      </c>
      <c r="HU801" s="2579" t="str">
        <f t="shared" si="209"/>
        <v/>
      </c>
      <c r="HV801" s="2579" t="str">
        <f t="shared" si="210"/>
        <v/>
      </c>
      <c r="HW801" s="2579" t="str">
        <f t="shared" si="211"/>
        <v/>
      </c>
      <c r="HX801" s="2579" t="str">
        <f t="shared" si="212"/>
        <v/>
      </c>
      <c r="HY801" s="2579" t="str">
        <f t="shared" si="213"/>
        <v/>
      </c>
      <c r="HZ801" s="2579" t="str">
        <f t="shared" si="214"/>
        <v/>
      </c>
      <c r="IA801" s="2579" t="str">
        <f t="shared" si="215"/>
        <v/>
      </c>
      <c r="IB801" s="2579" t="str">
        <f t="shared" si="216"/>
        <v/>
      </c>
      <c r="IC801" s="2579" t="str">
        <f t="shared" si="217"/>
        <v/>
      </c>
      <c r="ID801" s="2551" t="str">
        <f t="shared" si="218"/>
        <v/>
      </c>
      <c r="IE801" s="2551" t="str">
        <f t="shared" si="219"/>
        <v/>
      </c>
      <c r="IF801" s="2551" t="str">
        <f t="shared" si="220"/>
        <v/>
      </c>
      <c r="IG801" s="2551" t="str">
        <f t="shared" si="221"/>
        <v/>
      </c>
      <c r="IH801" s="2551"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2549">
        <f t="shared" si="243"/>
        <v>0</v>
      </c>
      <c r="JD801" s="2549">
        <f t="shared" si="244"/>
        <v>0</v>
      </c>
      <c r="JE801" s="2549">
        <f t="shared" si="245"/>
        <v>0</v>
      </c>
      <c r="JF801" s="2549">
        <f t="shared" si="246"/>
        <v>0</v>
      </c>
      <c r="JG801" s="2549">
        <f t="shared" si="247"/>
        <v>0</v>
      </c>
      <c r="JH801" s="2549">
        <f t="shared" si="248"/>
        <v>0</v>
      </c>
      <c r="JI801" s="2549">
        <f t="shared" si="249"/>
        <v>0</v>
      </c>
      <c r="JJ801" s="2549">
        <f t="shared" si="250"/>
        <v>0</v>
      </c>
      <c r="JK801" s="2549">
        <f t="shared" si="251"/>
        <v>0</v>
      </c>
      <c r="JL801" s="2549">
        <f t="shared" si="252"/>
        <v>0</v>
      </c>
      <c r="JM801" s="2549">
        <f t="shared" si="253"/>
        <v>0</v>
      </c>
      <c r="JN801" s="2549">
        <f t="shared" si="254"/>
        <v>0</v>
      </c>
      <c r="JO801" s="2549">
        <f t="shared" si="255"/>
        <v>0</v>
      </c>
      <c r="JP801" s="2549">
        <f t="shared" si="256"/>
        <v>0</v>
      </c>
      <c r="JQ801" s="2549">
        <f t="shared" si="257"/>
        <v>0</v>
      </c>
    </row>
    <row r="802" spans="1:278" ht="12" customHeight="1">
      <c r="A802" s="2562" t="str">
        <f t="shared" si="0"/>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1"/>
        <v>0</v>
      </c>
      <c r="L802" s="2576">
        <f t="shared" si="2"/>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2579" t="str">
        <f t="shared" si="133"/>
        <v/>
      </c>
      <c r="EX802" s="2579" t="str">
        <f t="shared" si="134"/>
        <v/>
      </c>
      <c r="EY802" s="2579" t="str">
        <f t="shared" si="135"/>
        <v/>
      </c>
      <c r="EZ802" s="2579" t="str">
        <f t="shared" si="136"/>
        <v/>
      </c>
      <c r="FA802" s="2579" t="str">
        <f t="shared" si="137"/>
        <v/>
      </c>
      <c r="FB802" s="2579" t="str">
        <f t="shared" si="138"/>
        <v/>
      </c>
      <c r="FC802" s="2579" t="str">
        <f t="shared" si="139"/>
        <v/>
      </c>
      <c r="FD802" s="2579" t="str">
        <f t="shared" si="140"/>
        <v/>
      </c>
      <c r="FE802" s="2579" t="str">
        <f t="shared" si="141"/>
        <v/>
      </c>
      <c r="FF802" s="2579" t="str">
        <f t="shared" si="142"/>
        <v/>
      </c>
      <c r="FG802" s="2579" t="str">
        <f t="shared" si="143"/>
        <v/>
      </c>
      <c r="FH802" s="2579" t="str">
        <f t="shared" si="144"/>
        <v/>
      </c>
      <c r="FI802" s="2579" t="str">
        <f t="shared" si="145"/>
        <v/>
      </c>
      <c r="FJ802" s="2579" t="str">
        <f t="shared" si="146"/>
        <v/>
      </c>
      <c r="FK802" s="2579" t="str">
        <f t="shared" si="147"/>
        <v/>
      </c>
      <c r="FL802" s="2579" t="str">
        <f t="shared" si="148"/>
        <v/>
      </c>
      <c r="FM802" s="2579" t="str">
        <f t="shared" si="149"/>
        <v/>
      </c>
      <c r="FN802" s="2579" t="str">
        <f t="shared" si="150"/>
        <v/>
      </c>
      <c r="FO802" s="2579" t="str">
        <f t="shared" si="151"/>
        <v/>
      </c>
      <c r="FP802" s="2579" t="str">
        <f t="shared" si="152"/>
        <v/>
      </c>
      <c r="FQ802" s="2579" t="str">
        <f t="shared" si="153"/>
        <v/>
      </c>
      <c r="FR802" s="2579" t="str">
        <f t="shared" si="154"/>
        <v/>
      </c>
      <c r="FS802" s="2579" t="str">
        <f t="shared" si="155"/>
        <v/>
      </c>
      <c r="FT802" s="2579" t="str">
        <f t="shared" si="156"/>
        <v/>
      </c>
      <c r="FU802" s="2579" t="str">
        <f t="shared" si="157"/>
        <v/>
      </c>
      <c r="FV802" s="2579" t="str">
        <f t="shared" si="158"/>
        <v/>
      </c>
      <c r="FW802" s="2579" t="str">
        <f t="shared" si="159"/>
        <v/>
      </c>
      <c r="FX802" s="2579" t="str">
        <f t="shared" si="160"/>
        <v/>
      </c>
      <c r="FY802" s="2579" t="str">
        <f t="shared" si="161"/>
        <v/>
      </c>
      <c r="FZ802" s="2579" t="str">
        <f t="shared" si="162"/>
        <v/>
      </c>
      <c r="GA802" s="2579" t="str">
        <f t="shared" si="163"/>
        <v/>
      </c>
      <c r="GB802" s="2579" t="str">
        <f t="shared" si="164"/>
        <v/>
      </c>
      <c r="GC802" s="2579" t="str">
        <f t="shared" si="165"/>
        <v/>
      </c>
      <c r="GD802" s="2579" t="str">
        <f t="shared" si="166"/>
        <v/>
      </c>
      <c r="GE802" s="2579" t="str">
        <f t="shared" si="167"/>
        <v/>
      </c>
      <c r="GF802" s="2579" t="str">
        <f t="shared" si="168"/>
        <v/>
      </c>
      <c r="GG802" s="2579" t="str">
        <f t="shared" si="169"/>
        <v/>
      </c>
      <c r="GH802" s="2579" t="str">
        <f t="shared" si="170"/>
        <v/>
      </c>
      <c r="GI802" s="2579" t="str">
        <f t="shared" si="171"/>
        <v/>
      </c>
      <c r="GJ802" s="2579" t="str">
        <f t="shared" si="172"/>
        <v/>
      </c>
      <c r="GK802" s="2579" t="str">
        <f t="shared" si="173"/>
        <v/>
      </c>
      <c r="GL802" s="2579" t="str">
        <f t="shared" si="174"/>
        <v/>
      </c>
      <c r="GM802" s="2579" t="str">
        <f t="shared" si="175"/>
        <v/>
      </c>
      <c r="GN802" s="2579" t="str">
        <f t="shared" si="176"/>
        <v/>
      </c>
      <c r="GO802" s="2579" t="str">
        <f t="shared" si="177"/>
        <v/>
      </c>
      <c r="GP802" s="2579" t="str">
        <f t="shared" si="178"/>
        <v/>
      </c>
      <c r="GQ802" s="2579" t="str">
        <f t="shared" si="179"/>
        <v/>
      </c>
      <c r="GR802" s="2579" t="str">
        <f t="shared" si="180"/>
        <v/>
      </c>
      <c r="GS802" s="2579" t="str">
        <f t="shared" si="181"/>
        <v/>
      </c>
      <c r="GT802" s="2579" t="str">
        <f t="shared" si="182"/>
        <v/>
      </c>
      <c r="GU802" s="2579" t="str">
        <f t="shared" si="183"/>
        <v/>
      </c>
      <c r="GV802" s="2579" t="str">
        <f t="shared" si="184"/>
        <v/>
      </c>
      <c r="GW802" s="2579" t="str">
        <f t="shared" si="185"/>
        <v/>
      </c>
      <c r="GX802" s="2579" t="str">
        <f t="shared" si="186"/>
        <v/>
      </c>
      <c r="GY802" s="2579" t="str">
        <f t="shared" si="187"/>
        <v/>
      </c>
      <c r="GZ802" s="2579" t="str">
        <f t="shared" si="188"/>
        <v/>
      </c>
      <c r="HA802" s="2579" t="str">
        <f t="shared" si="189"/>
        <v/>
      </c>
      <c r="HB802" s="2579" t="str">
        <f t="shared" si="190"/>
        <v/>
      </c>
      <c r="HC802" s="2579" t="str">
        <f t="shared" si="191"/>
        <v/>
      </c>
      <c r="HD802" s="2579" t="str">
        <f t="shared" si="192"/>
        <v/>
      </c>
      <c r="HE802" s="2579" t="str">
        <f t="shared" si="193"/>
        <v/>
      </c>
      <c r="HF802" s="2579" t="str">
        <f t="shared" si="194"/>
        <v/>
      </c>
      <c r="HG802" s="2579" t="str">
        <f t="shared" si="195"/>
        <v/>
      </c>
      <c r="HH802" s="2579" t="str">
        <f t="shared" si="196"/>
        <v/>
      </c>
      <c r="HI802" s="2579" t="str">
        <f t="shared" si="197"/>
        <v/>
      </c>
      <c r="HJ802" s="2579" t="str">
        <f t="shared" si="198"/>
        <v/>
      </c>
      <c r="HK802" s="2579" t="str">
        <f t="shared" si="199"/>
        <v/>
      </c>
      <c r="HL802" s="2579" t="str">
        <f t="shared" si="200"/>
        <v/>
      </c>
      <c r="HM802" s="2579" t="str">
        <f t="shared" si="201"/>
        <v/>
      </c>
      <c r="HN802" s="2579" t="str">
        <f t="shared" si="202"/>
        <v/>
      </c>
      <c r="HO802" s="2579" t="str">
        <f t="shared" si="203"/>
        <v/>
      </c>
      <c r="HP802" s="2579" t="str">
        <f t="shared" si="204"/>
        <v/>
      </c>
      <c r="HQ802" s="2579" t="str">
        <f t="shared" si="205"/>
        <v/>
      </c>
      <c r="HR802" s="2579" t="str">
        <f t="shared" si="206"/>
        <v/>
      </c>
      <c r="HS802" s="2579" t="str">
        <f t="shared" si="207"/>
        <v/>
      </c>
      <c r="HT802" s="2579" t="str">
        <f t="shared" si="208"/>
        <v/>
      </c>
      <c r="HU802" s="2579" t="str">
        <f t="shared" si="209"/>
        <v/>
      </c>
      <c r="HV802" s="2579" t="str">
        <f t="shared" si="210"/>
        <v/>
      </c>
      <c r="HW802" s="2579" t="str">
        <f t="shared" si="211"/>
        <v/>
      </c>
      <c r="HX802" s="2579" t="str">
        <f t="shared" si="212"/>
        <v/>
      </c>
      <c r="HY802" s="2579" t="str">
        <f t="shared" si="213"/>
        <v/>
      </c>
      <c r="HZ802" s="2579" t="str">
        <f t="shared" si="214"/>
        <v/>
      </c>
      <c r="IA802" s="2579" t="str">
        <f t="shared" si="215"/>
        <v/>
      </c>
      <c r="IB802" s="2579" t="str">
        <f t="shared" si="216"/>
        <v/>
      </c>
      <c r="IC802" s="2579" t="str">
        <f t="shared" si="217"/>
        <v/>
      </c>
      <c r="ID802" s="2551" t="str">
        <f t="shared" si="218"/>
        <v/>
      </c>
      <c r="IE802" s="2551" t="str">
        <f t="shared" si="219"/>
        <v/>
      </c>
      <c r="IF802" s="2551" t="str">
        <f t="shared" si="220"/>
        <v/>
      </c>
      <c r="IG802" s="2551" t="str">
        <f t="shared" si="221"/>
        <v/>
      </c>
      <c r="IH802" s="2551"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2549">
        <f t="shared" si="243"/>
        <v>0</v>
      </c>
      <c r="JD802" s="2549">
        <f t="shared" si="244"/>
        <v>0</v>
      </c>
      <c r="JE802" s="2549">
        <f t="shared" si="245"/>
        <v>0</v>
      </c>
      <c r="JF802" s="2549">
        <f t="shared" si="246"/>
        <v>0</v>
      </c>
      <c r="JG802" s="2549">
        <f t="shared" si="247"/>
        <v>0</v>
      </c>
      <c r="JH802" s="2549">
        <f t="shared" si="248"/>
        <v>0</v>
      </c>
      <c r="JI802" s="2549">
        <f t="shared" si="249"/>
        <v>0</v>
      </c>
      <c r="JJ802" s="2549">
        <f t="shared" si="250"/>
        <v>0</v>
      </c>
      <c r="JK802" s="2549">
        <f t="shared" si="251"/>
        <v>0</v>
      </c>
      <c r="JL802" s="2549">
        <f t="shared" si="252"/>
        <v>0</v>
      </c>
      <c r="JM802" s="2549">
        <f t="shared" si="253"/>
        <v>0</v>
      </c>
      <c r="JN802" s="2549">
        <f t="shared" si="254"/>
        <v>0</v>
      </c>
      <c r="JO802" s="2549">
        <f t="shared" si="255"/>
        <v>0</v>
      </c>
      <c r="JP802" s="2549">
        <f t="shared" si="256"/>
        <v>0</v>
      </c>
      <c r="JQ802" s="2549">
        <f t="shared" si="257"/>
        <v>0</v>
      </c>
    </row>
    <row r="803" spans="1:278" ht="12" customHeight="1">
      <c r="A803" s="2562" t="str">
        <f t="shared" si="0"/>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1"/>
        <v>0</v>
      </c>
      <c r="L803" s="2576">
        <f t="shared" si="2"/>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2579" t="str">
        <f t="shared" si="133"/>
        <v/>
      </c>
      <c r="EX803" s="2579" t="str">
        <f t="shared" si="134"/>
        <v/>
      </c>
      <c r="EY803" s="2579" t="str">
        <f t="shared" si="135"/>
        <v/>
      </c>
      <c r="EZ803" s="2579" t="str">
        <f t="shared" si="136"/>
        <v/>
      </c>
      <c r="FA803" s="2579" t="str">
        <f t="shared" si="137"/>
        <v/>
      </c>
      <c r="FB803" s="2579" t="str">
        <f t="shared" si="138"/>
        <v/>
      </c>
      <c r="FC803" s="2579" t="str">
        <f t="shared" si="139"/>
        <v/>
      </c>
      <c r="FD803" s="2579" t="str">
        <f t="shared" si="140"/>
        <v/>
      </c>
      <c r="FE803" s="2579" t="str">
        <f t="shared" si="141"/>
        <v/>
      </c>
      <c r="FF803" s="2579" t="str">
        <f t="shared" si="142"/>
        <v/>
      </c>
      <c r="FG803" s="2579" t="str">
        <f t="shared" si="143"/>
        <v/>
      </c>
      <c r="FH803" s="2579" t="str">
        <f t="shared" si="144"/>
        <v/>
      </c>
      <c r="FI803" s="2579" t="str">
        <f t="shared" si="145"/>
        <v/>
      </c>
      <c r="FJ803" s="2579" t="str">
        <f t="shared" si="146"/>
        <v/>
      </c>
      <c r="FK803" s="2579" t="str">
        <f t="shared" si="147"/>
        <v/>
      </c>
      <c r="FL803" s="2579" t="str">
        <f t="shared" si="148"/>
        <v/>
      </c>
      <c r="FM803" s="2579" t="str">
        <f t="shared" si="149"/>
        <v/>
      </c>
      <c r="FN803" s="2579" t="str">
        <f t="shared" si="150"/>
        <v/>
      </c>
      <c r="FO803" s="2579" t="str">
        <f t="shared" si="151"/>
        <v/>
      </c>
      <c r="FP803" s="2579" t="str">
        <f t="shared" si="152"/>
        <v/>
      </c>
      <c r="FQ803" s="2579" t="str">
        <f t="shared" si="153"/>
        <v/>
      </c>
      <c r="FR803" s="2579" t="str">
        <f t="shared" si="154"/>
        <v/>
      </c>
      <c r="FS803" s="2579" t="str">
        <f t="shared" si="155"/>
        <v/>
      </c>
      <c r="FT803" s="2579" t="str">
        <f t="shared" si="156"/>
        <v/>
      </c>
      <c r="FU803" s="2579" t="str">
        <f t="shared" si="157"/>
        <v/>
      </c>
      <c r="FV803" s="2579" t="str">
        <f t="shared" si="158"/>
        <v/>
      </c>
      <c r="FW803" s="2579" t="str">
        <f t="shared" si="159"/>
        <v/>
      </c>
      <c r="FX803" s="2579" t="str">
        <f t="shared" si="160"/>
        <v/>
      </c>
      <c r="FY803" s="2579" t="str">
        <f t="shared" si="161"/>
        <v/>
      </c>
      <c r="FZ803" s="2579" t="str">
        <f t="shared" si="162"/>
        <v/>
      </c>
      <c r="GA803" s="2579" t="str">
        <f t="shared" si="163"/>
        <v/>
      </c>
      <c r="GB803" s="2579" t="str">
        <f t="shared" si="164"/>
        <v/>
      </c>
      <c r="GC803" s="2579" t="str">
        <f t="shared" si="165"/>
        <v/>
      </c>
      <c r="GD803" s="2579" t="str">
        <f t="shared" si="166"/>
        <v/>
      </c>
      <c r="GE803" s="2579" t="str">
        <f t="shared" si="167"/>
        <v/>
      </c>
      <c r="GF803" s="2579" t="str">
        <f t="shared" si="168"/>
        <v/>
      </c>
      <c r="GG803" s="2579" t="str">
        <f t="shared" si="169"/>
        <v/>
      </c>
      <c r="GH803" s="2579" t="str">
        <f t="shared" si="170"/>
        <v/>
      </c>
      <c r="GI803" s="2579" t="str">
        <f t="shared" si="171"/>
        <v/>
      </c>
      <c r="GJ803" s="2579" t="str">
        <f t="shared" si="172"/>
        <v/>
      </c>
      <c r="GK803" s="2579" t="str">
        <f t="shared" si="173"/>
        <v/>
      </c>
      <c r="GL803" s="2579" t="str">
        <f t="shared" si="174"/>
        <v/>
      </c>
      <c r="GM803" s="2579" t="str">
        <f t="shared" si="175"/>
        <v/>
      </c>
      <c r="GN803" s="2579" t="str">
        <f t="shared" si="176"/>
        <v/>
      </c>
      <c r="GO803" s="2579" t="str">
        <f t="shared" si="177"/>
        <v/>
      </c>
      <c r="GP803" s="2579" t="str">
        <f t="shared" si="178"/>
        <v/>
      </c>
      <c r="GQ803" s="2579" t="str">
        <f t="shared" si="179"/>
        <v/>
      </c>
      <c r="GR803" s="2579" t="str">
        <f t="shared" si="180"/>
        <v/>
      </c>
      <c r="GS803" s="2579" t="str">
        <f t="shared" si="181"/>
        <v/>
      </c>
      <c r="GT803" s="2579" t="str">
        <f t="shared" si="182"/>
        <v/>
      </c>
      <c r="GU803" s="2579" t="str">
        <f t="shared" si="183"/>
        <v/>
      </c>
      <c r="GV803" s="2579" t="str">
        <f t="shared" si="184"/>
        <v/>
      </c>
      <c r="GW803" s="2579" t="str">
        <f t="shared" si="185"/>
        <v/>
      </c>
      <c r="GX803" s="2579" t="str">
        <f t="shared" si="186"/>
        <v/>
      </c>
      <c r="GY803" s="2579" t="str">
        <f t="shared" si="187"/>
        <v/>
      </c>
      <c r="GZ803" s="2579" t="str">
        <f t="shared" si="188"/>
        <v/>
      </c>
      <c r="HA803" s="2579" t="str">
        <f t="shared" si="189"/>
        <v/>
      </c>
      <c r="HB803" s="2579" t="str">
        <f t="shared" si="190"/>
        <v/>
      </c>
      <c r="HC803" s="2579" t="str">
        <f t="shared" si="191"/>
        <v/>
      </c>
      <c r="HD803" s="2579" t="str">
        <f t="shared" si="192"/>
        <v/>
      </c>
      <c r="HE803" s="2579" t="str">
        <f t="shared" si="193"/>
        <v/>
      </c>
      <c r="HF803" s="2579" t="str">
        <f t="shared" si="194"/>
        <v/>
      </c>
      <c r="HG803" s="2579" t="str">
        <f t="shared" si="195"/>
        <v/>
      </c>
      <c r="HH803" s="2579" t="str">
        <f t="shared" si="196"/>
        <v/>
      </c>
      <c r="HI803" s="2579" t="str">
        <f t="shared" si="197"/>
        <v/>
      </c>
      <c r="HJ803" s="2579" t="str">
        <f t="shared" si="198"/>
        <v/>
      </c>
      <c r="HK803" s="2579" t="str">
        <f t="shared" si="199"/>
        <v/>
      </c>
      <c r="HL803" s="2579" t="str">
        <f t="shared" si="200"/>
        <v/>
      </c>
      <c r="HM803" s="2579" t="str">
        <f t="shared" si="201"/>
        <v/>
      </c>
      <c r="HN803" s="2579" t="str">
        <f t="shared" si="202"/>
        <v/>
      </c>
      <c r="HO803" s="2579" t="str">
        <f t="shared" si="203"/>
        <v/>
      </c>
      <c r="HP803" s="2579" t="str">
        <f t="shared" si="204"/>
        <v/>
      </c>
      <c r="HQ803" s="2579" t="str">
        <f t="shared" si="205"/>
        <v/>
      </c>
      <c r="HR803" s="2579" t="str">
        <f t="shared" si="206"/>
        <v/>
      </c>
      <c r="HS803" s="2579" t="str">
        <f t="shared" si="207"/>
        <v/>
      </c>
      <c r="HT803" s="2579" t="str">
        <f t="shared" si="208"/>
        <v/>
      </c>
      <c r="HU803" s="2579" t="str">
        <f t="shared" si="209"/>
        <v/>
      </c>
      <c r="HV803" s="2579" t="str">
        <f t="shared" si="210"/>
        <v/>
      </c>
      <c r="HW803" s="2579" t="str">
        <f t="shared" si="211"/>
        <v/>
      </c>
      <c r="HX803" s="2579" t="str">
        <f t="shared" si="212"/>
        <v/>
      </c>
      <c r="HY803" s="2579" t="str">
        <f t="shared" si="213"/>
        <v/>
      </c>
      <c r="HZ803" s="2579" t="str">
        <f t="shared" si="214"/>
        <v/>
      </c>
      <c r="IA803" s="2579" t="str">
        <f t="shared" si="215"/>
        <v/>
      </c>
      <c r="IB803" s="2579" t="str">
        <f t="shared" si="216"/>
        <v/>
      </c>
      <c r="IC803" s="2579" t="str">
        <f t="shared" si="217"/>
        <v/>
      </c>
      <c r="ID803" s="2551" t="str">
        <f t="shared" si="218"/>
        <v/>
      </c>
      <c r="IE803" s="2551" t="str">
        <f t="shared" si="219"/>
        <v/>
      </c>
      <c r="IF803" s="2551" t="str">
        <f t="shared" si="220"/>
        <v/>
      </c>
      <c r="IG803" s="2551" t="str">
        <f t="shared" si="221"/>
        <v/>
      </c>
      <c r="IH803" s="2551"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2549">
        <f t="shared" si="243"/>
        <v>0</v>
      </c>
      <c r="JD803" s="2549">
        <f t="shared" si="244"/>
        <v>0</v>
      </c>
      <c r="JE803" s="2549">
        <f t="shared" si="245"/>
        <v>0</v>
      </c>
      <c r="JF803" s="2549">
        <f t="shared" si="246"/>
        <v>0</v>
      </c>
      <c r="JG803" s="2549">
        <f t="shared" si="247"/>
        <v>0</v>
      </c>
      <c r="JH803" s="2549">
        <f t="shared" si="248"/>
        <v>0</v>
      </c>
      <c r="JI803" s="2549">
        <f t="shared" si="249"/>
        <v>0</v>
      </c>
      <c r="JJ803" s="2549">
        <f t="shared" si="250"/>
        <v>0</v>
      </c>
      <c r="JK803" s="2549">
        <f t="shared" si="251"/>
        <v>0</v>
      </c>
      <c r="JL803" s="2549">
        <f t="shared" si="252"/>
        <v>0</v>
      </c>
      <c r="JM803" s="2549">
        <f t="shared" si="253"/>
        <v>0</v>
      </c>
      <c r="JN803" s="2549">
        <f t="shared" si="254"/>
        <v>0</v>
      </c>
      <c r="JO803" s="2549">
        <f t="shared" si="255"/>
        <v>0</v>
      </c>
      <c r="JP803" s="2549">
        <f t="shared" si="256"/>
        <v>0</v>
      </c>
      <c r="JQ803" s="2549">
        <f t="shared" si="257"/>
        <v>0</v>
      </c>
    </row>
    <row r="804" spans="1:278" ht="12" customHeight="1">
      <c r="A804" s="2562" t="str">
        <f t="shared" si="0"/>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1"/>
        <v>0</v>
      </c>
      <c r="L804" s="2576">
        <f t="shared" si="2"/>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2579" t="str">
        <f t="shared" si="133"/>
        <v/>
      </c>
      <c r="EX804" s="2579" t="str">
        <f t="shared" si="134"/>
        <v/>
      </c>
      <c r="EY804" s="2579" t="str">
        <f t="shared" si="135"/>
        <v/>
      </c>
      <c r="EZ804" s="2579" t="str">
        <f t="shared" si="136"/>
        <v/>
      </c>
      <c r="FA804" s="2579" t="str">
        <f t="shared" si="137"/>
        <v/>
      </c>
      <c r="FB804" s="2579" t="str">
        <f t="shared" si="138"/>
        <v/>
      </c>
      <c r="FC804" s="2579" t="str">
        <f t="shared" si="139"/>
        <v/>
      </c>
      <c r="FD804" s="2579" t="str">
        <f t="shared" si="140"/>
        <v/>
      </c>
      <c r="FE804" s="2579" t="str">
        <f t="shared" si="141"/>
        <v/>
      </c>
      <c r="FF804" s="2579" t="str">
        <f t="shared" si="142"/>
        <v/>
      </c>
      <c r="FG804" s="2579" t="str">
        <f t="shared" si="143"/>
        <v/>
      </c>
      <c r="FH804" s="2579" t="str">
        <f t="shared" si="144"/>
        <v/>
      </c>
      <c r="FI804" s="2579" t="str">
        <f t="shared" si="145"/>
        <v/>
      </c>
      <c r="FJ804" s="2579" t="str">
        <f t="shared" si="146"/>
        <v/>
      </c>
      <c r="FK804" s="2579" t="str">
        <f t="shared" si="147"/>
        <v/>
      </c>
      <c r="FL804" s="2579" t="str">
        <f t="shared" si="148"/>
        <v/>
      </c>
      <c r="FM804" s="2579" t="str">
        <f t="shared" si="149"/>
        <v/>
      </c>
      <c r="FN804" s="2579" t="str">
        <f t="shared" si="150"/>
        <v/>
      </c>
      <c r="FO804" s="2579" t="str">
        <f t="shared" si="151"/>
        <v/>
      </c>
      <c r="FP804" s="2579" t="str">
        <f t="shared" si="152"/>
        <v/>
      </c>
      <c r="FQ804" s="2579" t="str">
        <f t="shared" si="153"/>
        <v/>
      </c>
      <c r="FR804" s="2579" t="str">
        <f t="shared" si="154"/>
        <v/>
      </c>
      <c r="FS804" s="2579" t="str">
        <f t="shared" si="155"/>
        <v/>
      </c>
      <c r="FT804" s="2579" t="str">
        <f t="shared" si="156"/>
        <v/>
      </c>
      <c r="FU804" s="2579" t="str">
        <f t="shared" si="157"/>
        <v/>
      </c>
      <c r="FV804" s="2579" t="str">
        <f t="shared" si="158"/>
        <v/>
      </c>
      <c r="FW804" s="2579" t="str">
        <f t="shared" si="159"/>
        <v/>
      </c>
      <c r="FX804" s="2579" t="str">
        <f t="shared" si="160"/>
        <v/>
      </c>
      <c r="FY804" s="2579" t="str">
        <f t="shared" si="161"/>
        <v/>
      </c>
      <c r="FZ804" s="2579" t="str">
        <f t="shared" si="162"/>
        <v/>
      </c>
      <c r="GA804" s="2579" t="str">
        <f t="shared" si="163"/>
        <v/>
      </c>
      <c r="GB804" s="2579" t="str">
        <f t="shared" si="164"/>
        <v/>
      </c>
      <c r="GC804" s="2579" t="str">
        <f t="shared" si="165"/>
        <v/>
      </c>
      <c r="GD804" s="2579" t="str">
        <f t="shared" si="166"/>
        <v/>
      </c>
      <c r="GE804" s="2579" t="str">
        <f t="shared" si="167"/>
        <v/>
      </c>
      <c r="GF804" s="2579" t="str">
        <f t="shared" si="168"/>
        <v/>
      </c>
      <c r="GG804" s="2579" t="str">
        <f t="shared" si="169"/>
        <v/>
      </c>
      <c r="GH804" s="2579" t="str">
        <f t="shared" si="170"/>
        <v/>
      </c>
      <c r="GI804" s="2579" t="str">
        <f t="shared" si="171"/>
        <v/>
      </c>
      <c r="GJ804" s="2579" t="str">
        <f t="shared" si="172"/>
        <v/>
      </c>
      <c r="GK804" s="2579" t="str">
        <f t="shared" si="173"/>
        <v/>
      </c>
      <c r="GL804" s="2579" t="str">
        <f t="shared" si="174"/>
        <v/>
      </c>
      <c r="GM804" s="2579" t="str">
        <f t="shared" si="175"/>
        <v/>
      </c>
      <c r="GN804" s="2579" t="str">
        <f t="shared" si="176"/>
        <v/>
      </c>
      <c r="GO804" s="2579" t="str">
        <f t="shared" si="177"/>
        <v/>
      </c>
      <c r="GP804" s="2579" t="str">
        <f t="shared" si="178"/>
        <v/>
      </c>
      <c r="GQ804" s="2579" t="str">
        <f t="shared" si="179"/>
        <v/>
      </c>
      <c r="GR804" s="2579" t="str">
        <f t="shared" si="180"/>
        <v/>
      </c>
      <c r="GS804" s="2579" t="str">
        <f t="shared" si="181"/>
        <v/>
      </c>
      <c r="GT804" s="2579" t="str">
        <f t="shared" si="182"/>
        <v/>
      </c>
      <c r="GU804" s="2579" t="str">
        <f t="shared" si="183"/>
        <v/>
      </c>
      <c r="GV804" s="2579" t="str">
        <f t="shared" si="184"/>
        <v/>
      </c>
      <c r="GW804" s="2579" t="str">
        <f t="shared" si="185"/>
        <v/>
      </c>
      <c r="GX804" s="2579" t="str">
        <f t="shared" si="186"/>
        <v/>
      </c>
      <c r="GY804" s="2579" t="str">
        <f t="shared" si="187"/>
        <v/>
      </c>
      <c r="GZ804" s="2579" t="str">
        <f t="shared" si="188"/>
        <v/>
      </c>
      <c r="HA804" s="2579" t="str">
        <f t="shared" si="189"/>
        <v/>
      </c>
      <c r="HB804" s="2579" t="str">
        <f t="shared" si="190"/>
        <v/>
      </c>
      <c r="HC804" s="2579" t="str">
        <f t="shared" si="191"/>
        <v/>
      </c>
      <c r="HD804" s="2579" t="str">
        <f t="shared" si="192"/>
        <v/>
      </c>
      <c r="HE804" s="2579" t="str">
        <f t="shared" si="193"/>
        <v/>
      </c>
      <c r="HF804" s="2579" t="str">
        <f t="shared" si="194"/>
        <v/>
      </c>
      <c r="HG804" s="2579" t="str">
        <f t="shared" si="195"/>
        <v/>
      </c>
      <c r="HH804" s="2579" t="str">
        <f t="shared" si="196"/>
        <v/>
      </c>
      <c r="HI804" s="2579" t="str">
        <f t="shared" si="197"/>
        <v/>
      </c>
      <c r="HJ804" s="2579" t="str">
        <f t="shared" si="198"/>
        <v/>
      </c>
      <c r="HK804" s="2579" t="str">
        <f t="shared" si="199"/>
        <v/>
      </c>
      <c r="HL804" s="2579" t="str">
        <f t="shared" si="200"/>
        <v/>
      </c>
      <c r="HM804" s="2579" t="str">
        <f t="shared" si="201"/>
        <v/>
      </c>
      <c r="HN804" s="2579" t="str">
        <f t="shared" si="202"/>
        <v/>
      </c>
      <c r="HO804" s="2579" t="str">
        <f t="shared" si="203"/>
        <v/>
      </c>
      <c r="HP804" s="2579" t="str">
        <f t="shared" si="204"/>
        <v/>
      </c>
      <c r="HQ804" s="2579" t="str">
        <f t="shared" si="205"/>
        <v/>
      </c>
      <c r="HR804" s="2579" t="str">
        <f t="shared" si="206"/>
        <v/>
      </c>
      <c r="HS804" s="2579" t="str">
        <f t="shared" si="207"/>
        <v/>
      </c>
      <c r="HT804" s="2579" t="str">
        <f t="shared" si="208"/>
        <v/>
      </c>
      <c r="HU804" s="2579" t="str">
        <f t="shared" si="209"/>
        <v/>
      </c>
      <c r="HV804" s="2579" t="str">
        <f t="shared" si="210"/>
        <v/>
      </c>
      <c r="HW804" s="2579" t="str">
        <f t="shared" si="211"/>
        <v/>
      </c>
      <c r="HX804" s="2579" t="str">
        <f t="shared" si="212"/>
        <v/>
      </c>
      <c r="HY804" s="2579" t="str">
        <f t="shared" si="213"/>
        <v/>
      </c>
      <c r="HZ804" s="2579" t="str">
        <f t="shared" si="214"/>
        <v/>
      </c>
      <c r="IA804" s="2579" t="str">
        <f t="shared" si="215"/>
        <v/>
      </c>
      <c r="IB804" s="2579" t="str">
        <f t="shared" si="216"/>
        <v/>
      </c>
      <c r="IC804" s="2579" t="str">
        <f t="shared" si="217"/>
        <v/>
      </c>
      <c r="ID804" s="2551" t="str">
        <f t="shared" si="218"/>
        <v/>
      </c>
      <c r="IE804" s="2551" t="str">
        <f t="shared" si="219"/>
        <v/>
      </c>
      <c r="IF804" s="2551" t="str">
        <f t="shared" si="220"/>
        <v/>
      </c>
      <c r="IG804" s="2551" t="str">
        <f t="shared" si="221"/>
        <v/>
      </c>
      <c r="IH804" s="2551"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2549">
        <f t="shared" si="243"/>
        <v>0</v>
      </c>
      <c r="JD804" s="2549">
        <f t="shared" si="244"/>
        <v>0</v>
      </c>
      <c r="JE804" s="2549">
        <f t="shared" si="245"/>
        <v>0</v>
      </c>
      <c r="JF804" s="2549">
        <f t="shared" si="246"/>
        <v>0</v>
      </c>
      <c r="JG804" s="2549">
        <f t="shared" si="247"/>
        <v>0</v>
      </c>
      <c r="JH804" s="2549">
        <f t="shared" si="248"/>
        <v>0</v>
      </c>
      <c r="JI804" s="2549">
        <f t="shared" si="249"/>
        <v>0</v>
      </c>
      <c r="JJ804" s="2549">
        <f t="shared" si="250"/>
        <v>0</v>
      </c>
      <c r="JK804" s="2549">
        <f t="shared" si="251"/>
        <v>0</v>
      </c>
      <c r="JL804" s="2549">
        <f t="shared" si="252"/>
        <v>0</v>
      </c>
      <c r="JM804" s="2549">
        <f t="shared" si="253"/>
        <v>0</v>
      </c>
      <c r="JN804" s="2549">
        <f t="shared" si="254"/>
        <v>0</v>
      </c>
      <c r="JO804" s="2549">
        <f t="shared" si="255"/>
        <v>0</v>
      </c>
      <c r="JP804" s="2549">
        <f t="shared" si="256"/>
        <v>0</v>
      </c>
      <c r="JQ804" s="2549">
        <f t="shared" si="257"/>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76</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59610</v>
      </c>
      <c r="G805" s="479"/>
      <c r="H805" s="479"/>
      <c r="I805" s="479"/>
      <c r="J805" s="479"/>
      <c r="K805" s="2583" t="s">
        <v>1314</v>
      </c>
      <c r="L805" s="2581">
        <f>SUM(L767:L804)</f>
        <v>55456</v>
      </c>
      <c r="M805" s="2354"/>
      <c r="N805" s="2354"/>
      <c r="O805" s="2354"/>
      <c r="P805" s="2354"/>
      <c r="Q805" s="2354"/>
      <c r="R805" s="2354"/>
      <c r="S805" s="2354"/>
      <c r="T805" s="2354"/>
      <c r="U805" s="2561"/>
      <c r="V805" s="2584"/>
      <c r="W805" s="2584">
        <f t="shared" ref="W805:CH805" si="258">SUM(W767:W804)</f>
        <v>0</v>
      </c>
      <c r="X805" s="2584">
        <f t="shared" si="258"/>
        <v>30</v>
      </c>
      <c r="Y805" s="2584">
        <f t="shared" si="258"/>
        <v>18</v>
      </c>
      <c r="Z805" s="2584">
        <f t="shared" si="258"/>
        <v>0</v>
      </c>
      <c r="AA805" s="2584">
        <f t="shared" si="258"/>
        <v>0</v>
      </c>
      <c r="AB805" s="2584">
        <f t="shared" si="258"/>
        <v>0</v>
      </c>
      <c r="AC805" s="2584">
        <f t="shared" si="258"/>
        <v>8</v>
      </c>
      <c r="AD805" s="2584">
        <f t="shared" si="258"/>
        <v>8</v>
      </c>
      <c r="AE805" s="2584">
        <f t="shared" si="258"/>
        <v>0</v>
      </c>
      <c r="AF805" s="2584">
        <f t="shared" si="258"/>
        <v>0</v>
      </c>
      <c r="AG805" s="2584">
        <f t="shared" si="258"/>
        <v>0</v>
      </c>
      <c r="AH805" s="2584">
        <f t="shared" si="258"/>
        <v>0</v>
      </c>
      <c r="AI805" s="2584">
        <f t="shared" si="258"/>
        <v>0</v>
      </c>
      <c r="AJ805" s="2584">
        <f t="shared" si="258"/>
        <v>0</v>
      </c>
      <c r="AK805" s="2584">
        <f t="shared" si="258"/>
        <v>0</v>
      </c>
      <c r="AL805" s="2584">
        <f t="shared" si="258"/>
        <v>0</v>
      </c>
      <c r="AM805" s="2584">
        <f t="shared" si="258"/>
        <v>8</v>
      </c>
      <c r="AN805" s="2584">
        <f t="shared" si="258"/>
        <v>4</v>
      </c>
      <c r="AO805" s="2584">
        <f t="shared" si="258"/>
        <v>0</v>
      </c>
      <c r="AP805" s="2584">
        <f t="shared" si="258"/>
        <v>0</v>
      </c>
      <c r="AQ805" s="2584">
        <f t="shared" si="258"/>
        <v>0</v>
      </c>
      <c r="AR805" s="2584">
        <f t="shared" si="258"/>
        <v>0</v>
      </c>
      <c r="AS805" s="2584">
        <f t="shared" si="258"/>
        <v>0</v>
      </c>
      <c r="AT805" s="2584">
        <f t="shared" si="258"/>
        <v>0</v>
      </c>
      <c r="AU805" s="2584">
        <f t="shared" si="258"/>
        <v>0</v>
      </c>
      <c r="AV805" s="2584">
        <f t="shared" si="258"/>
        <v>0</v>
      </c>
      <c r="AW805" s="2584">
        <f t="shared" si="258"/>
        <v>0</v>
      </c>
      <c r="AX805" s="2584">
        <f t="shared" si="258"/>
        <v>0</v>
      </c>
      <c r="AY805" s="2584">
        <f t="shared" si="258"/>
        <v>0</v>
      </c>
      <c r="AZ805" s="2584">
        <f t="shared" si="258"/>
        <v>0</v>
      </c>
      <c r="BA805" s="2584">
        <f t="shared" si="258"/>
        <v>0</v>
      </c>
      <c r="BB805" s="2584">
        <f t="shared" si="258"/>
        <v>0</v>
      </c>
      <c r="BC805" s="2584">
        <f t="shared" si="258"/>
        <v>0</v>
      </c>
      <c r="BD805" s="2584">
        <f t="shared" si="258"/>
        <v>0</v>
      </c>
      <c r="BE805" s="2584">
        <f t="shared" si="258"/>
        <v>0</v>
      </c>
      <c r="BF805" s="2584">
        <f t="shared" si="258"/>
        <v>0</v>
      </c>
      <c r="BG805" s="2584">
        <f t="shared" si="258"/>
        <v>0</v>
      </c>
      <c r="BH805" s="2584">
        <f t="shared" si="258"/>
        <v>0</v>
      </c>
      <c r="BI805" s="2584">
        <f t="shared" si="258"/>
        <v>0</v>
      </c>
      <c r="BJ805" s="2584">
        <f t="shared" si="258"/>
        <v>0</v>
      </c>
      <c r="BK805" s="2584">
        <f t="shared" si="258"/>
        <v>0</v>
      </c>
      <c r="BL805" s="2584">
        <f t="shared" si="258"/>
        <v>0</v>
      </c>
      <c r="BM805" s="2584">
        <f t="shared" si="258"/>
        <v>0</v>
      </c>
      <c r="BN805" s="2584">
        <f t="shared" si="258"/>
        <v>0</v>
      </c>
      <c r="BO805" s="2584">
        <f t="shared" si="258"/>
        <v>0</v>
      </c>
      <c r="BP805" s="2584">
        <f t="shared" si="258"/>
        <v>0</v>
      </c>
      <c r="BQ805" s="2584">
        <f t="shared" si="258"/>
        <v>0</v>
      </c>
      <c r="BR805" s="2584">
        <f t="shared" si="258"/>
        <v>0</v>
      </c>
      <c r="BS805" s="2584">
        <f t="shared" si="258"/>
        <v>0</v>
      </c>
      <c r="BT805" s="2584">
        <f t="shared" si="258"/>
        <v>0</v>
      </c>
      <c r="BU805" s="2584">
        <f t="shared" si="258"/>
        <v>0</v>
      </c>
      <c r="BV805" s="2584">
        <f t="shared" si="258"/>
        <v>0</v>
      </c>
      <c r="BW805" s="2584">
        <f t="shared" si="258"/>
        <v>0</v>
      </c>
      <c r="BX805" s="2584">
        <f t="shared" si="258"/>
        <v>0</v>
      </c>
      <c r="BY805" s="2584">
        <f t="shared" si="258"/>
        <v>0</v>
      </c>
      <c r="BZ805" s="2584">
        <f t="shared" si="258"/>
        <v>0</v>
      </c>
      <c r="CA805" s="2584">
        <f t="shared" si="258"/>
        <v>19800</v>
      </c>
      <c r="CB805" s="2584">
        <f t="shared" si="258"/>
        <v>17550</v>
      </c>
      <c r="CC805" s="2584">
        <f t="shared" si="258"/>
        <v>0</v>
      </c>
      <c r="CD805" s="2584">
        <f t="shared" si="258"/>
        <v>0</v>
      </c>
      <c r="CE805" s="2584">
        <f t="shared" si="258"/>
        <v>0</v>
      </c>
      <c r="CF805" s="2584">
        <f t="shared" si="258"/>
        <v>5280</v>
      </c>
      <c r="CG805" s="2584">
        <f t="shared" si="258"/>
        <v>7800</v>
      </c>
      <c r="CH805" s="2584">
        <f t="shared" si="258"/>
        <v>0</v>
      </c>
      <c r="CI805" s="2584">
        <f t="shared" ref="CI805:ET805" si="259">SUM(CI767:CI804)</f>
        <v>0</v>
      </c>
      <c r="CJ805" s="2584">
        <f t="shared" si="259"/>
        <v>0</v>
      </c>
      <c r="CK805" s="2584">
        <f t="shared" si="259"/>
        <v>0</v>
      </c>
      <c r="CL805" s="2584">
        <f t="shared" si="259"/>
        <v>0</v>
      </c>
      <c r="CM805" s="2584">
        <f t="shared" si="259"/>
        <v>0</v>
      </c>
      <c r="CN805" s="2584">
        <f t="shared" si="259"/>
        <v>0</v>
      </c>
      <c r="CO805" s="2584">
        <f t="shared" si="259"/>
        <v>0</v>
      </c>
      <c r="CP805" s="2584">
        <f t="shared" si="259"/>
        <v>5280</v>
      </c>
      <c r="CQ805" s="2584">
        <f t="shared" si="259"/>
        <v>3900</v>
      </c>
      <c r="CR805" s="2584">
        <f t="shared" si="259"/>
        <v>0</v>
      </c>
      <c r="CS805" s="2584">
        <f t="shared" si="259"/>
        <v>0</v>
      </c>
      <c r="CT805" s="2584">
        <f t="shared" si="259"/>
        <v>0</v>
      </c>
      <c r="CU805" s="2584">
        <f t="shared" si="259"/>
        <v>0</v>
      </c>
      <c r="CV805" s="2584">
        <f t="shared" si="259"/>
        <v>0</v>
      </c>
      <c r="CW805" s="2584">
        <f t="shared" si="259"/>
        <v>0</v>
      </c>
      <c r="CX805" s="2584">
        <f t="shared" si="259"/>
        <v>0</v>
      </c>
      <c r="CY805" s="2584">
        <f t="shared" si="259"/>
        <v>0</v>
      </c>
      <c r="CZ805" s="2584">
        <f t="shared" si="259"/>
        <v>0</v>
      </c>
      <c r="DA805" s="2584">
        <f t="shared" si="259"/>
        <v>0</v>
      </c>
      <c r="DB805" s="2584">
        <f t="shared" si="259"/>
        <v>0</v>
      </c>
      <c r="DC805" s="2584">
        <f t="shared" si="259"/>
        <v>0</v>
      </c>
      <c r="DD805" s="2584">
        <f t="shared" si="259"/>
        <v>0</v>
      </c>
      <c r="DE805" s="2584">
        <f t="shared" si="259"/>
        <v>38</v>
      </c>
      <c r="DF805" s="2584">
        <f t="shared" si="259"/>
        <v>26</v>
      </c>
      <c r="DG805" s="2584">
        <f t="shared" si="259"/>
        <v>0</v>
      </c>
      <c r="DH805" s="2584">
        <f t="shared" si="259"/>
        <v>0</v>
      </c>
      <c r="DI805" s="2584">
        <f t="shared" si="259"/>
        <v>0</v>
      </c>
      <c r="DJ805" s="2584">
        <f t="shared" si="259"/>
        <v>8</v>
      </c>
      <c r="DK805" s="2584">
        <f t="shared" si="259"/>
        <v>4</v>
      </c>
      <c r="DL805" s="2584">
        <f t="shared" si="259"/>
        <v>0</v>
      </c>
      <c r="DM805" s="2584">
        <f t="shared" si="259"/>
        <v>0</v>
      </c>
      <c r="DN805" s="2584">
        <f t="shared" si="259"/>
        <v>0</v>
      </c>
      <c r="DO805" s="2584">
        <f t="shared" si="259"/>
        <v>0</v>
      </c>
      <c r="DP805" s="2584">
        <f t="shared" si="259"/>
        <v>0</v>
      </c>
      <c r="DQ805" s="2584">
        <f t="shared" si="259"/>
        <v>0</v>
      </c>
      <c r="DR805" s="2584">
        <f t="shared" si="259"/>
        <v>0</v>
      </c>
      <c r="DS805" s="2584">
        <f t="shared" si="259"/>
        <v>0</v>
      </c>
      <c r="DT805" s="2584">
        <f t="shared" si="259"/>
        <v>0</v>
      </c>
      <c r="DU805" s="2584">
        <f t="shared" si="259"/>
        <v>0</v>
      </c>
      <c r="DV805" s="2584">
        <f t="shared" si="259"/>
        <v>0</v>
      </c>
      <c r="DW805" s="2584">
        <f t="shared" si="259"/>
        <v>0</v>
      </c>
      <c r="DX805" s="2584">
        <f t="shared" si="259"/>
        <v>0</v>
      </c>
      <c r="DY805" s="2584">
        <f t="shared" si="259"/>
        <v>0</v>
      </c>
      <c r="DZ805" s="2584">
        <f t="shared" si="259"/>
        <v>0</v>
      </c>
      <c r="EA805" s="2584">
        <f t="shared" si="259"/>
        <v>0</v>
      </c>
      <c r="EB805" s="2584">
        <f t="shared" si="259"/>
        <v>0</v>
      </c>
      <c r="EC805" s="2584">
        <f t="shared" si="259"/>
        <v>0</v>
      </c>
      <c r="ED805" s="2584">
        <f t="shared" si="259"/>
        <v>0</v>
      </c>
      <c r="EE805" s="2584">
        <f t="shared" si="259"/>
        <v>0</v>
      </c>
      <c r="EF805" s="2584">
        <f t="shared" si="259"/>
        <v>0</v>
      </c>
      <c r="EG805" s="2584">
        <f t="shared" si="259"/>
        <v>0</v>
      </c>
      <c r="EH805" s="2584">
        <f t="shared" si="259"/>
        <v>0</v>
      </c>
      <c r="EI805" s="2584">
        <f t="shared" si="259"/>
        <v>0</v>
      </c>
      <c r="EJ805" s="2584">
        <f t="shared" si="259"/>
        <v>0</v>
      </c>
      <c r="EK805" s="2584">
        <f t="shared" si="259"/>
        <v>0</v>
      </c>
      <c r="EL805" s="2584">
        <f t="shared" si="259"/>
        <v>0</v>
      </c>
      <c r="EM805" s="2584">
        <f t="shared" si="259"/>
        <v>0</v>
      </c>
      <c r="EN805" s="2584">
        <f t="shared" si="259"/>
        <v>0</v>
      </c>
      <c r="EO805" s="2584">
        <f t="shared" si="259"/>
        <v>0</v>
      </c>
      <c r="EP805" s="2584">
        <f t="shared" si="259"/>
        <v>0</v>
      </c>
      <c r="EQ805" s="2584">
        <f t="shared" si="259"/>
        <v>0</v>
      </c>
      <c r="ER805" s="2584">
        <f t="shared" si="259"/>
        <v>0</v>
      </c>
      <c r="ES805" s="2584">
        <f t="shared" si="259"/>
        <v>0</v>
      </c>
      <c r="ET805" s="2584">
        <f t="shared" si="259"/>
        <v>0</v>
      </c>
      <c r="EU805" s="2584">
        <f t="shared" ref="EU805:HF805" si="260">SUM(EU767:EU804)</f>
        <v>0</v>
      </c>
      <c r="EV805" s="2584">
        <f t="shared" si="260"/>
        <v>0</v>
      </c>
      <c r="EW805" s="2584">
        <f t="shared" si="260"/>
        <v>0</v>
      </c>
      <c r="EX805" s="2584">
        <f t="shared" si="260"/>
        <v>46</v>
      </c>
      <c r="EY805" s="2584">
        <f t="shared" si="260"/>
        <v>30</v>
      </c>
      <c r="EZ805" s="2584">
        <f t="shared" si="260"/>
        <v>0</v>
      </c>
      <c r="FA805" s="2584">
        <f t="shared" si="260"/>
        <v>0</v>
      </c>
      <c r="FB805" s="2584">
        <f t="shared" si="260"/>
        <v>0</v>
      </c>
      <c r="FC805" s="2584">
        <f t="shared" si="260"/>
        <v>0</v>
      </c>
      <c r="FD805" s="2584">
        <f t="shared" si="260"/>
        <v>0</v>
      </c>
      <c r="FE805" s="2584">
        <f t="shared" si="260"/>
        <v>0</v>
      </c>
      <c r="FF805" s="2584">
        <f t="shared" si="260"/>
        <v>0</v>
      </c>
      <c r="FG805" s="2584">
        <f t="shared" si="260"/>
        <v>0</v>
      </c>
      <c r="FH805" s="2584">
        <f t="shared" si="260"/>
        <v>0</v>
      </c>
      <c r="FI805" s="2584">
        <f t="shared" si="260"/>
        <v>0</v>
      </c>
      <c r="FJ805" s="2584">
        <f t="shared" si="260"/>
        <v>0</v>
      </c>
      <c r="FK805" s="2584">
        <f t="shared" si="260"/>
        <v>0</v>
      </c>
      <c r="FL805" s="2584">
        <f t="shared" si="260"/>
        <v>0</v>
      </c>
      <c r="FM805" s="2584">
        <f t="shared" si="260"/>
        <v>0</v>
      </c>
      <c r="FN805" s="2584">
        <f t="shared" si="260"/>
        <v>0</v>
      </c>
      <c r="FO805" s="2584">
        <f t="shared" si="260"/>
        <v>0</v>
      </c>
      <c r="FP805" s="2584">
        <f t="shared" si="260"/>
        <v>0</v>
      </c>
      <c r="FQ805" s="2584">
        <f t="shared" si="260"/>
        <v>0</v>
      </c>
      <c r="FR805" s="2584">
        <f t="shared" si="260"/>
        <v>0</v>
      </c>
      <c r="FS805" s="2584">
        <f t="shared" si="260"/>
        <v>0</v>
      </c>
      <c r="FT805" s="2584">
        <f t="shared" si="260"/>
        <v>0</v>
      </c>
      <c r="FU805" s="2584">
        <f t="shared" si="260"/>
        <v>0</v>
      </c>
      <c r="FV805" s="2584">
        <f t="shared" si="260"/>
        <v>0</v>
      </c>
      <c r="FW805" s="2584">
        <f t="shared" si="260"/>
        <v>0</v>
      </c>
      <c r="FX805" s="2584">
        <f t="shared" si="260"/>
        <v>0</v>
      </c>
      <c r="FY805" s="2584">
        <f t="shared" si="260"/>
        <v>0</v>
      </c>
      <c r="FZ805" s="2584">
        <f t="shared" si="260"/>
        <v>0</v>
      </c>
      <c r="GA805" s="2584">
        <f t="shared" si="260"/>
        <v>0</v>
      </c>
      <c r="GB805" s="2584">
        <f t="shared" si="260"/>
        <v>0</v>
      </c>
      <c r="GC805" s="2584">
        <f t="shared" si="260"/>
        <v>0</v>
      </c>
      <c r="GD805" s="2584">
        <f t="shared" si="260"/>
        <v>0</v>
      </c>
      <c r="GE805" s="2584">
        <f t="shared" si="260"/>
        <v>0</v>
      </c>
      <c r="GF805" s="2584">
        <f t="shared" si="260"/>
        <v>0</v>
      </c>
      <c r="GG805" s="2584">
        <f t="shared" si="260"/>
        <v>0</v>
      </c>
      <c r="GH805" s="2584">
        <f t="shared" si="260"/>
        <v>0</v>
      </c>
      <c r="GI805" s="2584">
        <f t="shared" si="260"/>
        <v>0</v>
      </c>
      <c r="GJ805" s="2584">
        <f t="shared" si="260"/>
        <v>0</v>
      </c>
      <c r="GK805" s="2584">
        <f t="shared" si="260"/>
        <v>0</v>
      </c>
      <c r="GL805" s="2584">
        <f t="shared" si="260"/>
        <v>0</v>
      </c>
      <c r="GM805" s="2584">
        <f t="shared" si="260"/>
        <v>0</v>
      </c>
      <c r="GN805" s="2584">
        <f t="shared" si="260"/>
        <v>0</v>
      </c>
      <c r="GO805" s="2584">
        <f t="shared" si="260"/>
        <v>0</v>
      </c>
      <c r="GP805" s="2584">
        <f t="shared" si="260"/>
        <v>0</v>
      </c>
      <c r="GQ805" s="2584">
        <f t="shared" si="260"/>
        <v>0</v>
      </c>
      <c r="GR805" s="2584">
        <f t="shared" si="260"/>
        <v>0</v>
      </c>
      <c r="GS805" s="2584">
        <f t="shared" si="260"/>
        <v>0</v>
      </c>
      <c r="GT805" s="2584">
        <f t="shared" si="260"/>
        <v>0</v>
      </c>
      <c r="GU805" s="2584">
        <f t="shared" si="260"/>
        <v>0</v>
      </c>
      <c r="GV805" s="2584">
        <f t="shared" si="260"/>
        <v>0</v>
      </c>
      <c r="GW805" s="2584">
        <f t="shared" si="260"/>
        <v>0</v>
      </c>
      <c r="GX805" s="2584">
        <f t="shared" si="260"/>
        <v>0</v>
      </c>
      <c r="GY805" s="2584">
        <f t="shared" si="260"/>
        <v>0</v>
      </c>
      <c r="GZ805" s="2584">
        <f t="shared" si="260"/>
        <v>0</v>
      </c>
      <c r="HA805" s="2584">
        <f t="shared" si="260"/>
        <v>0</v>
      </c>
      <c r="HB805" s="2584">
        <f t="shared" si="260"/>
        <v>0</v>
      </c>
      <c r="HC805" s="2584">
        <f t="shared" si="260"/>
        <v>0</v>
      </c>
      <c r="HD805" s="2584">
        <f t="shared" si="260"/>
        <v>0</v>
      </c>
      <c r="HE805" s="2584">
        <f t="shared" si="260"/>
        <v>0</v>
      </c>
      <c r="HF805" s="2584">
        <f t="shared" si="260"/>
        <v>0</v>
      </c>
      <c r="HG805" s="2584">
        <f t="shared" ref="HG805:JR805" si="261">SUM(HG767:HG804)</f>
        <v>0</v>
      </c>
      <c r="HH805" s="2584">
        <f t="shared" si="261"/>
        <v>0</v>
      </c>
      <c r="HI805" s="2584">
        <f t="shared" si="261"/>
        <v>0</v>
      </c>
      <c r="HJ805" s="2584">
        <f t="shared" si="261"/>
        <v>0</v>
      </c>
      <c r="HK805" s="2584">
        <f t="shared" si="261"/>
        <v>0</v>
      </c>
      <c r="HL805" s="2584">
        <f t="shared" si="261"/>
        <v>0</v>
      </c>
      <c r="HM805" s="2584">
        <f t="shared" si="261"/>
        <v>0</v>
      </c>
      <c r="HN805" s="2584">
        <f t="shared" si="261"/>
        <v>0</v>
      </c>
      <c r="HO805" s="2584">
        <f t="shared" si="261"/>
        <v>0</v>
      </c>
      <c r="HP805" s="2584">
        <f t="shared" si="261"/>
        <v>0</v>
      </c>
      <c r="HQ805" s="2584">
        <f t="shared" si="261"/>
        <v>0</v>
      </c>
      <c r="HR805" s="2584">
        <f t="shared" si="261"/>
        <v>0</v>
      </c>
      <c r="HS805" s="2584">
        <f t="shared" si="261"/>
        <v>0</v>
      </c>
      <c r="HT805" s="2584">
        <f t="shared" si="261"/>
        <v>0</v>
      </c>
      <c r="HU805" s="2584">
        <f t="shared" si="261"/>
        <v>46</v>
      </c>
      <c r="HV805" s="2584">
        <f t="shared" si="261"/>
        <v>30</v>
      </c>
      <c r="HW805" s="2584">
        <f t="shared" si="261"/>
        <v>0</v>
      </c>
      <c r="HX805" s="2584">
        <f t="shared" si="261"/>
        <v>0</v>
      </c>
      <c r="HY805" s="2584">
        <f t="shared" si="261"/>
        <v>0</v>
      </c>
      <c r="HZ805" s="2584">
        <f t="shared" si="261"/>
        <v>0</v>
      </c>
      <c r="IA805" s="2584">
        <f t="shared" si="261"/>
        <v>0</v>
      </c>
      <c r="IB805" s="2584">
        <f t="shared" si="261"/>
        <v>0</v>
      </c>
      <c r="IC805" s="2584">
        <f t="shared" si="261"/>
        <v>0</v>
      </c>
      <c r="ID805" s="2584">
        <f t="shared" si="261"/>
        <v>0</v>
      </c>
      <c r="IE805" s="2584">
        <f t="shared" si="261"/>
        <v>0</v>
      </c>
      <c r="IF805" s="2584">
        <f t="shared" si="261"/>
        <v>0</v>
      </c>
      <c r="IG805" s="2584">
        <f t="shared" si="261"/>
        <v>0</v>
      </c>
      <c r="IH805" s="2584">
        <f t="shared" si="261"/>
        <v>0</v>
      </c>
      <c r="II805" s="2584">
        <f t="shared" si="261"/>
        <v>0</v>
      </c>
      <c r="IJ805" s="2584">
        <f t="shared" si="261"/>
        <v>0</v>
      </c>
      <c r="IK805" s="2584">
        <f t="shared" si="261"/>
        <v>0</v>
      </c>
      <c r="IL805" s="2584">
        <f t="shared" si="261"/>
        <v>0</v>
      </c>
      <c r="IM805" s="2584">
        <f t="shared" si="261"/>
        <v>0</v>
      </c>
      <c r="IN805" s="2584">
        <f t="shared" si="261"/>
        <v>0</v>
      </c>
      <c r="IO805" s="2584">
        <f t="shared" si="261"/>
        <v>0</v>
      </c>
      <c r="IP805" s="2584">
        <f t="shared" si="261"/>
        <v>0</v>
      </c>
      <c r="IQ805" s="2584">
        <f t="shared" si="261"/>
        <v>0</v>
      </c>
      <c r="IR805" s="2584">
        <f t="shared" si="261"/>
        <v>0</v>
      </c>
      <c r="IS805" s="2584">
        <f t="shared" si="261"/>
        <v>0</v>
      </c>
      <c r="IT805" s="2584">
        <f t="shared" si="261"/>
        <v>0</v>
      </c>
      <c r="IU805" s="2584">
        <f t="shared" si="261"/>
        <v>0</v>
      </c>
      <c r="IV805" s="2584">
        <f t="shared" si="261"/>
        <v>0</v>
      </c>
      <c r="IW805" s="2584">
        <f t="shared" si="261"/>
        <v>0</v>
      </c>
      <c r="IX805" s="2584">
        <f t="shared" si="261"/>
        <v>0</v>
      </c>
      <c r="IY805" s="2584">
        <f t="shared" si="261"/>
        <v>0</v>
      </c>
      <c r="IZ805" s="2584">
        <f t="shared" si="261"/>
        <v>0</v>
      </c>
      <c r="JA805" s="2584">
        <f t="shared" si="261"/>
        <v>0</v>
      </c>
      <c r="JB805" s="2584">
        <f t="shared" si="261"/>
        <v>0</v>
      </c>
      <c r="JC805" s="2584">
        <f t="shared" si="261"/>
        <v>0</v>
      </c>
      <c r="JD805" s="2584">
        <f t="shared" si="261"/>
        <v>0</v>
      </c>
      <c r="JE805" s="2584">
        <f t="shared" si="261"/>
        <v>0</v>
      </c>
      <c r="JF805" s="2584">
        <f t="shared" si="261"/>
        <v>0</v>
      </c>
      <c r="JG805" s="2584">
        <f t="shared" si="261"/>
        <v>0</v>
      </c>
      <c r="JH805" s="2584">
        <f t="shared" si="261"/>
        <v>0</v>
      </c>
      <c r="JI805" s="2584">
        <f t="shared" si="261"/>
        <v>46</v>
      </c>
      <c r="JJ805" s="2584">
        <f t="shared" si="261"/>
        <v>30</v>
      </c>
      <c r="JK805" s="2584">
        <f t="shared" si="261"/>
        <v>0</v>
      </c>
      <c r="JL805" s="2584">
        <f t="shared" si="261"/>
        <v>0</v>
      </c>
      <c r="JM805" s="2584">
        <f t="shared" si="261"/>
        <v>0</v>
      </c>
      <c r="JN805" s="2584">
        <f t="shared" si="261"/>
        <v>0</v>
      </c>
      <c r="JO805" s="2584">
        <f t="shared" si="261"/>
        <v>0</v>
      </c>
      <c r="JP805" s="2584">
        <f t="shared" si="261"/>
        <v>0</v>
      </c>
      <c r="JQ805" s="2584">
        <f t="shared" si="261"/>
        <v>0</v>
      </c>
      <c r="JR805" s="2584">
        <f t="shared" si="261"/>
        <v>0</v>
      </c>
    </row>
    <row r="806" spans="1:278" ht="12" customHeight="1">
      <c r="B806" s="2354"/>
      <c r="D806" s="2585"/>
      <c r="E806" s="2581"/>
      <c r="F806" s="2581"/>
      <c r="G806" s="479"/>
      <c r="H806" s="479"/>
      <c r="I806" s="479"/>
      <c r="J806" s="479"/>
      <c r="K806" s="2580" t="s">
        <v>822</v>
      </c>
      <c r="L806" s="2581">
        <f>L805*12</f>
        <v>665472</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4767</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30</v>
      </c>
      <c r="L813" s="2590">
        <f>Y805</f>
        <v>18</v>
      </c>
      <c r="M813" s="2590">
        <f>Z805</f>
        <v>0</v>
      </c>
      <c r="N813" s="2590">
        <f>AA805</f>
        <v>0</v>
      </c>
      <c r="O813" s="2590">
        <f t="shared" ref="O813:O819" si="262">SUM(J813:N813)</f>
        <v>48</v>
      </c>
      <c r="P813" s="2517" t="s">
        <v>3694</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8</v>
      </c>
      <c r="L814" s="2590">
        <f>AD805</f>
        <v>8</v>
      </c>
      <c r="M814" s="2590">
        <f>AE805</f>
        <v>0</v>
      </c>
      <c r="N814" s="2590">
        <f>AF805</f>
        <v>0</v>
      </c>
      <c r="O814" s="2590">
        <f t="shared" si="262"/>
        <v>16</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38</v>
      </c>
      <c r="L815" s="2590">
        <f>SUM(L813:L814)</f>
        <v>26</v>
      </c>
      <c r="M815" s="2590">
        <f>SUM(M813:M814)</f>
        <v>0</v>
      </c>
      <c r="N815" s="2590">
        <f>SUM(N813:N814)</f>
        <v>0</v>
      </c>
      <c r="O815" s="2590">
        <f t="shared" si="262"/>
        <v>64</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8</v>
      </c>
      <c r="L816" s="2590">
        <f>AN805</f>
        <v>4</v>
      </c>
      <c r="M816" s="2590">
        <f>AO805</f>
        <v>0</v>
      </c>
      <c r="N816" s="2590">
        <f>AP805</f>
        <v>0</v>
      </c>
      <c r="O816" s="2590">
        <f t="shared" si="262"/>
        <v>12</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46</v>
      </c>
      <c r="L817" s="2590">
        <f>SUM(L815:L816)</f>
        <v>30</v>
      </c>
      <c r="M817" s="2590">
        <f>SUM(M815:M816)</f>
        <v>0</v>
      </c>
      <c r="N817" s="2590">
        <f>SUM(N815:N816)</f>
        <v>0</v>
      </c>
      <c r="O817" s="2590">
        <f t="shared" si="262"/>
        <v>76</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2"/>
        <v>0</v>
      </c>
      <c r="P818" s="2356" t="s">
        <v>3695</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46</v>
      </c>
      <c r="L819" s="2590">
        <f>SUM(L817:L818)</f>
        <v>30</v>
      </c>
      <c r="M819" s="2590">
        <f>SUM(M817:M818)</f>
        <v>0</v>
      </c>
      <c r="N819" s="2590">
        <f>SUM(N817:N818)</f>
        <v>0</v>
      </c>
      <c r="O819" s="2590">
        <f t="shared" si="262"/>
        <v>76</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38</v>
      </c>
      <c r="L829" s="2590">
        <f>DF805</f>
        <v>26</v>
      </c>
      <c r="M829" s="2590">
        <f>DG805</f>
        <v>0</v>
      </c>
      <c r="N829" s="2590">
        <f>DH805</f>
        <v>0</v>
      </c>
      <c r="O829" s="2590">
        <f t="shared" ref="O829:O839" si="263">SUM(J829:N829)</f>
        <v>64</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8</v>
      </c>
      <c r="L830" s="2590">
        <f>DK805</f>
        <v>4</v>
      </c>
      <c r="M830" s="2590">
        <f>DL805</f>
        <v>0</v>
      </c>
      <c r="N830" s="2590">
        <f>DM805</f>
        <v>0</v>
      </c>
      <c r="O830" s="2590">
        <f t="shared" si="263"/>
        <v>12</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46</v>
      </c>
      <c r="L831" s="2590">
        <f>SUM(L829:L830)+DP805</f>
        <v>30</v>
      </c>
      <c r="M831" s="2590">
        <f>SUM(M829:M830)+DQ805</f>
        <v>0</v>
      </c>
      <c r="N831" s="2590">
        <f>SUM(N829:N830)+DR805</f>
        <v>0</v>
      </c>
      <c r="O831" s="2590">
        <f t="shared" si="263"/>
        <v>76</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3"/>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3"/>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3"/>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3"/>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3"/>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3"/>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3"/>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4544</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3"/>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4768</v>
      </c>
      <c r="D843" s="2500"/>
      <c r="E843" s="2555" t="s">
        <v>40</v>
      </c>
      <c r="F843" s="2354"/>
      <c r="G843" s="2356"/>
      <c r="J843" s="2590">
        <f t="shared" ref="J843:O843" si="264">SUM(J844:J851)</f>
        <v>0</v>
      </c>
      <c r="K843" s="2590">
        <f t="shared" si="264"/>
        <v>46</v>
      </c>
      <c r="L843" s="2590">
        <f t="shared" si="264"/>
        <v>30</v>
      </c>
      <c r="M843" s="2590">
        <f t="shared" si="264"/>
        <v>0</v>
      </c>
      <c r="N843" s="2590">
        <f t="shared" si="264"/>
        <v>0</v>
      </c>
      <c r="O843" s="2590">
        <f t="shared" si="264"/>
        <v>76</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5">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5"/>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5"/>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5"/>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5"/>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5"/>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46</v>
      </c>
      <c r="L850" s="2590">
        <f>HV805</f>
        <v>30</v>
      </c>
      <c r="M850" s="2590">
        <f>HW805</f>
        <v>0</v>
      </c>
      <c r="N850" s="2590">
        <f>HX805</f>
        <v>0</v>
      </c>
      <c r="O850" s="2590">
        <f t="shared" si="265"/>
        <v>76</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5"/>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5"/>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5"/>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5"/>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5"/>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5"/>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5"/>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5"/>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5"/>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4769</v>
      </c>
      <c r="D861" s="2500"/>
      <c r="E861" s="2555" t="s">
        <v>3373</v>
      </c>
      <c r="F861" s="2356"/>
      <c r="H861" s="2597"/>
      <c r="J861" s="2590">
        <f t="shared" ref="J861:N862" si="266">J852+J856+J858</f>
        <v>0</v>
      </c>
      <c r="K861" s="2590">
        <f t="shared" si="266"/>
        <v>0</v>
      </c>
      <c r="L861" s="2590">
        <f t="shared" si="266"/>
        <v>0</v>
      </c>
      <c r="M861" s="2590">
        <f t="shared" si="266"/>
        <v>0</v>
      </c>
      <c r="N861" s="2590">
        <f t="shared" si="266"/>
        <v>0</v>
      </c>
      <c r="O861" s="2590">
        <f t="shared" ref="O861:O868" si="267">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6"/>
        <v>0</v>
      </c>
      <c r="K862" s="2590">
        <f t="shared" si="266"/>
        <v>0</v>
      </c>
      <c r="L862" s="2590">
        <f t="shared" si="266"/>
        <v>0</v>
      </c>
      <c r="M862" s="2590">
        <f t="shared" si="266"/>
        <v>0</v>
      </c>
      <c r="N862" s="2590">
        <f t="shared" si="266"/>
        <v>0</v>
      </c>
      <c r="O862" s="2590">
        <f t="shared" si="267"/>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8">K844+K854</f>
        <v>0</v>
      </c>
      <c r="L863" s="2590">
        <f t="shared" si="268"/>
        <v>0</v>
      </c>
      <c r="M863" s="2590">
        <f t="shared" si="268"/>
        <v>0</v>
      </c>
      <c r="N863" s="2590">
        <f t="shared" si="268"/>
        <v>0</v>
      </c>
      <c r="O863" s="2590">
        <f t="shared" si="267"/>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8"/>
        <v>0</v>
      </c>
      <c r="L864" s="2590">
        <f t="shared" si="268"/>
        <v>0</v>
      </c>
      <c r="M864" s="2590">
        <f t="shared" si="268"/>
        <v>0</v>
      </c>
      <c r="N864" s="2590">
        <f t="shared" si="268"/>
        <v>0</v>
      </c>
      <c r="O864" s="2590">
        <f t="shared" si="267"/>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69">K848</f>
        <v>0</v>
      </c>
      <c r="L865" s="2590">
        <f t="shared" si="269"/>
        <v>0</v>
      </c>
      <c r="M865" s="2590">
        <f t="shared" si="269"/>
        <v>0</v>
      </c>
      <c r="N865" s="2590">
        <f t="shared" si="269"/>
        <v>0</v>
      </c>
      <c r="O865" s="2590">
        <f t="shared" si="267"/>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69"/>
        <v>0</v>
      </c>
      <c r="L866" s="2590">
        <f t="shared" si="269"/>
        <v>0</v>
      </c>
      <c r="M866" s="2590">
        <f t="shared" si="269"/>
        <v>0</v>
      </c>
      <c r="N866" s="2590">
        <f t="shared" si="269"/>
        <v>0</v>
      </c>
      <c r="O866" s="2590">
        <f t="shared" si="267"/>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0">K846+K850</f>
        <v>46</v>
      </c>
      <c r="L867" s="2590">
        <f t="shared" si="270"/>
        <v>30</v>
      </c>
      <c r="M867" s="2590">
        <f t="shared" si="270"/>
        <v>0</v>
      </c>
      <c r="N867" s="2590">
        <f t="shared" si="270"/>
        <v>0</v>
      </c>
      <c r="O867" s="2590">
        <f t="shared" si="267"/>
        <v>76</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0"/>
        <v>0</v>
      </c>
      <c r="L868" s="2590">
        <f t="shared" si="270"/>
        <v>0</v>
      </c>
      <c r="M868" s="2590">
        <f t="shared" si="270"/>
        <v>0</v>
      </c>
      <c r="N868" s="2590">
        <f t="shared" si="270"/>
        <v>0</v>
      </c>
      <c r="O868" s="2590">
        <f t="shared" si="267"/>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19800</v>
      </c>
      <c r="L870" s="2603">
        <f>CB805</f>
        <v>17550</v>
      </c>
      <c r="M870" s="2603">
        <f>CC805</f>
        <v>0</v>
      </c>
      <c r="N870" s="2603">
        <f>CD805</f>
        <v>0</v>
      </c>
      <c r="O870" s="2603">
        <f t="shared" ref="O870:O876" si="271">SUM(J870:N870)</f>
        <v>37350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5280</v>
      </c>
      <c r="L871" s="2603">
        <f>CG805</f>
        <v>7800</v>
      </c>
      <c r="M871" s="2603">
        <f>CH805</f>
        <v>0</v>
      </c>
      <c r="N871" s="2603">
        <f>CI805</f>
        <v>0</v>
      </c>
      <c r="O871" s="2603">
        <f t="shared" si="271"/>
        <v>13080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25080</v>
      </c>
      <c r="L872" s="2603">
        <f>SUM(L870:L871)</f>
        <v>25350</v>
      </c>
      <c r="M872" s="2603">
        <f>SUM(M870:M871)</f>
        <v>0</v>
      </c>
      <c r="N872" s="2603">
        <f>SUM(N870:N871)</f>
        <v>0</v>
      </c>
      <c r="O872" s="2603">
        <f t="shared" si="271"/>
        <v>50430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5280</v>
      </c>
      <c r="L873" s="2603">
        <f>CQ805</f>
        <v>3900</v>
      </c>
      <c r="M873" s="2603">
        <f>CR805</f>
        <v>0</v>
      </c>
      <c r="N873" s="2603">
        <f>CS805</f>
        <v>0</v>
      </c>
      <c r="O873" s="2603">
        <f t="shared" si="271"/>
        <v>9180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30360</v>
      </c>
      <c r="L874" s="2603">
        <f>SUM(L872:L873)</f>
        <v>29250</v>
      </c>
      <c r="M874" s="2603">
        <f>SUM(M872:M873)</f>
        <v>0</v>
      </c>
      <c r="N874" s="2603">
        <f>SUM(N872:N873)</f>
        <v>0</v>
      </c>
      <c r="O874" s="2603">
        <f t="shared" si="271"/>
        <v>59610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1"/>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30360</v>
      </c>
      <c r="L876" s="2603">
        <f>SUM(L874:L875)</f>
        <v>29250</v>
      </c>
      <c r="M876" s="2603">
        <f>SUM(M874:M875)</f>
        <v>0</v>
      </c>
      <c r="N876" s="2603">
        <f>SUM(N874:N875)</f>
        <v>0</v>
      </c>
      <c r="O876" s="2603">
        <f t="shared" si="271"/>
        <v>59610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4770</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13309.44</v>
      </c>
      <c r="I879" s="2605">
        <f>'Part VI-Revenues &amp; Expenses'!I122</f>
        <v>0</v>
      </c>
      <c r="J879" s="1330"/>
      <c r="K879" s="2606" t="s">
        <v>4771</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2">SUM(G883:G884)</f>
        <v>0</v>
      </c>
      <c r="H885" s="2615">
        <f t="shared" si="272"/>
        <v>0</v>
      </c>
      <c r="I885" s="2615">
        <f t="shared" si="272"/>
        <v>0</v>
      </c>
      <c r="J885" s="2615">
        <f t="shared" si="272"/>
        <v>0</v>
      </c>
      <c r="K885" s="2615">
        <f t="shared" si="272"/>
        <v>0</v>
      </c>
      <c r="L885" s="2615">
        <f t="shared" si="272"/>
        <v>0</v>
      </c>
      <c r="M885" s="2615">
        <f t="shared" si="272"/>
        <v>0</v>
      </c>
      <c r="N885" s="2615">
        <f t="shared" si="272"/>
        <v>0</v>
      </c>
      <c r="O885" s="2615">
        <f t="shared" si="272"/>
        <v>0</v>
      </c>
      <c r="P885" s="2615">
        <f t="shared" si="272"/>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4772</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4773</v>
      </c>
      <c r="D889" s="2555"/>
      <c r="E889" s="2555"/>
      <c r="F889" s="2555"/>
      <c r="G889" s="2615">
        <f t="shared" ref="G889:P889" si="273">SUM(G887:G888)</f>
        <v>0</v>
      </c>
      <c r="H889" s="2615">
        <f t="shared" si="273"/>
        <v>0</v>
      </c>
      <c r="I889" s="2615">
        <f t="shared" si="273"/>
        <v>0</v>
      </c>
      <c r="J889" s="2615">
        <f t="shared" si="273"/>
        <v>0</v>
      </c>
      <c r="K889" s="2615">
        <f t="shared" si="273"/>
        <v>0</v>
      </c>
      <c r="L889" s="2615">
        <f t="shared" si="273"/>
        <v>0</v>
      </c>
      <c r="M889" s="2615">
        <f t="shared" si="273"/>
        <v>0</v>
      </c>
      <c r="N889" s="2615">
        <f t="shared" si="273"/>
        <v>0</v>
      </c>
      <c r="O889" s="2615">
        <f t="shared" si="273"/>
        <v>0</v>
      </c>
      <c r="P889" s="2615">
        <f t="shared" si="273"/>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4">SUM(G892:G893)</f>
        <v>0</v>
      </c>
      <c r="H894" s="2615">
        <f t="shared" si="274"/>
        <v>0</v>
      </c>
      <c r="I894" s="2615">
        <f t="shared" si="274"/>
        <v>0</v>
      </c>
      <c r="J894" s="2615">
        <f t="shared" si="274"/>
        <v>0</v>
      </c>
      <c r="K894" s="2615">
        <f t="shared" si="274"/>
        <v>0</v>
      </c>
      <c r="L894" s="2615">
        <f t="shared" si="274"/>
        <v>0</v>
      </c>
      <c r="M894" s="2615">
        <f t="shared" si="274"/>
        <v>0</v>
      </c>
      <c r="N894" s="2615">
        <f t="shared" si="274"/>
        <v>0</v>
      </c>
      <c r="O894" s="2615">
        <f t="shared" si="274"/>
        <v>0</v>
      </c>
      <c r="P894" s="2615">
        <f t="shared" si="274"/>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4772</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4773</v>
      </c>
      <c r="D898" s="2555"/>
      <c r="E898" s="2555"/>
      <c r="F898" s="2555"/>
      <c r="G898" s="2615">
        <f t="shared" ref="G898:P898" si="275">SUM(G896:G897)</f>
        <v>0</v>
      </c>
      <c r="H898" s="2615">
        <f t="shared" si="275"/>
        <v>0</v>
      </c>
      <c r="I898" s="2615">
        <f t="shared" si="275"/>
        <v>0</v>
      </c>
      <c r="J898" s="2615">
        <f t="shared" si="275"/>
        <v>0</v>
      </c>
      <c r="K898" s="2615">
        <f t="shared" si="275"/>
        <v>0</v>
      </c>
      <c r="L898" s="2615">
        <f t="shared" si="275"/>
        <v>0</v>
      </c>
      <c r="M898" s="2615">
        <f t="shared" si="275"/>
        <v>0</v>
      </c>
      <c r="N898" s="2615">
        <f t="shared" si="275"/>
        <v>0</v>
      </c>
      <c r="O898" s="2615">
        <f t="shared" si="275"/>
        <v>0</v>
      </c>
      <c r="P898" s="2615">
        <f t="shared" si="275"/>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6">SUM(G901:G902)</f>
        <v>0</v>
      </c>
      <c r="H903" s="2615">
        <f t="shared" si="276"/>
        <v>0</v>
      </c>
      <c r="I903" s="2615">
        <f t="shared" si="276"/>
        <v>0</v>
      </c>
      <c r="J903" s="2615">
        <f t="shared" si="276"/>
        <v>0</v>
      </c>
      <c r="K903" s="2615">
        <f t="shared" si="276"/>
        <v>0</v>
      </c>
      <c r="L903" s="2615">
        <f t="shared" si="276"/>
        <v>0</v>
      </c>
      <c r="M903" s="2615">
        <f t="shared" si="276"/>
        <v>0</v>
      </c>
      <c r="N903" s="2615">
        <f t="shared" si="276"/>
        <v>0</v>
      </c>
      <c r="O903" s="2615">
        <f t="shared" si="276"/>
        <v>0</v>
      </c>
      <c r="P903" s="2615">
        <f t="shared" si="276"/>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4772</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4773</v>
      </c>
      <c r="D907" s="2555"/>
      <c r="E907" s="2555"/>
      <c r="F907" s="2555"/>
      <c r="G907" s="2615">
        <f t="shared" ref="G907:P907" si="277">SUM(G905:G906)</f>
        <v>0</v>
      </c>
      <c r="H907" s="2615">
        <f t="shared" si="277"/>
        <v>0</v>
      </c>
      <c r="I907" s="2615">
        <f t="shared" si="277"/>
        <v>0</v>
      </c>
      <c r="J907" s="2615">
        <f t="shared" si="277"/>
        <v>0</v>
      </c>
      <c r="K907" s="2615">
        <f t="shared" si="277"/>
        <v>0</v>
      </c>
      <c r="L907" s="2615">
        <f t="shared" si="277"/>
        <v>0</v>
      </c>
      <c r="M907" s="2615">
        <f t="shared" si="277"/>
        <v>0</v>
      </c>
      <c r="N907" s="2615">
        <f t="shared" si="277"/>
        <v>0</v>
      </c>
      <c r="O907" s="2615">
        <f t="shared" si="277"/>
        <v>0</v>
      </c>
      <c r="P907" s="2615">
        <f t="shared" si="277"/>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4772</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4773</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49200</v>
      </c>
      <c r="G921" s="2603">
        <f>'Part VI-Revenues &amp; Expenses'!G164</f>
        <v>0</v>
      </c>
      <c r="I921" s="2354" t="s">
        <v>1390</v>
      </c>
      <c r="K921" s="2603">
        <f>'Part VI-Revenues &amp; Expenses'!K164</f>
        <v>0</v>
      </c>
      <c r="L921" s="2603">
        <f>'Part VI-Revenues &amp; Expenses'!L164</f>
        <v>0</v>
      </c>
      <c r="N921" s="2354" t="s">
        <v>938</v>
      </c>
      <c r="P921" s="2614">
        <f>'Part VI-Revenues &amp; Expenses'!P164</f>
        <v>44050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42080</v>
      </c>
      <c r="G922" s="2603">
        <f>'Part VI-Revenues &amp; Expenses'!G165</f>
        <v>0</v>
      </c>
      <c r="I922" s="2354" t="s">
        <v>1391</v>
      </c>
      <c r="K922" s="2603">
        <f>'Part VI-Revenues &amp; Expenses'!K165</f>
        <v>0</v>
      </c>
      <c r="L922" s="2603">
        <f>'Part VI-Revenues &amp; Expenses'!L165</f>
        <v>0</v>
      </c>
      <c r="N922" s="2354" t="s">
        <v>148</v>
      </c>
      <c r="P922" s="2614">
        <f>'Part VI-Revenues &amp; Expenses'!P165</f>
        <v>23890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24000</v>
      </c>
      <c r="G923" s="2603">
        <f>'Part VI-Revenues &amp; Expenses'!G166</f>
        <v>0</v>
      </c>
      <c r="J923" s="2620" t="s">
        <v>193</v>
      </c>
      <c r="K923" s="2603">
        <f>SUM(K921:L922)</f>
        <v>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67940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115280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31563</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3000</v>
      </c>
      <c r="G928" s="2603">
        <f>'Part VI-Revenues &amp; Expenses'!G171</f>
        <v>0</v>
      </c>
      <c r="I928" s="2354" t="s">
        <v>1614</v>
      </c>
      <c r="K928" s="2614">
        <f>'Part VI-Revenues &amp; Expenses'!K171</f>
        <v>500</v>
      </c>
      <c r="L928" s="2614">
        <f>'Part VI-Revenues &amp; Expenses'!L171</f>
        <v>0</v>
      </c>
      <c r="N928" s="2624">
        <f>+P927/(O819*0.93)</f>
        <v>446.56196943972833</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4200</v>
      </c>
      <c r="G929" s="2603">
        <f>'Part VI-Revenues &amp; Expenses'!G172</f>
        <v>0</v>
      </c>
      <c r="I929" s="2354" t="s">
        <v>2065</v>
      </c>
      <c r="K929" s="2614">
        <f>'Part VI-Revenues &amp; Expenses'!K172</f>
        <v>8000</v>
      </c>
      <c r="L929" s="2614">
        <f>'Part VI-Revenues &amp; Expenses'!L172</f>
        <v>0</v>
      </c>
      <c r="N929" s="2624">
        <f>+P927/(O819*0.93)/12</f>
        <v>37.213497453310694</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750</v>
      </c>
      <c r="G930" s="2603">
        <f>'Part VI-Revenues &amp; Expenses'!G173</f>
        <v>0</v>
      </c>
      <c r="I930" s="2354" t="s">
        <v>1615</v>
      </c>
      <c r="K930" s="2614">
        <f>'Part VI-Revenues &amp; Expenses'!K173</f>
        <v>3500</v>
      </c>
      <c r="L930" s="2614">
        <f>'Part VI-Revenues &amp; Expenses'!L173</f>
        <v>0</v>
      </c>
      <c r="N930" s="478" t="s">
        <v>3755</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6500</v>
      </c>
      <c r="G932" s="2603">
        <f>'Part VI-Revenues &amp; Expenses'!G175</f>
        <v>0</v>
      </c>
      <c r="I932" s="2543"/>
      <c r="J932" s="2620" t="s">
        <v>193</v>
      </c>
      <c r="K932" s="2614">
        <f>SUM(K928:K931)</f>
        <v>12000</v>
      </c>
      <c r="L932" s="2614"/>
      <c r="M932" s="2627" t="str">
        <f>IF(P934="","",IF(P932&lt;P934, "WARNING! OE below required minimum.",""))</f>
        <v/>
      </c>
      <c r="N932" s="2543" t="s">
        <v>2202</v>
      </c>
      <c r="P932" s="2614">
        <f>F925+F934+F945+K923+K932+K942+P924+P927</f>
        <v>375761</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3">
        <f>'Part VI-Revenues &amp; Expenses'!F176</f>
        <v>0</v>
      </c>
      <c r="G933" s="2603">
        <f>'Part VI-Revenues &amp; Expenses'!G176</f>
        <v>0</v>
      </c>
      <c r="J933" s="2590"/>
      <c r="M933" s="2627"/>
      <c r="N933" s="2625" t="s">
        <v>2776</v>
      </c>
      <c r="O933" s="2624">
        <f>+P932/O819</f>
        <v>4944.2236842105267</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14450</v>
      </c>
      <c r="G934" s="2603"/>
      <c r="J934" s="2590"/>
      <c r="M934" s="2627"/>
      <c r="O934" s="2625" t="s">
        <v>3756</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3504</v>
      </c>
      <c r="O936" s="2543"/>
      <c r="P936" s="2628">
        <f>'Part VI-Revenues &amp; Expenses'!P179</f>
        <v>19000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6000</v>
      </c>
      <c r="G937" s="2603">
        <f>'Part VI-Revenues &amp; Expenses'!G180</f>
        <v>0</v>
      </c>
      <c r="I937" s="2354" t="s">
        <v>1380</v>
      </c>
      <c r="J937" s="2416">
        <f>K937/12/O819</f>
        <v>65.5</v>
      </c>
      <c r="K937" s="2614">
        <f>'Part VI-Revenues &amp; Expenses'!K180</f>
        <v>59736</v>
      </c>
      <c r="L937" s="2614">
        <f>'Part VI-Revenues &amp; Expenses'!L180</f>
        <v>0</v>
      </c>
      <c r="M937" s="2627" t="str">
        <f>IF(P936&lt;P945, "WARNING! RR proposed is below the DCA required minimum.","")</f>
        <v/>
      </c>
      <c r="N937" s="478" t="s">
        <v>3764</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5000</v>
      </c>
      <c r="G938" s="2603">
        <f>'Part VI-Revenues &amp; Expenses'!G181</f>
        <v>0</v>
      </c>
      <c r="I938" s="2354" t="s">
        <v>1381</v>
      </c>
      <c r="J938" s="2416">
        <f>K938/12/O819</f>
        <v>0</v>
      </c>
      <c r="K938" s="2614">
        <f>'Part VI-Revenues &amp; Expenses'!K181</f>
        <v>0</v>
      </c>
      <c r="L938" s="2614">
        <f>'Part VI-Revenues &amp; Expenses'!L181</f>
        <v>0</v>
      </c>
      <c r="M938" s="2627"/>
      <c r="N938" s="2630" t="s">
        <v>3763</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6900</v>
      </c>
      <c r="G939" s="2603">
        <f>'Part VI-Revenues &amp; Expenses'!G182</f>
        <v>0</v>
      </c>
      <c r="I939" s="2354" t="s">
        <v>2368</v>
      </c>
      <c r="J939" s="2416">
        <f>K939/12/O819</f>
        <v>33</v>
      </c>
      <c r="K939" s="2614">
        <f>'Part VI-Revenues &amp; Expenses'!K182</f>
        <v>30096</v>
      </c>
      <c r="L939" s="2614">
        <f>'Part VI-Revenues &amp; Expenses'!L182</f>
        <v>0</v>
      </c>
      <c r="M939" s="2627"/>
      <c r="N939" s="2631" t="s">
        <v>2732</v>
      </c>
      <c r="O939" s="2632" t="s">
        <v>3877</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2400</v>
      </c>
      <c r="G940" s="2603">
        <f>'Part VI-Revenues &amp; Expenses'!G183</f>
        <v>0</v>
      </c>
      <c r="I940" s="2354" t="s">
        <v>1383</v>
      </c>
      <c r="K940" s="2614">
        <f>'Part VI-Revenues &amp; Expenses'!K183</f>
        <v>7296</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3500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3451</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8000</v>
      </c>
      <c r="G942" s="2603">
        <f>'Part VI-Revenues &amp; Expenses'!G185</f>
        <v>0</v>
      </c>
      <c r="J942" s="2620" t="s">
        <v>193</v>
      </c>
      <c r="K942" s="2614">
        <f>SUM(K937:K941)</f>
        <v>97128</v>
      </c>
      <c r="L942" s="2614"/>
      <c r="M942" s="2627"/>
      <c r="N942" s="2356" t="s">
        <v>3450</v>
      </c>
      <c r="O942" s="2634" t="str">
        <f>CONCATENATE(SUM(JH805:JL805)," units x $",'DCA Underwriting Assumptions'!$Q$66," =")</f>
        <v>76 units x $250 =</v>
      </c>
      <c r="P942" s="2634">
        <f>SUM(JH805:JL805)*'DCA Underwriting Assumptions'!$Q$66</f>
        <v>19000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2600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Fire/Safety Inspections</v>
      </c>
      <c r="C944" s="478">
        <f>'Part VI-Revenues &amp; Expenses'!C187</f>
        <v>0</v>
      </c>
      <c r="D944" s="478">
        <f>'Part VI-Revenues &amp; Expenses'!D187</f>
        <v>0</v>
      </c>
      <c r="E944" s="478">
        <f>'Part VI-Revenues &amp; Expenses'!E187</f>
        <v>0</v>
      </c>
      <c r="F944" s="2603">
        <f>'Part VI-Revenues &amp; Expenses'!F187</f>
        <v>3000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37400</v>
      </c>
      <c r="G945" s="2603"/>
      <c r="J945" s="2590"/>
      <c r="N945" s="2583" t="s">
        <v>2735</v>
      </c>
      <c r="O945" s="2577">
        <f>SUM(JC805:JG805)+SUM(JH805:JL805)+SUM(JM805:JQ805)+O841</f>
        <v>76</v>
      </c>
      <c r="P945" s="2635">
        <f>SUM(P941:P944)</f>
        <v>19000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394761</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4154</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Please see Section 1 Feasibility for all documentation regarding insurance and property taxes.  Our operating numbers have been vetted by our operator, we have included $24,000 for our RSD who will be acting as the Health Services Coordinator (for our Healthy Housing).</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4153</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2018-037 Myrtle Terraces Phase 2,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4774</v>
      </c>
    </row>
    <row r="961" spans="1:19" ht="12.75" customHeight="1">
      <c r="A961" s="683" t="s">
        <v>2204</v>
      </c>
      <c r="B961" s="2636">
        <v>0.02</v>
      </c>
      <c r="D961" s="2500" t="s">
        <v>4775</v>
      </c>
      <c r="E961" s="2500"/>
      <c r="F961" s="2500"/>
      <c r="G961" s="2637">
        <f>'Part VII-Pro Forma'!G5</f>
        <v>5000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f>'Part VII-Pro Forma'!G8</f>
        <v>0</v>
      </c>
      <c r="H964" s="2642" t="s">
        <v>1456</v>
      </c>
      <c r="K964" s="2643">
        <f>'Part VII-Pro Forma'!K8</f>
        <v>0</v>
      </c>
    </row>
    <row r="965" spans="1:19">
      <c r="A965" s="683" t="s">
        <v>1430</v>
      </c>
      <c r="B965" s="2636">
        <v>0.02</v>
      </c>
      <c r="D965" s="2354" t="s">
        <v>1731</v>
      </c>
      <c r="G965" s="2641" t="str">
        <f>'Part VII-Pro Forma'!G9</f>
        <v>Yes</v>
      </c>
      <c r="H965" s="2642" t="s">
        <v>2372</v>
      </c>
      <c r="K965" s="2644">
        <f>'Part VII-Pro Forma'!K9</f>
        <v>0.05</v>
      </c>
    </row>
    <row r="967" spans="1:19">
      <c r="A967" s="2546" t="s">
        <v>92</v>
      </c>
      <c r="D967" s="2544"/>
    </row>
    <row r="969" spans="1:19">
      <c r="A969" s="2546" t="s">
        <v>2496</v>
      </c>
      <c r="B969" s="2546">
        <v>1</v>
      </c>
      <c r="C969" s="2546">
        <f t="shared" ref="C969:K969" si="278">B969+1</f>
        <v>2</v>
      </c>
      <c r="D969" s="2546">
        <f t="shared" si="278"/>
        <v>3</v>
      </c>
      <c r="E969" s="2546">
        <f t="shared" si="278"/>
        <v>4</v>
      </c>
      <c r="F969" s="2546">
        <f t="shared" si="278"/>
        <v>5</v>
      </c>
      <c r="G969" s="2546">
        <f t="shared" si="278"/>
        <v>6</v>
      </c>
      <c r="H969" s="2546">
        <f t="shared" si="278"/>
        <v>7</v>
      </c>
      <c r="I969" s="2546">
        <f t="shared" si="278"/>
        <v>8</v>
      </c>
      <c r="J969" s="2546">
        <f t="shared" si="278"/>
        <v>9</v>
      </c>
      <c r="K969" s="2546">
        <f t="shared" si="278"/>
        <v>10</v>
      </c>
    </row>
    <row r="970" spans="1:19">
      <c r="A970" s="683" t="s">
        <v>2420</v>
      </c>
      <c r="B970" s="2645">
        <f>'Part VI-Revenues &amp; Expenses'!$L$49</f>
        <v>665472</v>
      </c>
      <c r="C970" s="2645">
        <f t="shared" ref="C970:K970" si="279">$B$14*(1+$B$5)^(C969-1)</f>
        <v>0</v>
      </c>
      <c r="D970" s="2645">
        <f t="shared" si="279"/>
        <v>0</v>
      </c>
      <c r="E970" s="2645">
        <f t="shared" si="279"/>
        <v>0</v>
      </c>
      <c r="F970" s="2645">
        <f t="shared" si="279"/>
        <v>0</v>
      </c>
      <c r="G970" s="2645">
        <f t="shared" si="279"/>
        <v>0</v>
      </c>
      <c r="H970" s="2645">
        <f t="shared" si="279"/>
        <v>0</v>
      </c>
      <c r="I970" s="2645">
        <f t="shared" si="279"/>
        <v>0</v>
      </c>
      <c r="J970" s="2645">
        <f t="shared" si="279"/>
        <v>0</v>
      </c>
      <c r="K970" s="2645">
        <f t="shared" si="279"/>
        <v>0</v>
      </c>
      <c r="S970" s="683" t="s">
        <v>4239</v>
      </c>
    </row>
    <row r="971" spans="1:19">
      <c r="A971" s="683" t="s">
        <v>1026</v>
      </c>
      <c r="B971" s="2645">
        <f>MIN(B970*B965,'Part VI-Revenues &amp; Expenses'!$H$122)</f>
        <v>13309.44</v>
      </c>
      <c r="C971" s="2645">
        <f t="shared" ref="C971:K971" si="280">$B$15*(1+$B$5)^(C969-1)</f>
        <v>0</v>
      </c>
      <c r="D971" s="2645">
        <f t="shared" si="280"/>
        <v>0</v>
      </c>
      <c r="E971" s="2645">
        <f t="shared" si="280"/>
        <v>0</v>
      </c>
      <c r="F971" s="2645">
        <f t="shared" si="280"/>
        <v>0</v>
      </c>
      <c r="G971" s="2645">
        <f t="shared" si="280"/>
        <v>0</v>
      </c>
      <c r="H971" s="2645">
        <f t="shared" si="280"/>
        <v>0</v>
      </c>
      <c r="I971" s="2645">
        <f t="shared" si="280"/>
        <v>0</v>
      </c>
      <c r="J971" s="2645">
        <f t="shared" si="280"/>
        <v>0</v>
      </c>
      <c r="K971" s="2645">
        <f t="shared" si="280"/>
        <v>0</v>
      </c>
    </row>
    <row r="972" spans="1:19">
      <c r="A972" s="683" t="s">
        <v>2421</v>
      </c>
      <c r="B972" s="2645">
        <f t="shared" ref="B972:K972" si="281">-(B970+B971)*$B$8</f>
        <v>0</v>
      </c>
      <c r="C972" s="2645">
        <f t="shared" si="281"/>
        <v>0</v>
      </c>
      <c r="D972" s="2645">
        <f t="shared" si="281"/>
        <v>0</v>
      </c>
      <c r="E972" s="2645">
        <f t="shared" si="281"/>
        <v>0</v>
      </c>
      <c r="F972" s="2645">
        <f t="shared" si="281"/>
        <v>0</v>
      </c>
      <c r="G972" s="2645">
        <f t="shared" si="281"/>
        <v>0</v>
      </c>
      <c r="H972" s="2645">
        <f t="shared" si="281"/>
        <v>0</v>
      </c>
      <c r="I972" s="2645">
        <f t="shared" si="281"/>
        <v>0</v>
      </c>
      <c r="J972" s="2645">
        <f t="shared" si="281"/>
        <v>0</v>
      </c>
      <c r="K972" s="2645">
        <f t="shared" si="281"/>
        <v>0</v>
      </c>
      <c r="Q972" s="683" t="s">
        <v>3912</v>
      </c>
      <c r="R972" s="683" t="s">
        <v>4238</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-344198</v>
      </c>
      <c r="C975" s="2645">
        <f t="shared" ref="C975:K975" si="282">$B$19*(1+$B$6)^(C969-1)</f>
        <v>0</v>
      </c>
      <c r="D975" s="2645">
        <f t="shared" si="282"/>
        <v>0</v>
      </c>
      <c r="E975" s="2645">
        <f t="shared" si="282"/>
        <v>0</v>
      </c>
      <c r="F975" s="2645">
        <f t="shared" si="282"/>
        <v>0</v>
      </c>
      <c r="G975" s="2645">
        <f t="shared" si="282"/>
        <v>0</v>
      </c>
      <c r="H975" s="2645">
        <f t="shared" si="282"/>
        <v>0</v>
      </c>
      <c r="I975" s="2645">
        <f t="shared" si="282"/>
        <v>0</v>
      </c>
      <c r="J975" s="2645">
        <f t="shared" si="282"/>
        <v>0</v>
      </c>
      <c r="K975" s="2645">
        <f t="shared" si="282"/>
        <v>0</v>
      </c>
      <c r="Q975" s="683">
        <v>1</v>
      </c>
      <c r="R975" s="683">
        <v>35411</v>
      </c>
      <c r="S975" s="683">
        <v>35411.21728089964</v>
      </c>
    </row>
    <row r="976" spans="1:19">
      <c r="A976" s="683" t="s">
        <v>1125</v>
      </c>
      <c r="B976" s="2645">
        <f>IF(AND('Part VII-Pro Forma'!$G$8="Yes",'Part VII-Pro Forma'!$G$9="Yes"),"Choose One!",IF('Part VII-Pro Forma'!$G$8="Yes",ROUND((-$K$8*(1+'Part VII-Pro Forma'!$B$6)^('Part VII-Pro Forma'!B969-1)),),IF('Part VII-Pro Forma'!$G$9="Yes",ROUND((-(SUM(B970:B973)*'Part VII-Pro Forma'!$K$9)),),"Choose mgt fee")))</f>
        <v>-33939</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71920</v>
      </c>
      <c r="S976" s="683">
        <v>71919.829345799342</v>
      </c>
    </row>
    <row r="977" spans="1:19">
      <c r="A977" s="683" t="s">
        <v>1214</v>
      </c>
      <c r="B977" s="2645">
        <f>-('Part VI-Revenues &amp; Expenses'!$P$179)</f>
        <v>-19000</v>
      </c>
      <c r="C977" s="2645">
        <f t="shared" ref="C977:K977" si="283">$B$21*(1+$B$7)^(C969-1)</f>
        <v>0</v>
      </c>
      <c r="D977" s="2645">
        <f t="shared" si="283"/>
        <v>0</v>
      </c>
      <c r="E977" s="2645">
        <f t="shared" si="283"/>
        <v>0</v>
      </c>
      <c r="F977" s="2645">
        <f t="shared" si="283"/>
        <v>0</v>
      </c>
      <c r="G977" s="2645">
        <f t="shared" si="283"/>
        <v>0</v>
      </c>
      <c r="H977" s="2645">
        <f t="shared" si="283"/>
        <v>0</v>
      </c>
      <c r="I977" s="2645">
        <f t="shared" si="283"/>
        <v>0</v>
      </c>
      <c r="J977" s="2645">
        <f t="shared" si="283"/>
        <v>0</v>
      </c>
      <c r="K977" s="2645">
        <f t="shared" si="283"/>
        <v>0</v>
      </c>
      <c r="Q977" s="683">
        <v>3</v>
      </c>
      <c r="R977" s="683">
        <v>81444</v>
      </c>
      <c r="S977" s="683">
        <v>109440.46469037907</v>
      </c>
    </row>
    <row r="978" spans="1:19">
      <c r="A978" s="683" t="s">
        <v>1215</v>
      </c>
      <c r="B978" s="2645">
        <f t="shared" ref="B978:K978" si="284">SUM(B970:B977)</f>
        <v>281644.43999999994</v>
      </c>
      <c r="C978" s="2645">
        <f t="shared" si="284"/>
        <v>0</v>
      </c>
      <c r="D978" s="2645">
        <f t="shared" si="284"/>
        <v>0</v>
      </c>
      <c r="E978" s="2645">
        <f t="shared" si="284"/>
        <v>0</v>
      </c>
      <c r="F978" s="2645">
        <f t="shared" si="284"/>
        <v>0</v>
      </c>
      <c r="G978" s="2645">
        <f t="shared" si="284"/>
        <v>0</v>
      </c>
      <c r="H978" s="2645">
        <f t="shared" si="284"/>
        <v>0</v>
      </c>
      <c r="I978" s="2645">
        <f t="shared" si="284"/>
        <v>0</v>
      </c>
      <c r="J978" s="2645">
        <f t="shared" si="284"/>
        <v>0</v>
      </c>
      <c r="K978" s="2645">
        <f t="shared" si="284"/>
        <v>0</v>
      </c>
      <c r="Q978" s="683">
        <v>4</v>
      </c>
      <c r="R978" s="683">
        <v>81444</v>
      </c>
      <c r="S978" s="683">
        <v>147879.9955982322</v>
      </c>
    </row>
    <row r="979" spans="1:19">
      <c r="A979" s="683" t="s">
        <v>1603</v>
      </c>
      <c r="B979" s="2645">
        <f>'Part VII-Pro Forma'!B23</f>
        <v>-196094.52191910031</v>
      </c>
      <c r="C979" s="2645">
        <f>'Part VII-Pro Forma'!C23</f>
        <v>-196094.52191910031</v>
      </c>
      <c r="D979" s="2645">
        <f>'Part VII-Pro Forma'!D23</f>
        <v>-196094.52191910031</v>
      </c>
      <c r="E979" s="2645">
        <f>'Part VII-Pro Forma'!E23</f>
        <v>-196094.52191910031</v>
      </c>
      <c r="F979" s="2645">
        <f>'Part VII-Pro Forma'!F23</f>
        <v>-196094.52191910031</v>
      </c>
      <c r="G979" s="2645">
        <f>'Part VII-Pro Forma'!G23</f>
        <v>-196094.52191910031</v>
      </c>
      <c r="H979" s="2645">
        <f>'Part VII-Pro Forma'!H23</f>
        <v>-196094.52191910031</v>
      </c>
      <c r="I979" s="2645">
        <f>'Part VII-Pro Forma'!I23</f>
        <v>-196094.52191910031</v>
      </c>
      <c r="J979" s="2645">
        <f>'Part VII-Pro Forma'!J23</f>
        <v>-196094.52191910031</v>
      </c>
      <c r="K979" s="2645">
        <f>'Part VII-Pro Forma'!K23</f>
        <v>-196094.52191910031</v>
      </c>
      <c r="Q979" s="683">
        <v>5</v>
      </c>
      <c r="R979" s="683">
        <v>81444</v>
      </c>
      <c r="S979" s="683">
        <v>187141.34495316455</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81444</v>
      </c>
      <c r="S980" s="683">
        <v>227122.28624583388</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81444</v>
      </c>
      <c r="S981" s="683">
        <v>267714.23655036232</v>
      </c>
    </row>
    <row r="982" spans="1:19">
      <c r="A982" s="683" t="s">
        <v>3880</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81444</v>
      </c>
      <c r="S982" s="683">
        <v>308803.04223941581</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81444</v>
      </c>
      <c r="S983" s="683">
        <v>350268.75719888671</v>
      </c>
    </row>
    <row r="984" spans="1:19">
      <c r="A984" s="683" t="s">
        <v>1174</v>
      </c>
      <c r="B984" s="2645">
        <f>'Part VII-Pro Forma'!B28</f>
        <v>-5000</v>
      </c>
      <c r="C984" s="2645">
        <f>'Part VII-Pro Forma'!C28</f>
        <v>-5000</v>
      </c>
      <c r="D984" s="2645">
        <f>'Part VII-Pro Forma'!D28</f>
        <v>-5000</v>
      </c>
      <c r="E984" s="2645">
        <f>'Part VII-Pro Forma'!E28</f>
        <v>-5000</v>
      </c>
      <c r="F984" s="2645">
        <f>'Part VII-Pro Forma'!F28</f>
        <v>-5000</v>
      </c>
      <c r="G984" s="2645">
        <f>'Part VII-Pro Forma'!G28</f>
        <v>-5000</v>
      </c>
      <c r="H984" s="2645">
        <f>'Part VII-Pro Forma'!H28</f>
        <v>-5000</v>
      </c>
      <c r="I984" s="2645">
        <f>'Part VII-Pro Forma'!I28</f>
        <v>-5000</v>
      </c>
      <c r="J984" s="2645">
        <f>'Part VII-Pro Forma'!J28</f>
        <v>-5000</v>
      </c>
      <c r="K984" s="2645">
        <f>'Part VII-Pro Forma'!K28</f>
        <v>-5000</v>
      </c>
      <c r="Q984" s="683">
        <v>10</v>
      </c>
      <c r="R984" s="683">
        <v>81444</v>
      </c>
      <c r="S984" s="683">
        <v>391984.41329573095</v>
      </c>
    </row>
    <row r="985" spans="1:19">
      <c r="A985" s="683" t="s">
        <v>4127</v>
      </c>
      <c r="B985" s="2645">
        <f>'Part VII-Pro Forma'!B29</f>
        <v>-35411</v>
      </c>
      <c r="C985" s="2645">
        <f>'Part VII-Pro Forma'!C29</f>
        <v>-36509</v>
      </c>
      <c r="D985" s="2645">
        <f>'Part VII-Pro Forma'!D29</f>
        <v>-9524</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81444</v>
      </c>
      <c r="S985" s="683">
        <v>433816.78284468991</v>
      </c>
    </row>
    <row r="986" spans="1:19">
      <c r="A986" s="683" t="s">
        <v>1175</v>
      </c>
      <c r="B986" s="2645">
        <f>SUM(B978:B985)</f>
        <v>45138.918080899632</v>
      </c>
      <c r="C986" s="2645">
        <f t="shared" ref="C986:K986" si="285">SUM(C978:C985)</f>
        <v>-237603.52191910031</v>
      </c>
      <c r="D986" s="2645">
        <f t="shared" si="285"/>
        <v>-210618.52191910031</v>
      </c>
      <c r="E986" s="2645">
        <f t="shared" si="285"/>
        <v>-201094.52191910031</v>
      </c>
      <c r="F986" s="2645">
        <f t="shared" si="285"/>
        <v>-201094.52191910031</v>
      </c>
      <c r="G986" s="2645">
        <f t="shared" si="285"/>
        <v>-201094.52191910031</v>
      </c>
      <c r="H986" s="2645">
        <f t="shared" si="285"/>
        <v>-201094.52191910031</v>
      </c>
      <c r="I986" s="2645">
        <f t="shared" si="285"/>
        <v>-201094.52191910031</v>
      </c>
      <c r="J986" s="2645">
        <f t="shared" si="285"/>
        <v>-201094.52191910031</v>
      </c>
      <c r="K986" s="2645">
        <f t="shared" si="285"/>
        <v>-201094.52191910031</v>
      </c>
      <c r="Q986" s="683">
        <v>12</v>
      </c>
      <c r="R986" s="683">
        <v>81444</v>
      </c>
      <c r="S986" s="683">
        <v>475627.13281155971</v>
      </c>
    </row>
    <row r="987" spans="1:19">
      <c r="A987" s="683" t="str">
        <f>IF('Part III-Sources of Funds'!$E$37 = "Neither", "", "DCR Mortgage A")</f>
        <v>DCR Mortgage A</v>
      </c>
      <c r="B987" s="2646">
        <f t="shared" ref="B987:K987" si="286">IF(B979=0,"",-B978/B979)</f>
        <v>1.4362687812166095</v>
      </c>
      <c r="C987" s="2646">
        <f t="shared" si="286"/>
        <v>0</v>
      </c>
      <c r="D987" s="2646">
        <f t="shared" si="286"/>
        <v>0</v>
      </c>
      <c r="E987" s="2646">
        <f t="shared" si="286"/>
        <v>0</v>
      </c>
      <c r="F987" s="2646">
        <f t="shared" si="286"/>
        <v>0</v>
      </c>
      <c r="G987" s="2646">
        <f t="shared" si="286"/>
        <v>0</v>
      </c>
      <c r="H987" s="2646">
        <f t="shared" si="286"/>
        <v>0</v>
      </c>
      <c r="I987" s="2646">
        <f t="shared" si="286"/>
        <v>0</v>
      </c>
      <c r="J987" s="2646">
        <f t="shared" si="286"/>
        <v>0</v>
      </c>
      <c r="K987" s="2646">
        <f t="shared" si="286"/>
        <v>0</v>
      </c>
      <c r="Q987" s="683">
        <v>13</v>
      </c>
      <c r="R987" s="683">
        <v>81444</v>
      </c>
      <c r="S987" s="683">
        <v>517267.97048235533</v>
      </c>
    </row>
    <row r="988" spans="1:19">
      <c r="A988" s="683" t="str">
        <f>IF('Part III-Sources of Funds'!$E$37 = "Neither", "", "DCR Mortgage B")</f>
        <v>DCR Mortgage B</v>
      </c>
      <c r="B988" s="2646" t="str">
        <f t="shared" ref="B988:K988" si="287">IF(B980=0,"",-(B978+B979)/B980)</f>
        <v/>
      </c>
      <c r="C988" s="2646" t="str">
        <f t="shared" si="287"/>
        <v/>
      </c>
      <c r="D988" s="2646" t="str">
        <f t="shared" si="287"/>
        <v/>
      </c>
      <c r="E988" s="2646" t="str">
        <f t="shared" si="287"/>
        <v/>
      </c>
      <c r="F988" s="2646" t="str">
        <f t="shared" si="287"/>
        <v/>
      </c>
      <c r="G988" s="2646" t="str">
        <f t="shared" si="287"/>
        <v/>
      </c>
      <c r="H988" s="2646" t="str">
        <f t="shared" si="287"/>
        <v/>
      </c>
      <c r="I988" s="2646" t="str">
        <f t="shared" si="287"/>
        <v/>
      </c>
      <c r="J988" s="2646" t="str">
        <f t="shared" si="287"/>
        <v/>
      </c>
      <c r="K988" s="2646" t="str">
        <f t="shared" si="287"/>
        <v/>
      </c>
      <c r="Q988" s="683">
        <v>14</v>
      </c>
      <c r="R988" s="683">
        <v>81444</v>
      </c>
      <c r="S988" s="683">
        <v>558584.78031914111</v>
      </c>
    </row>
    <row r="989" spans="1:19">
      <c r="A989" s="683" t="str">
        <f>IF('Part III-Sources of Funds'!$E$37 = "Neither", "DCR First Mortgage", "DCR Mortgage C")</f>
        <v>DCR Mortgage C</v>
      </c>
      <c r="B989" s="2646" t="str">
        <f t="shared" ref="B989:K989" si="288">IF(B981=0,"",-(B978+B979+B980)/B981)</f>
        <v/>
      </c>
      <c r="C989" s="2646" t="str">
        <f t="shared" si="288"/>
        <v/>
      </c>
      <c r="D989" s="2646" t="str">
        <f t="shared" si="288"/>
        <v/>
      </c>
      <c r="E989" s="2646" t="str">
        <f t="shared" si="288"/>
        <v/>
      </c>
      <c r="F989" s="2646" t="str">
        <f t="shared" si="288"/>
        <v/>
      </c>
      <c r="G989" s="2646" t="str">
        <f t="shared" si="288"/>
        <v/>
      </c>
      <c r="H989" s="2646" t="str">
        <f t="shared" si="288"/>
        <v/>
      </c>
      <c r="I989" s="2646" t="str">
        <f t="shared" si="288"/>
        <v/>
      </c>
      <c r="J989" s="2646" t="str">
        <f t="shared" si="288"/>
        <v/>
      </c>
      <c r="K989" s="2646" t="str">
        <f t="shared" si="288"/>
        <v/>
      </c>
      <c r="Q989" s="683">
        <v>15</v>
      </c>
      <c r="R989" s="683">
        <v>81444</v>
      </c>
      <c r="S989" s="683">
        <v>599416.75171446288</v>
      </c>
    </row>
    <row r="990" spans="1:19">
      <c r="A990" s="683" t="s">
        <v>791</v>
      </c>
      <c r="B990" s="2646" t="str">
        <f t="shared" ref="B990:K990" si="289">IF(B982=0,"",-(B978+B979+B980+B981)/B982)</f>
        <v/>
      </c>
      <c r="C990" s="2646" t="str">
        <f t="shared" si="289"/>
        <v/>
      </c>
      <c r="D990" s="2646" t="str">
        <f t="shared" si="289"/>
        <v/>
      </c>
      <c r="E990" s="2646" t="str">
        <f t="shared" si="289"/>
        <v/>
      </c>
      <c r="F990" s="2646" t="str">
        <f t="shared" si="289"/>
        <v/>
      </c>
      <c r="G990" s="2646" t="str">
        <f t="shared" si="289"/>
        <v/>
      </c>
      <c r="H990" s="2646" t="str">
        <f t="shared" si="289"/>
        <v/>
      </c>
      <c r="I990" s="2646" t="str">
        <f t="shared" si="289"/>
        <v/>
      </c>
      <c r="J990" s="2646" t="str">
        <f t="shared" si="289"/>
        <v/>
      </c>
      <c r="K990" s="2646" t="str">
        <f t="shared" si="289"/>
        <v/>
      </c>
      <c r="Q990" s="683">
        <v>16</v>
      </c>
      <c r="R990" s="683">
        <v>81444</v>
      </c>
      <c r="S990" s="683">
        <v>639593.49734719354</v>
      </c>
    </row>
    <row r="991" spans="1:19">
      <c r="A991" s="683" t="s">
        <v>3738</v>
      </c>
      <c r="B991" s="2646">
        <f t="shared" ref="B991:K991" si="290">IF(AND(B979=0,B980=0,B981=0,B982=0),"",-B978/(B979+B980+B981+B982))</f>
        <v>1.4362687812166095</v>
      </c>
      <c r="C991" s="2646">
        <f t="shared" si="290"/>
        <v>0</v>
      </c>
      <c r="D991" s="2646">
        <f t="shared" si="290"/>
        <v>0</v>
      </c>
      <c r="E991" s="2646">
        <f t="shared" si="290"/>
        <v>0</v>
      </c>
      <c r="F991" s="2646">
        <f t="shared" si="290"/>
        <v>0</v>
      </c>
      <c r="G991" s="2646">
        <f t="shared" si="290"/>
        <v>0</v>
      </c>
      <c r="H991" s="2646">
        <f t="shared" si="290"/>
        <v>0</v>
      </c>
      <c r="I991" s="2646">
        <f t="shared" si="290"/>
        <v>0</v>
      </c>
      <c r="J991" s="2646">
        <f t="shared" si="290"/>
        <v>0</v>
      </c>
      <c r="K991" s="2646">
        <f t="shared" si="290"/>
        <v>0</v>
      </c>
      <c r="Q991" s="683">
        <v>17</v>
      </c>
      <c r="R991" s="683">
        <v>81444</v>
      </c>
      <c r="S991" s="683">
        <v>678936.76183321537</v>
      </c>
    </row>
    <row r="992" spans="1:19">
      <c r="A992" s="683" t="s">
        <v>778</v>
      </c>
      <c r="B992" s="2647">
        <f t="shared" ref="B992:K992" si="291">IF(OR(B976="Choose mgt fee",B976="Choose One!"),"",(B970+B971+B972+B973+B974) / -(B975+B976+B977))</f>
        <v>1.709187106716322</v>
      </c>
      <c r="C992" s="2647" t="e">
        <f t="shared" si="291"/>
        <v>#DIV/0!</v>
      </c>
      <c r="D992" s="2647" t="e">
        <f t="shared" si="291"/>
        <v>#DIV/0!</v>
      </c>
      <c r="E992" s="2647" t="e">
        <f t="shared" si="291"/>
        <v>#DIV/0!</v>
      </c>
      <c r="F992" s="2647" t="e">
        <f t="shared" si="291"/>
        <v>#DIV/0!</v>
      </c>
      <c r="G992" s="2647" t="e">
        <f t="shared" si="291"/>
        <v>#DIV/0!</v>
      </c>
      <c r="H992" s="2647" t="e">
        <f t="shared" si="291"/>
        <v>#DIV/0!</v>
      </c>
      <c r="I992" s="2647" t="e">
        <f t="shared" si="291"/>
        <v>#DIV/0!</v>
      </c>
      <c r="J992" s="2647" t="e">
        <f t="shared" si="291"/>
        <v>#DIV/0!</v>
      </c>
      <c r="K992" s="2647" t="e">
        <f t="shared" si="291"/>
        <v>#DIV/0!</v>
      </c>
      <c r="Q992" s="683">
        <v>18</v>
      </c>
      <c r="R992" s="683">
        <v>81444</v>
      </c>
      <c r="S992" s="683">
        <v>717261.12035466195</v>
      </c>
    </row>
    <row r="993" spans="1:19">
      <c r="A993" s="683" t="s">
        <v>2634</v>
      </c>
      <c r="B993" s="2645">
        <f>'Part VII-Pro Forma'!B37</f>
        <v>2874318.3838962568</v>
      </c>
      <c r="C993" s="2645">
        <f>'Part VII-Pro Forma'!C37</f>
        <v>2847079.8994890405</v>
      </c>
      <c r="D993" s="2645">
        <f>'Part VII-Pro Forma'!D37</f>
        <v>2818190.1664673709</v>
      </c>
      <c r="E993" s="2645">
        <f>'Part VII-Pro Forma'!E37</f>
        <v>2787549.0830067126</v>
      </c>
      <c r="F993" s="2645">
        <f>'Part VII-Pro Forma'!F37</f>
        <v>2755050.4789199666</v>
      </c>
      <c r="G993" s="2645">
        <f>'Part VII-Pro Forma'!G37</f>
        <v>2720581.7477818164</v>
      </c>
      <c r="H993" s="2645">
        <f>'Part VII-Pro Forma'!H37</f>
        <v>2684023.4567517522</v>
      </c>
      <c r="I993" s="2645">
        <f>'Part VII-Pro Forma'!I37</f>
        <v>2645248.9327438287</v>
      </c>
      <c r="J993" s="2645">
        <f>'Part VII-Pro Forma'!J37</f>
        <v>2604123.8235092466</v>
      </c>
      <c r="K993" s="2645">
        <f>'Part VII-Pro Forma'!K37</f>
        <v>2560505.6321109277</v>
      </c>
      <c r="Q993" s="683">
        <v>19</v>
      </c>
      <c r="R993" s="683">
        <v>81444</v>
      </c>
      <c r="S993" s="683">
        <v>754370.66694146092</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81444</v>
      </c>
      <c r="S994" s="683">
        <v>790060.69206861581</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4128</v>
      </c>
      <c r="B997" s="2645">
        <f>'Part VII-Pro Forma'!B41</f>
        <v>46033</v>
      </c>
      <c r="C997" s="2645">
        <f>'Part VII-Pro Forma'!C41</f>
        <v>9524</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2">B999+1</f>
        <v>12</v>
      </c>
      <c r="D999" s="2648">
        <f t="shared" si="292"/>
        <v>13</v>
      </c>
      <c r="E999" s="2648">
        <f t="shared" si="292"/>
        <v>14</v>
      </c>
      <c r="F999" s="2648">
        <f t="shared" si="292"/>
        <v>15</v>
      </c>
      <c r="G999" s="2648">
        <f t="shared" si="292"/>
        <v>16</v>
      </c>
      <c r="H999" s="2648">
        <f t="shared" si="292"/>
        <v>17</v>
      </c>
      <c r="I999" s="2648">
        <f t="shared" si="292"/>
        <v>18</v>
      </c>
      <c r="J999" s="2648">
        <f t="shared" si="292"/>
        <v>19</v>
      </c>
      <c r="K999" s="2648">
        <f t="shared" si="292"/>
        <v>20</v>
      </c>
    </row>
    <row r="1000" spans="1:19">
      <c r="A1000" s="683" t="s">
        <v>2420</v>
      </c>
      <c r="B1000" s="2645">
        <f t="shared" ref="B1000:K1000" si="293">$B$14*(1+$B$5)^(B999-1)</f>
        <v>0</v>
      </c>
      <c r="C1000" s="2645">
        <f t="shared" si="293"/>
        <v>0</v>
      </c>
      <c r="D1000" s="2645">
        <f t="shared" si="293"/>
        <v>0</v>
      </c>
      <c r="E1000" s="2645">
        <f t="shared" si="293"/>
        <v>0</v>
      </c>
      <c r="F1000" s="2645">
        <f t="shared" si="293"/>
        <v>0</v>
      </c>
      <c r="G1000" s="2645">
        <f t="shared" si="293"/>
        <v>0</v>
      </c>
      <c r="H1000" s="2645">
        <f t="shared" si="293"/>
        <v>0</v>
      </c>
      <c r="I1000" s="2645">
        <f t="shared" si="293"/>
        <v>0</v>
      </c>
      <c r="J1000" s="2645">
        <f t="shared" si="293"/>
        <v>0</v>
      </c>
      <c r="K1000" s="2645">
        <f t="shared" si="293"/>
        <v>0</v>
      </c>
    </row>
    <row r="1001" spans="1:19">
      <c r="A1001" s="683" t="s">
        <v>1026</v>
      </c>
      <c r="B1001" s="2645">
        <f t="shared" ref="B1001:K1001" si="294">$B$15*(1+$B$5)^(B999-1)</f>
        <v>0</v>
      </c>
      <c r="C1001" s="2645">
        <f t="shared" si="294"/>
        <v>0</v>
      </c>
      <c r="D1001" s="2645">
        <f t="shared" si="294"/>
        <v>0</v>
      </c>
      <c r="E1001" s="2645">
        <f t="shared" si="294"/>
        <v>0</v>
      </c>
      <c r="F1001" s="2645">
        <f t="shared" si="294"/>
        <v>0</v>
      </c>
      <c r="G1001" s="2645">
        <f t="shared" si="294"/>
        <v>0</v>
      </c>
      <c r="H1001" s="2645">
        <f t="shared" si="294"/>
        <v>0</v>
      </c>
      <c r="I1001" s="2645">
        <f t="shared" si="294"/>
        <v>0</v>
      </c>
      <c r="J1001" s="2645">
        <f t="shared" si="294"/>
        <v>0</v>
      </c>
      <c r="K1001" s="2645">
        <f t="shared" si="294"/>
        <v>0</v>
      </c>
    </row>
    <row r="1002" spans="1:19">
      <c r="A1002" s="683" t="s">
        <v>2421</v>
      </c>
      <c r="B1002" s="2645">
        <f t="shared" ref="B1002:K1002" si="295">-(B1000+B1001)*$B$8</f>
        <v>0</v>
      </c>
      <c r="C1002" s="2645">
        <f t="shared" si="295"/>
        <v>0</v>
      </c>
      <c r="D1002" s="2645">
        <f t="shared" si="295"/>
        <v>0</v>
      </c>
      <c r="E1002" s="2645">
        <f t="shared" si="295"/>
        <v>0</v>
      </c>
      <c r="F1002" s="2645">
        <f t="shared" si="295"/>
        <v>0</v>
      </c>
      <c r="G1002" s="2645">
        <f t="shared" si="295"/>
        <v>0</v>
      </c>
      <c r="H1002" s="2645">
        <f t="shared" si="295"/>
        <v>0</v>
      </c>
      <c r="I1002" s="2645">
        <f t="shared" si="295"/>
        <v>0</v>
      </c>
      <c r="J1002" s="2645">
        <f t="shared" si="295"/>
        <v>0</v>
      </c>
      <c r="K1002" s="2645">
        <f t="shared" si="295"/>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6">$B$19*(1+$B$6)^(B999-1)</f>
        <v>0</v>
      </c>
      <c r="C1005" s="2645">
        <f t="shared" si="296"/>
        <v>0</v>
      </c>
      <c r="D1005" s="2645">
        <f t="shared" si="296"/>
        <v>0</v>
      </c>
      <c r="E1005" s="2645">
        <f t="shared" si="296"/>
        <v>0</v>
      </c>
      <c r="F1005" s="2645">
        <f t="shared" si="296"/>
        <v>0</v>
      </c>
      <c r="G1005" s="2645">
        <f t="shared" si="296"/>
        <v>0</v>
      </c>
      <c r="H1005" s="2645">
        <f t="shared" si="296"/>
        <v>0</v>
      </c>
      <c r="I1005" s="2645">
        <f t="shared" si="296"/>
        <v>0</v>
      </c>
      <c r="J1005" s="2645">
        <f t="shared" si="296"/>
        <v>0</v>
      </c>
      <c r="K1005" s="2645">
        <f t="shared" si="296"/>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7">$B$21*(1+$B$7)^(B999-1)</f>
        <v>0</v>
      </c>
      <c r="C1007" s="2645">
        <f t="shared" si="297"/>
        <v>0</v>
      </c>
      <c r="D1007" s="2645">
        <f t="shared" si="297"/>
        <v>0</v>
      </c>
      <c r="E1007" s="2645">
        <f t="shared" si="297"/>
        <v>0</v>
      </c>
      <c r="F1007" s="2645">
        <f t="shared" si="297"/>
        <v>0</v>
      </c>
      <c r="G1007" s="2645">
        <f t="shared" si="297"/>
        <v>0</v>
      </c>
      <c r="H1007" s="2645">
        <f t="shared" si="297"/>
        <v>0</v>
      </c>
      <c r="I1007" s="2645">
        <f t="shared" si="297"/>
        <v>0</v>
      </c>
      <c r="J1007" s="2645">
        <f t="shared" si="297"/>
        <v>0</v>
      </c>
      <c r="K1007" s="2645">
        <f t="shared" si="297"/>
        <v>0</v>
      </c>
    </row>
    <row r="1008" spans="1:19">
      <c r="A1008" s="683" t="s">
        <v>1215</v>
      </c>
      <c r="B1008" s="2645">
        <f t="shared" ref="B1008:K1008" si="298">SUM(B1000:B1007)</f>
        <v>0</v>
      </c>
      <c r="C1008" s="2645">
        <f t="shared" si="298"/>
        <v>0</v>
      </c>
      <c r="D1008" s="2645">
        <f t="shared" si="298"/>
        <v>0</v>
      </c>
      <c r="E1008" s="2645">
        <f t="shared" si="298"/>
        <v>0</v>
      </c>
      <c r="F1008" s="2645">
        <f t="shared" si="298"/>
        <v>0</v>
      </c>
      <c r="G1008" s="2645">
        <f t="shared" si="298"/>
        <v>0</v>
      </c>
      <c r="H1008" s="2645">
        <f t="shared" si="298"/>
        <v>0</v>
      </c>
      <c r="I1008" s="2645">
        <f t="shared" si="298"/>
        <v>0</v>
      </c>
      <c r="J1008" s="2645">
        <f t="shared" si="298"/>
        <v>0</v>
      </c>
      <c r="K1008" s="2645">
        <f t="shared" si="298"/>
        <v>0</v>
      </c>
    </row>
    <row r="1009" spans="1:11">
      <c r="A1009" s="683" t="str">
        <f>$A979</f>
        <v>Mortgage A</v>
      </c>
      <c r="B1009" s="2645">
        <f>'Part VII-Pro Forma'!B53</f>
        <v>-196094.52191910031</v>
      </c>
      <c r="C1009" s="2645">
        <f>'Part VII-Pro Forma'!C53</f>
        <v>-196094.52191910031</v>
      </c>
      <c r="D1009" s="2645">
        <f>'Part VII-Pro Forma'!D53</f>
        <v>-196094.52191910031</v>
      </c>
      <c r="E1009" s="2645">
        <f>'Part VII-Pro Forma'!E53</f>
        <v>-196094.52191910031</v>
      </c>
      <c r="F1009" s="2645">
        <f>'Part VII-Pro Forma'!F53</f>
        <v>-196094.52191910031</v>
      </c>
      <c r="G1009" s="2645">
        <f>'Part VII-Pro Forma'!G53</f>
        <v>-196094.52191910031</v>
      </c>
      <c r="H1009" s="2645">
        <f>'Part VII-Pro Forma'!H53</f>
        <v>-196094.52191910031</v>
      </c>
      <c r="I1009" s="2645">
        <f>'Part VII-Pro Forma'!I53</f>
        <v>-196094.52191910031</v>
      </c>
      <c r="J1009" s="2645">
        <f>'Part VII-Pro Forma'!J53</f>
        <v>-196094.52191910031</v>
      </c>
      <c r="K1009" s="2645">
        <f>'Part VII-Pro Forma'!K53</f>
        <v>-196094.52191910031</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-5000</v>
      </c>
      <c r="C1014" s="2645">
        <f>'Part VII-Pro Forma'!C58</f>
        <v>-5000</v>
      </c>
      <c r="D1014" s="2645">
        <f>'Part VII-Pro Forma'!D58</f>
        <v>-5000</v>
      </c>
      <c r="E1014" s="2645">
        <f>'Part VII-Pro Forma'!E58</f>
        <v>-5000</v>
      </c>
      <c r="F1014" s="2645">
        <f>'Part VII-Pro Forma'!F58</f>
        <v>-5000</v>
      </c>
      <c r="G1014" s="2645">
        <f>'Part VII-Pro Forma'!G58</f>
        <v>-5000</v>
      </c>
      <c r="H1014" s="2645">
        <f>'Part VII-Pro Forma'!H58</f>
        <v>-5000</v>
      </c>
      <c r="I1014" s="2645">
        <f>'Part VII-Pro Forma'!I58</f>
        <v>-5000</v>
      </c>
      <c r="J1014" s="2645">
        <f>'Part VII-Pro Forma'!J58</f>
        <v>-5000</v>
      </c>
      <c r="K1014" s="2645">
        <f>'Part VII-Pro Forma'!K58</f>
        <v>-5000</v>
      </c>
    </row>
    <row r="1015" spans="1:11">
      <c r="A1015" s="683" t="s">
        <v>4127</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-201094.52191910031</v>
      </c>
      <c r="C1016" s="2645">
        <f t="shared" ref="C1016:K1016" si="299">SUM(C1008:C1015)</f>
        <v>-201094.52191910031</v>
      </c>
      <c r="D1016" s="2645">
        <f t="shared" si="299"/>
        <v>-201094.52191910031</v>
      </c>
      <c r="E1016" s="2645">
        <f t="shared" si="299"/>
        <v>-201094.52191910031</v>
      </c>
      <c r="F1016" s="2645">
        <f t="shared" si="299"/>
        <v>-201094.52191910031</v>
      </c>
      <c r="G1016" s="2645">
        <f t="shared" si="299"/>
        <v>-201094.52191910031</v>
      </c>
      <c r="H1016" s="2645">
        <f t="shared" si="299"/>
        <v>-201094.52191910031</v>
      </c>
      <c r="I1016" s="2645">
        <f t="shared" si="299"/>
        <v>-201094.52191910031</v>
      </c>
      <c r="J1016" s="2645">
        <f t="shared" si="299"/>
        <v>-201094.52191910031</v>
      </c>
      <c r="K1016" s="2645">
        <f t="shared" si="299"/>
        <v>-201094.52191910031</v>
      </c>
    </row>
    <row r="1017" spans="1:11">
      <c r="A1017" s="683" t="str">
        <f>$A987</f>
        <v>DCR Mortgage A</v>
      </c>
      <c r="B1017" s="2646">
        <f t="shared" ref="B1017:K1017" si="300">IF(B1009=0,"",-B1008/B1009)</f>
        <v>0</v>
      </c>
      <c r="C1017" s="2646">
        <f t="shared" si="300"/>
        <v>0</v>
      </c>
      <c r="D1017" s="2646">
        <f t="shared" si="300"/>
        <v>0</v>
      </c>
      <c r="E1017" s="2646">
        <f t="shared" si="300"/>
        <v>0</v>
      </c>
      <c r="F1017" s="2646">
        <f t="shared" si="300"/>
        <v>0</v>
      </c>
      <c r="G1017" s="2646">
        <f t="shared" si="300"/>
        <v>0</v>
      </c>
      <c r="H1017" s="2646">
        <f t="shared" si="300"/>
        <v>0</v>
      </c>
      <c r="I1017" s="2646">
        <f t="shared" si="300"/>
        <v>0</v>
      </c>
      <c r="J1017" s="2646">
        <f t="shared" si="300"/>
        <v>0</v>
      </c>
      <c r="K1017" s="2646">
        <f t="shared" si="300"/>
        <v>0</v>
      </c>
    </row>
    <row r="1018" spans="1:11">
      <c r="A1018" s="683" t="str">
        <f>$A988</f>
        <v>DCR Mortgage B</v>
      </c>
      <c r="B1018" s="2646" t="str">
        <f t="shared" ref="B1018:K1018" si="301">IF(B1010=0,"",-(B1008+B1009)/B1010)</f>
        <v/>
      </c>
      <c r="C1018" s="2646" t="str">
        <f t="shared" si="301"/>
        <v/>
      </c>
      <c r="D1018" s="2646" t="str">
        <f t="shared" si="301"/>
        <v/>
      </c>
      <c r="E1018" s="2646" t="str">
        <f t="shared" si="301"/>
        <v/>
      </c>
      <c r="F1018" s="2646" t="str">
        <f t="shared" si="301"/>
        <v/>
      </c>
      <c r="G1018" s="2646" t="str">
        <f t="shared" si="301"/>
        <v/>
      </c>
      <c r="H1018" s="2646" t="str">
        <f t="shared" si="301"/>
        <v/>
      </c>
      <c r="I1018" s="2646" t="str">
        <f t="shared" si="301"/>
        <v/>
      </c>
      <c r="J1018" s="2646" t="str">
        <f t="shared" si="301"/>
        <v/>
      </c>
      <c r="K1018" s="2646" t="str">
        <f t="shared" si="301"/>
        <v/>
      </c>
    </row>
    <row r="1019" spans="1:11">
      <c r="A1019" s="683" t="str">
        <f>$A989</f>
        <v>DCR Mortgage C</v>
      </c>
      <c r="B1019" s="2646" t="str">
        <f t="shared" ref="B1019:K1019" si="302">IF(B1011=0,"",-(B1008+B1009+B1010)/B1011)</f>
        <v/>
      </c>
      <c r="C1019" s="2646" t="str">
        <f t="shared" si="302"/>
        <v/>
      </c>
      <c r="D1019" s="2646" t="str">
        <f t="shared" si="302"/>
        <v/>
      </c>
      <c r="E1019" s="2646" t="str">
        <f t="shared" si="302"/>
        <v/>
      </c>
      <c r="F1019" s="2646" t="str">
        <f t="shared" si="302"/>
        <v/>
      </c>
      <c r="G1019" s="2646" t="str">
        <f t="shared" si="302"/>
        <v/>
      </c>
      <c r="H1019" s="2646" t="str">
        <f t="shared" si="302"/>
        <v/>
      </c>
      <c r="I1019" s="2646" t="str">
        <f t="shared" si="302"/>
        <v/>
      </c>
      <c r="J1019" s="2646" t="str">
        <f t="shared" si="302"/>
        <v/>
      </c>
      <c r="K1019" s="2646" t="str">
        <f t="shared" si="302"/>
        <v/>
      </c>
    </row>
    <row r="1020" spans="1:11">
      <c r="A1020" s="683" t="str">
        <f>$A990</f>
        <v>DCR Other Source</v>
      </c>
      <c r="B1020" s="2646" t="str">
        <f t="shared" ref="B1020:K1020" si="303">IF(B1012=0,"",-(B1008+B1009+B1010+B1011)/B1012)</f>
        <v/>
      </c>
      <c r="C1020" s="2646" t="str">
        <f t="shared" si="303"/>
        <v/>
      </c>
      <c r="D1020" s="2646" t="str">
        <f t="shared" si="303"/>
        <v/>
      </c>
      <c r="E1020" s="2646" t="str">
        <f t="shared" si="303"/>
        <v/>
      </c>
      <c r="F1020" s="2646" t="str">
        <f t="shared" si="303"/>
        <v/>
      </c>
      <c r="G1020" s="2646" t="str">
        <f t="shared" si="303"/>
        <v/>
      </c>
      <c r="H1020" s="2646" t="str">
        <f t="shared" si="303"/>
        <v/>
      </c>
      <c r="I1020" s="2646" t="str">
        <f t="shared" si="303"/>
        <v/>
      </c>
      <c r="J1020" s="2646" t="str">
        <f t="shared" si="303"/>
        <v/>
      </c>
      <c r="K1020" s="2646" t="str">
        <f t="shared" si="303"/>
        <v/>
      </c>
    </row>
    <row r="1021" spans="1:11">
      <c r="A1021" s="683" t="s">
        <v>3738</v>
      </c>
      <c r="B1021" s="2646">
        <f t="shared" ref="B1021:K1021" si="304">IF(AND(B1009=0,B1010=0,B1011=0,B1012=0),"",-B1008/(B1009+B1010+B1011+B1012))</f>
        <v>0</v>
      </c>
      <c r="C1021" s="2646">
        <f t="shared" si="304"/>
        <v>0</v>
      </c>
      <c r="D1021" s="2646">
        <f t="shared" si="304"/>
        <v>0</v>
      </c>
      <c r="E1021" s="2646">
        <f t="shared" si="304"/>
        <v>0</v>
      </c>
      <c r="F1021" s="2646">
        <f t="shared" si="304"/>
        <v>0</v>
      </c>
      <c r="G1021" s="2646">
        <f t="shared" si="304"/>
        <v>0</v>
      </c>
      <c r="H1021" s="2646">
        <f t="shared" si="304"/>
        <v>0</v>
      </c>
      <c r="I1021" s="2646">
        <f t="shared" si="304"/>
        <v>0</v>
      </c>
      <c r="J1021" s="2646">
        <f t="shared" si="304"/>
        <v>0</v>
      </c>
      <c r="K1021" s="2646">
        <f t="shared" si="304"/>
        <v>0</v>
      </c>
    </row>
    <row r="1022" spans="1:11">
      <c r="A1022" s="683" t="s">
        <v>778</v>
      </c>
      <c r="B1022" s="2647" t="e">
        <f t="shared" ref="B1022:K1022" si="305">IF(OR(B1006="Choose mgt fee",B1006="Choose One!"),"",(B1000+B1001+B1002+B1003+B1004) / -(B1005+B1006+B1007))</f>
        <v>#DIV/0!</v>
      </c>
      <c r="C1022" s="2647" t="e">
        <f t="shared" si="305"/>
        <v>#DIV/0!</v>
      </c>
      <c r="D1022" s="2647" t="e">
        <f t="shared" si="305"/>
        <v>#DIV/0!</v>
      </c>
      <c r="E1022" s="2647" t="e">
        <f t="shared" si="305"/>
        <v>#DIV/0!</v>
      </c>
      <c r="F1022" s="2647" t="e">
        <f t="shared" si="305"/>
        <v>#DIV/0!</v>
      </c>
      <c r="G1022" s="2647" t="e">
        <f t="shared" si="305"/>
        <v>#DIV/0!</v>
      </c>
      <c r="H1022" s="2647" t="e">
        <f t="shared" si="305"/>
        <v>#DIV/0!</v>
      </c>
      <c r="I1022" s="2647" t="e">
        <f t="shared" si="305"/>
        <v>#DIV/0!</v>
      </c>
      <c r="J1022" s="2647" t="e">
        <f t="shared" si="305"/>
        <v>#DIV/0!</v>
      </c>
      <c r="K1022" s="2647" t="e">
        <f t="shared" si="305"/>
        <v>#DIV/0!</v>
      </c>
    </row>
    <row r="1023" spans="1:11">
      <c r="A1023" s="683" t="s">
        <v>2634</v>
      </c>
      <c r="B1023" s="2645">
        <f>'Part VII-Pro Forma'!B67</f>
        <v>2514243.2231770563</v>
      </c>
      <c r="C1023" s="2645">
        <f>'Part VII-Pro Forma'!C67</f>
        <v>2465176.2992227711</v>
      </c>
      <c r="D1023" s="2645">
        <f>'Part VII-Pro Forma'!D67</f>
        <v>2413134.8452254874</v>
      </c>
      <c r="E1023" s="2645">
        <f>'Part VII-Pro Forma'!E67</f>
        <v>2357938.5395293189</v>
      </c>
      <c r="F1023" s="2645">
        <f>'Part VII-Pro Forma'!F67</f>
        <v>2299396.1290374077</v>
      </c>
      <c r="G1023" s="2645">
        <f>'Part VII-Pro Forma'!G67</f>
        <v>2237304.766527229</v>
      </c>
      <c r="H1023" s="2645">
        <f>'Part VII-Pro Forma'!H67</f>
        <v>2171449.3077926915</v>
      </c>
      <c r="I1023" s="2645">
        <f>'Part VII-Pro Forma'!I67</f>
        <v>2101601.5661776573</v>
      </c>
      <c r="J1023" s="2645">
        <f>'Part VII-Pro Forma'!J67</f>
        <v>2027519.5219178703</v>
      </c>
      <c r="K1023" s="2645">
        <f>'Part VII-Pro Forma'!K67</f>
        <v>1948946.4835516913</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4128</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6">B1029+1</f>
        <v>22</v>
      </c>
      <c r="D1029" s="2648">
        <f t="shared" si="306"/>
        <v>23</v>
      </c>
      <c r="E1029" s="2648">
        <f t="shared" si="306"/>
        <v>24</v>
      </c>
      <c r="F1029" s="2648">
        <f t="shared" si="306"/>
        <v>25</v>
      </c>
      <c r="G1029" s="2648">
        <f t="shared" si="306"/>
        <v>26</v>
      </c>
      <c r="H1029" s="2648">
        <f t="shared" si="306"/>
        <v>27</v>
      </c>
      <c r="I1029" s="2648">
        <f t="shared" si="306"/>
        <v>28</v>
      </c>
      <c r="J1029" s="2648">
        <f t="shared" si="306"/>
        <v>29</v>
      </c>
      <c r="K1029" s="2648">
        <f t="shared" si="306"/>
        <v>30</v>
      </c>
    </row>
    <row r="1030" spans="1:11">
      <c r="A1030" s="683" t="s">
        <v>2420</v>
      </c>
      <c r="B1030" s="2645">
        <f t="shared" ref="B1030:K1030" si="307">$B$14*(1+$B$5)^(B1029-1)</f>
        <v>0</v>
      </c>
      <c r="C1030" s="2645">
        <f t="shared" si="307"/>
        <v>0</v>
      </c>
      <c r="D1030" s="2645">
        <f t="shared" si="307"/>
        <v>0</v>
      </c>
      <c r="E1030" s="2645">
        <f t="shared" si="307"/>
        <v>0</v>
      </c>
      <c r="F1030" s="2645">
        <f t="shared" si="307"/>
        <v>0</v>
      </c>
      <c r="G1030" s="2645">
        <f t="shared" si="307"/>
        <v>0</v>
      </c>
      <c r="H1030" s="2645">
        <f t="shared" si="307"/>
        <v>0</v>
      </c>
      <c r="I1030" s="2645">
        <f t="shared" si="307"/>
        <v>0</v>
      </c>
      <c r="J1030" s="2645">
        <f t="shared" si="307"/>
        <v>0</v>
      </c>
      <c r="K1030" s="2645">
        <f t="shared" si="307"/>
        <v>0</v>
      </c>
    </row>
    <row r="1031" spans="1:11">
      <c r="A1031" s="683" t="s">
        <v>1026</v>
      </c>
      <c r="B1031" s="2645">
        <f t="shared" ref="B1031:K1031" si="308">$B$15*(1+$B$5)^(B1029-1)</f>
        <v>0</v>
      </c>
      <c r="C1031" s="2645">
        <f t="shared" si="308"/>
        <v>0</v>
      </c>
      <c r="D1031" s="2645">
        <f t="shared" si="308"/>
        <v>0</v>
      </c>
      <c r="E1031" s="2645">
        <f t="shared" si="308"/>
        <v>0</v>
      </c>
      <c r="F1031" s="2645">
        <f t="shared" si="308"/>
        <v>0</v>
      </c>
      <c r="G1031" s="2645">
        <f t="shared" si="308"/>
        <v>0</v>
      </c>
      <c r="H1031" s="2645">
        <f t="shared" si="308"/>
        <v>0</v>
      </c>
      <c r="I1031" s="2645">
        <f t="shared" si="308"/>
        <v>0</v>
      </c>
      <c r="J1031" s="2645">
        <f t="shared" si="308"/>
        <v>0</v>
      </c>
      <c r="K1031" s="2645">
        <f t="shared" si="308"/>
        <v>0</v>
      </c>
    </row>
    <row r="1032" spans="1:11">
      <c r="A1032" s="683" t="s">
        <v>2421</v>
      </c>
      <c r="B1032" s="2645">
        <f t="shared" ref="B1032:K1032" si="309">-(B1030+B1031)*$B$8</f>
        <v>0</v>
      </c>
      <c r="C1032" s="2645">
        <f t="shared" si="309"/>
        <v>0</v>
      </c>
      <c r="D1032" s="2645">
        <f t="shared" si="309"/>
        <v>0</v>
      </c>
      <c r="E1032" s="2645">
        <f t="shared" si="309"/>
        <v>0</v>
      </c>
      <c r="F1032" s="2645">
        <f t="shared" si="309"/>
        <v>0</v>
      </c>
      <c r="G1032" s="2645">
        <f t="shared" si="309"/>
        <v>0</v>
      </c>
      <c r="H1032" s="2645">
        <f t="shared" si="309"/>
        <v>0</v>
      </c>
      <c r="I1032" s="2645">
        <f t="shared" si="309"/>
        <v>0</v>
      </c>
      <c r="J1032" s="2645">
        <f t="shared" si="309"/>
        <v>0</v>
      </c>
      <c r="K1032" s="2645">
        <f t="shared" si="309"/>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0">$B$19*(1+$B$6)^(B1029-1)</f>
        <v>0</v>
      </c>
      <c r="C1035" s="2645">
        <f t="shared" si="310"/>
        <v>0</v>
      </c>
      <c r="D1035" s="2645">
        <f t="shared" si="310"/>
        <v>0</v>
      </c>
      <c r="E1035" s="2645">
        <f t="shared" si="310"/>
        <v>0</v>
      </c>
      <c r="F1035" s="2645">
        <f t="shared" si="310"/>
        <v>0</v>
      </c>
      <c r="G1035" s="2645">
        <f t="shared" si="310"/>
        <v>0</v>
      </c>
      <c r="H1035" s="2645">
        <f t="shared" si="310"/>
        <v>0</v>
      </c>
      <c r="I1035" s="2645">
        <f t="shared" si="310"/>
        <v>0</v>
      </c>
      <c r="J1035" s="2645">
        <f t="shared" si="310"/>
        <v>0</v>
      </c>
      <c r="K1035" s="2645">
        <f t="shared" si="310"/>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1">$B$21*(1+$B$7)^(B1029-1)</f>
        <v>0</v>
      </c>
      <c r="C1037" s="2645">
        <f t="shared" si="311"/>
        <v>0</v>
      </c>
      <c r="D1037" s="2645">
        <f t="shared" si="311"/>
        <v>0</v>
      </c>
      <c r="E1037" s="2645">
        <f t="shared" si="311"/>
        <v>0</v>
      </c>
      <c r="F1037" s="2645">
        <f t="shared" si="311"/>
        <v>0</v>
      </c>
      <c r="G1037" s="2645">
        <f t="shared" si="311"/>
        <v>0</v>
      </c>
      <c r="H1037" s="2645">
        <f t="shared" si="311"/>
        <v>0</v>
      </c>
      <c r="I1037" s="2645">
        <f t="shared" si="311"/>
        <v>0</v>
      </c>
      <c r="J1037" s="2645">
        <f t="shared" si="311"/>
        <v>0</v>
      </c>
      <c r="K1037" s="2645">
        <f t="shared" si="311"/>
        <v>0</v>
      </c>
    </row>
    <row r="1038" spans="1:11">
      <c r="A1038" s="683" t="s">
        <v>1215</v>
      </c>
      <c r="B1038" s="2645">
        <f t="shared" ref="B1038:K1038" si="312">SUM(B1030:B1037)</f>
        <v>0</v>
      </c>
      <c r="C1038" s="2645">
        <f t="shared" si="312"/>
        <v>0</v>
      </c>
      <c r="D1038" s="2645">
        <f t="shared" si="312"/>
        <v>0</v>
      </c>
      <c r="E1038" s="2645">
        <f t="shared" si="312"/>
        <v>0</v>
      </c>
      <c r="F1038" s="2645">
        <f t="shared" si="312"/>
        <v>0</v>
      </c>
      <c r="G1038" s="2645">
        <f t="shared" si="312"/>
        <v>0</v>
      </c>
      <c r="H1038" s="2645">
        <f t="shared" si="312"/>
        <v>0</v>
      </c>
      <c r="I1038" s="2645">
        <f t="shared" si="312"/>
        <v>0</v>
      </c>
      <c r="J1038" s="2645">
        <f t="shared" si="312"/>
        <v>0</v>
      </c>
      <c r="K1038" s="2645">
        <f t="shared" si="312"/>
        <v>0</v>
      </c>
    </row>
    <row r="1039" spans="1:11">
      <c r="A1039" s="683" t="str">
        <f>$A1009</f>
        <v>Mortgage A</v>
      </c>
      <c r="B1039" s="2645">
        <f>'Part VII-Pro Forma'!B83</f>
        <v>-196094.52191910031</v>
      </c>
      <c r="C1039" s="2645">
        <f>'Part VII-Pro Forma'!C83</f>
        <v>-196094.52191910031</v>
      </c>
      <c r="D1039" s="2645">
        <f>'Part VII-Pro Forma'!D83</f>
        <v>-196094.52191910031</v>
      </c>
      <c r="E1039" s="2645">
        <f>'Part VII-Pro Forma'!E83</f>
        <v>-196094.52191910031</v>
      </c>
      <c r="F1039" s="2645">
        <f>'Part VII-Pro Forma'!F83</f>
        <v>-196094.52191910031</v>
      </c>
      <c r="G1039" s="2645">
        <f>'Part VII-Pro Forma'!G83</f>
        <v>-196094.52191910031</v>
      </c>
      <c r="H1039" s="2645">
        <f>'Part VII-Pro Forma'!H83</f>
        <v>-196094.52191910031</v>
      </c>
      <c r="I1039" s="2645">
        <f>'Part VII-Pro Forma'!I83</f>
        <v>-196094.52191910031</v>
      </c>
      <c r="J1039" s="2645">
        <f>'Part VII-Pro Forma'!J83</f>
        <v>-196094.52191910031</v>
      </c>
      <c r="K1039" s="2645">
        <f>'Part VII-Pro Forma'!K83</f>
        <v>-196094.52191910031</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-5000</v>
      </c>
      <c r="C1044" s="2645">
        <f>'Part VII-Pro Forma'!C88</f>
        <v>-5000</v>
      </c>
      <c r="D1044" s="2645">
        <f>'Part VII-Pro Forma'!D88</f>
        <v>-5000</v>
      </c>
      <c r="E1044" s="2645">
        <f>'Part VII-Pro Forma'!E88</f>
        <v>-5000</v>
      </c>
      <c r="F1044" s="2645">
        <f>'Part VII-Pro Forma'!F88</f>
        <v>-5000</v>
      </c>
      <c r="G1044" s="2645">
        <f>'Part VII-Pro Forma'!G88</f>
        <v>-5000</v>
      </c>
      <c r="H1044" s="2645">
        <f>'Part VII-Pro Forma'!H88</f>
        <v>-5000</v>
      </c>
      <c r="I1044" s="2645">
        <f>'Part VII-Pro Forma'!I88</f>
        <v>-5000</v>
      </c>
      <c r="J1044" s="2645">
        <f>'Part VII-Pro Forma'!J88</f>
        <v>-5000</v>
      </c>
      <c r="K1044" s="2645">
        <f>'Part VII-Pro Forma'!K88</f>
        <v>-5000</v>
      </c>
    </row>
    <row r="1045" spans="1:11">
      <c r="A1045" s="683" t="s">
        <v>1175</v>
      </c>
      <c r="B1045" s="2645">
        <f t="shared" ref="B1045:K1045" si="313">SUM(B1038:B1044)</f>
        <v>-201094.52191910031</v>
      </c>
      <c r="C1045" s="2645">
        <f t="shared" si="313"/>
        <v>-201094.52191910031</v>
      </c>
      <c r="D1045" s="2645">
        <f t="shared" si="313"/>
        <v>-201094.52191910031</v>
      </c>
      <c r="E1045" s="2645">
        <f t="shared" si="313"/>
        <v>-201094.52191910031</v>
      </c>
      <c r="F1045" s="2645">
        <f t="shared" si="313"/>
        <v>-201094.52191910031</v>
      </c>
      <c r="G1045" s="2645">
        <f t="shared" si="313"/>
        <v>-201094.52191910031</v>
      </c>
      <c r="H1045" s="2645">
        <f t="shared" si="313"/>
        <v>-201094.52191910031</v>
      </c>
      <c r="I1045" s="2645">
        <f t="shared" si="313"/>
        <v>-201094.52191910031</v>
      </c>
      <c r="J1045" s="2645">
        <f t="shared" si="313"/>
        <v>-201094.52191910031</v>
      </c>
      <c r="K1045" s="2645">
        <f t="shared" si="313"/>
        <v>-201094.52191910031</v>
      </c>
    </row>
    <row r="1046" spans="1:11">
      <c r="A1046" s="683" t="str">
        <f>$A1017</f>
        <v>DCR Mortgage A</v>
      </c>
      <c r="B1046" s="2646">
        <f>IF(B1039=0,"",-B1038/B1039)</f>
        <v>0</v>
      </c>
      <c r="C1046" s="2646">
        <f t="shared" ref="C1046:K1046" si="314">IF(C1039=0,"",-C1038/C1039)</f>
        <v>0</v>
      </c>
      <c r="D1046" s="2646">
        <f t="shared" si="314"/>
        <v>0</v>
      </c>
      <c r="E1046" s="2646">
        <f t="shared" si="314"/>
        <v>0</v>
      </c>
      <c r="F1046" s="2646">
        <f t="shared" si="314"/>
        <v>0</v>
      </c>
      <c r="G1046" s="2646">
        <f t="shared" si="314"/>
        <v>0</v>
      </c>
      <c r="H1046" s="2646">
        <f t="shared" si="314"/>
        <v>0</v>
      </c>
      <c r="I1046" s="2646">
        <f t="shared" si="314"/>
        <v>0</v>
      </c>
      <c r="J1046" s="2646">
        <f t="shared" si="314"/>
        <v>0</v>
      </c>
      <c r="K1046" s="2646">
        <f t="shared" si="314"/>
        <v>0</v>
      </c>
    </row>
    <row r="1047" spans="1:11">
      <c r="A1047" s="683" t="str">
        <f>$A1018</f>
        <v>DCR Mortgage B</v>
      </c>
      <c r="B1047" s="2646" t="str">
        <f>IF(B1040=0,"",-(B1038+B1039)/B1040)</f>
        <v/>
      </c>
      <c r="C1047" s="2646" t="str">
        <f t="shared" ref="C1047:K1047" si="315">IF(C1040=0,"",-(C1038+C1039)/C1040)</f>
        <v/>
      </c>
      <c r="D1047" s="2646" t="str">
        <f t="shared" si="315"/>
        <v/>
      </c>
      <c r="E1047" s="2646" t="str">
        <f t="shared" si="315"/>
        <v/>
      </c>
      <c r="F1047" s="2646" t="str">
        <f t="shared" si="315"/>
        <v/>
      </c>
      <c r="G1047" s="2646" t="str">
        <f t="shared" si="315"/>
        <v/>
      </c>
      <c r="H1047" s="2646" t="str">
        <f t="shared" si="315"/>
        <v/>
      </c>
      <c r="I1047" s="2646" t="str">
        <f t="shared" si="315"/>
        <v/>
      </c>
      <c r="J1047" s="2646" t="str">
        <f t="shared" si="315"/>
        <v/>
      </c>
      <c r="K1047" s="2646" t="str">
        <f t="shared" si="315"/>
        <v/>
      </c>
    </row>
    <row r="1048" spans="1:11">
      <c r="A1048" s="683" t="str">
        <f>$A1019</f>
        <v>DCR Mortgage C</v>
      </c>
      <c r="B1048" s="2646" t="str">
        <f>IF(B1041=0,"",-(B1038+B1039+B1040)/B1041)</f>
        <v/>
      </c>
      <c r="C1048" s="2646" t="str">
        <f t="shared" ref="C1048:K1048" si="316">IF(C1041=0,"",-(C1038+C1039+C1040)/C1041)</f>
        <v/>
      </c>
      <c r="D1048" s="2646" t="str">
        <f t="shared" si="316"/>
        <v/>
      </c>
      <c r="E1048" s="2646" t="str">
        <f t="shared" si="316"/>
        <v/>
      </c>
      <c r="F1048" s="2646" t="str">
        <f t="shared" si="316"/>
        <v/>
      </c>
      <c r="G1048" s="2646" t="str">
        <f t="shared" si="316"/>
        <v/>
      </c>
      <c r="H1048" s="2646" t="str">
        <f t="shared" si="316"/>
        <v/>
      </c>
      <c r="I1048" s="2646" t="str">
        <f t="shared" si="316"/>
        <v/>
      </c>
      <c r="J1048" s="2646" t="str">
        <f t="shared" si="316"/>
        <v/>
      </c>
      <c r="K1048" s="2646" t="str">
        <f t="shared" si="316"/>
        <v/>
      </c>
    </row>
    <row r="1049" spans="1:11">
      <c r="A1049" s="683" t="str">
        <f>$A1020</f>
        <v>DCR Other Source</v>
      </c>
      <c r="B1049" s="2646" t="str">
        <f>IF(B1042=0,"",-(B1038+B1039+B1040+B1041)/B1042)</f>
        <v/>
      </c>
      <c r="C1049" s="2646" t="str">
        <f t="shared" ref="C1049:K1049" si="317">IF(C1042=0,"",-(C1038+C1039+C1040+C1041)/C1042)</f>
        <v/>
      </c>
      <c r="D1049" s="2646" t="str">
        <f t="shared" si="317"/>
        <v/>
      </c>
      <c r="E1049" s="2646" t="str">
        <f t="shared" si="317"/>
        <v/>
      </c>
      <c r="F1049" s="2646" t="str">
        <f t="shared" si="317"/>
        <v/>
      </c>
      <c r="G1049" s="2646" t="str">
        <f t="shared" si="317"/>
        <v/>
      </c>
      <c r="H1049" s="2646" t="str">
        <f t="shared" si="317"/>
        <v/>
      </c>
      <c r="I1049" s="2646" t="str">
        <f t="shared" si="317"/>
        <v/>
      </c>
      <c r="J1049" s="2646" t="str">
        <f t="shared" si="317"/>
        <v/>
      </c>
      <c r="K1049" s="2646" t="str">
        <f t="shared" si="317"/>
        <v/>
      </c>
    </row>
    <row r="1050" spans="1:11">
      <c r="A1050" s="683" t="s">
        <v>3738</v>
      </c>
      <c r="B1050" s="2646">
        <f>IF(AND(B1039=0,B1040=0,B1041=0,B1042=0),"",-B1038/(B1039+B1040+B1041+B1042))</f>
        <v>0</v>
      </c>
      <c r="C1050" s="2646">
        <f t="shared" ref="C1050:K1050" si="318">IF(AND(C1039=0,C1040=0,C1041=0,C1042=0),"",-C1038/(C1039+C1040+C1041+C1042))</f>
        <v>0</v>
      </c>
      <c r="D1050" s="2646">
        <f t="shared" si="318"/>
        <v>0</v>
      </c>
      <c r="E1050" s="2646">
        <f t="shared" si="318"/>
        <v>0</v>
      </c>
      <c r="F1050" s="2646">
        <f t="shared" si="318"/>
        <v>0</v>
      </c>
      <c r="G1050" s="2646">
        <f t="shared" si="318"/>
        <v>0</v>
      </c>
      <c r="H1050" s="2646">
        <f t="shared" si="318"/>
        <v>0</v>
      </c>
      <c r="I1050" s="2646">
        <f t="shared" si="318"/>
        <v>0</v>
      </c>
      <c r="J1050" s="2646">
        <f t="shared" si="318"/>
        <v>0</v>
      </c>
      <c r="K1050" s="2646">
        <f t="shared" si="318"/>
        <v>0</v>
      </c>
    </row>
    <row r="1051" spans="1:11">
      <c r="A1051" s="683" t="s">
        <v>778</v>
      </c>
      <c r="B1051" s="2647" t="e">
        <f>IF(OR(B1036="Choose mgt fee",B1036="Choose One!"),"",(B1030+B1031+B1032+B1033+B1034) / -(B1035+B1036+B1037))</f>
        <v>#DIV/0!</v>
      </c>
      <c r="C1051" s="2647" t="e">
        <f t="shared" ref="C1051:K1051" si="319">IF(OR(C1036="Choose mgt fee",C1036="Choose One!"),"",(C1030+C1031+C1032+C1033+C1034) / -(C1035+C1036+C1037))</f>
        <v>#DIV/0!</v>
      </c>
      <c r="D1051" s="2647" t="e">
        <f t="shared" si="319"/>
        <v>#DIV/0!</v>
      </c>
      <c r="E1051" s="2647" t="e">
        <f t="shared" si="319"/>
        <v>#DIV/0!</v>
      </c>
      <c r="F1051" s="2647" t="e">
        <f t="shared" si="319"/>
        <v>#DIV/0!</v>
      </c>
      <c r="G1051" s="2647" t="e">
        <f t="shared" si="319"/>
        <v>#DIV/0!</v>
      </c>
      <c r="H1051" s="2647" t="e">
        <f t="shared" si="319"/>
        <v>#DIV/0!</v>
      </c>
      <c r="I1051" s="2647" t="e">
        <f t="shared" si="319"/>
        <v>#DIV/0!</v>
      </c>
      <c r="J1051" s="2647" t="e">
        <f t="shared" si="319"/>
        <v>#DIV/0!</v>
      </c>
      <c r="K1051" s="2647" t="e">
        <f t="shared" si="319"/>
        <v>#DIV/0!</v>
      </c>
    </row>
    <row r="1052" spans="1:11">
      <c r="A1052" s="683" t="s">
        <v>2634</v>
      </c>
      <c r="B1052" s="2645">
        <f>'Part VII-Pro Forma'!B96</f>
        <v>1865610.1984939608</v>
      </c>
      <c r="C1052" s="2645">
        <f>'Part VII-Pro Forma'!C96</f>
        <v>1777221.9096911605</v>
      </c>
      <c r="D1052" s="2645">
        <f>'Part VII-Pro Forma'!D96</f>
        <v>1683475.3550892223</v>
      </c>
      <c r="E1052" s="2645">
        <f>'Part VII-Pro Forma'!E96</f>
        <v>1584045.7064471755</v>
      </c>
      <c r="F1052" s="2645">
        <f>'Part VII-Pro Forma'!F96</f>
        <v>1478588.4438196649</v>
      </c>
      <c r="G1052" s="2645">
        <f>'Part VII-Pro Forma'!G96</f>
        <v>1366738.1618084619</v>
      </c>
      <c r="H1052" s="2645">
        <f>'Part VII-Pro Forma'!H96</f>
        <v>1248107.3034466782</v>
      </c>
      <c r="I1052" s="2645">
        <f>'Part VII-Pro Forma'!I96</f>
        <v>1122284.817328637</v>
      </c>
      <c r="J1052" s="2645">
        <f>'Part VII-Pro Forma'!J96</f>
        <v>988834.73333240882</v>
      </c>
      <c r="K1052" s="2645">
        <f>'Part VII-Pro Forma'!K96</f>
        <v>847294.65199994505</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-196094.52191910031</v>
      </c>
      <c r="C1067" s="2645">
        <f>'Part VII-Pro Forma'!C111</f>
        <v>-196094.52191910031</v>
      </c>
      <c r="D1067" s="2645">
        <f>'Part VII-Pro Forma'!D111</f>
        <v>-196094.52191910031</v>
      </c>
      <c r="E1067" s="2645">
        <f>'Part VII-Pro Forma'!E111</f>
        <v>-196094.52191910031</v>
      </c>
      <c r="F1067" s="2645">
        <f>'Part VII-Pro Forma'!F111</f>
        <v>-196094.52191910031</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-5000</v>
      </c>
      <c r="C1072" s="2645">
        <f>'Part VII-Pro Forma'!C116</f>
        <v>-5000</v>
      </c>
      <c r="D1072" s="2645">
        <f>'Part VII-Pro Forma'!D116</f>
        <v>-5000</v>
      </c>
      <c r="E1072" s="2645">
        <f>'Part VII-Pro Forma'!E116</f>
        <v>-5000</v>
      </c>
      <c r="F1072" s="2645">
        <f>'Part VII-Pro Forma'!F116</f>
        <v>-5000</v>
      </c>
      <c r="G1072" s="2645"/>
      <c r="H1072" s="2645"/>
      <c r="I1072" s="2645"/>
      <c r="J1072" s="2645"/>
      <c r="K1072" s="2645"/>
    </row>
    <row r="1073" spans="1:11">
      <c r="A1073" s="683" t="s">
        <v>1175</v>
      </c>
      <c r="B1073" s="2645">
        <f>SUM(B1066:B1072)</f>
        <v>-201094.52191910031</v>
      </c>
      <c r="C1073" s="2645">
        <f>SUM(C1066:C1072)</f>
        <v>-201094.52191910031</v>
      </c>
      <c r="D1073" s="2645">
        <f>SUM(D1066:D1072)</f>
        <v>-201094.52191910031</v>
      </c>
      <c r="E1073" s="2645">
        <f>SUM(E1066:E1072)</f>
        <v>-201094.52191910031</v>
      </c>
      <c r="F1073" s="2645">
        <f>SUM(F1066:F1072)</f>
        <v>-201094.52191910031</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3738</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697174.14234056789</v>
      </c>
      <c r="C1080" s="2645">
        <f>'Part VII-Pro Forma'!C124</f>
        <v>537953.04250626802</v>
      </c>
      <c r="D1080" s="2645">
        <f>'Part VII-Pro Forma'!D124</f>
        <v>369079.65745071339</v>
      </c>
      <c r="E1080" s="2645">
        <f>'Part VII-Pro Forma'!E124</f>
        <v>189968.8473269277</v>
      </c>
      <c r="F1080" s="2645">
        <f>'Part VII-Pro Forma'!F124</f>
        <v>7.8580342233181E-9</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There are no deviations from debt service payments.</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2018-037 Myrtle Terraces Phase 2,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4776</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3778</v>
      </c>
      <c r="C1125" s="2625"/>
      <c r="D1125" s="2625"/>
      <c r="E1125" s="2625"/>
      <c r="F1125" s="2625"/>
      <c r="G1125" s="2659"/>
      <c r="H1125" s="2659"/>
      <c r="I1125" s="2659"/>
      <c r="J1125" s="2659"/>
      <c r="K1125" s="2561"/>
      <c r="L1125" s="2561"/>
      <c r="M1125" s="2561"/>
      <c r="N1125" s="2561"/>
      <c r="O1125" s="2561"/>
      <c r="P1125" s="2561"/>
    </row>
    <row r="1126" spans="1:17" ht="236.25">
      <c r="A1126" s="2661" t="str">
        <f>'Part VIII-Threshold Criteria'!A32</f>
        <v>Applicant is a noted Qualified Developer/Owner of affordable housing.  As such, we have underwritten the proposed development for feasibility, viability and conformance with the Qualified Application Plan.</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4777</v>
      </c>
      <c r="B1131" s="2666"/>
      <c r="C1131" s="2666"/>
      <c r="D1131" s="2666"/>
      <c r="E1131" s="2666"/>
      <c r="F1131" s="2666"/>
      <c r="G1131" s="2473" t="s">
        <v>2733</v>
      </c>
      <c r="H1131" s="2473"/>
      <c r="I1131" s="2658"/>
      <c r="J1131" s="2354"/>
      <c r="K1131" s="2658" t="s">
        <v>3659</v>
      </c>
      <c r="L1131" s="2658"/>
      <c r="M1131" s="2658"/>
      <c r="N1131" s="2658"/>
    </row>
    <row r="1132" spans="1:17" ht="13.5">
      <c r="A1132" s="2666"/>
      <c r="B1132" s="2666"/>
      <c r="C1132" s="2666"/>
      <c r="D1132" s="2666"/>
      <c r="E1132" s="2666"/>
      <c r="F1132" s="2666"/>
      <c r="G1132" s="2473" t="s">
        <v>348</v>
      </c>
      <c r="H1132" s="2473"/>
      <c r="I1132" s="2658"/>
      <c r="J1132" s="2354"/>
      <c r="K1132" s="478" t="s">
        <v>3660</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3920</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Atlanta</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3656</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13541444</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4132</v>
      </c>
      <c r="Q1142" s="2517"/>
    </row>
    <row r="1143" spans="1:17" ht="12.75" customHeight="1">
      <c r="A1143" s="2670"/>
      <c r="B1143" s="2670"/>
      <c r="C1143" s="2670"/>
      <c r="D1143" s="2671" t="s">
        <v>2456</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3654</v>
      </c>
      <c r="Q1146" s="478"/>
    </row>
    <row r="1147" spans="1:17">
      <c r="C1147" s="2354"/>
      <c r="D1147" s="2677" t="s">
        <v>3389</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3655</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3389</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46</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46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13542364</v>
      </c>
      <c r="Q1157" s="2691">
        <f>'Part VIII-Threshold Criteria'!Q63</f>
        <v>0</v>
      </c>
    </row>
    <row r="1158" spans="1:17" ht="12.75" customHeight="1">
      <c r="C1158" s="2354"/>
      <c r="D1158" s="2671" t="s">
        <v>2457</v>
      </c>
      <c r="E1158" s="2659">
        <v>2</v>
      </c>
      <c r="F1158" s="2672">
        <f>'Part VI-Revenues &amp; Expenses'!$L$110</f>
        <v>30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30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4545</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76</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76</v>
      </c>
      <c r="G1163" s="2420"/>
      <c r="H1163" s="2696">
        <f>'Part VIII-Threshold Criteria'!H69</f>
        <v>13542364</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3778</v>
      </c>
      <c r="D1164" s="2598"/>
      <c r="E1164" s="2598"/>
      <c r="F1164" s="2598"/>
      <c r="G1164" s="2598"/>
      <c r="H1164" s="2597"/>
      <c r="I1164" s="2659"/>
      <c r="J1164" s="2659"/>
      <c r="K1164" s="2662" t="s">
        <v>1880</v>
      </c>
      <c r="L1164" s="2561"/>
      <c r="M1164" s="2561"/>
      <c r="N1164" s="2561"/>
      <c r="O1164" s="2561"/>
      <c r="P1164" s="2561"/>
      <c r="Q1164" s="2561"/>
    </row>
    <row r="1165" spans="1:17" ht="90">
      <c r="A1165" s="2661" t="str">
        <f>'Part VIII-Threshold Criteria'!A71</f>
        <v>Applicant understands cost limits do not take into account construction cost increases.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HFOP</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3778</v>
      </c>
      <c r="D1168" s="2598"/>
      <c r="E1168" s="2598"/>
      <c r="F1168" s="2598"/>
      <c r="G1168" s="2598"/>
      <c r="H1168" s="2597"/>
      <c r="I1168" s="2659"/>
      <c r="J1168" s="2659"/>
      <c r="K1168" s="2662" t="s">
        <v>1880</v>
      </c>
      <c r="L1168" s="2561"/>
      <c r="M1168" s="2561"/>
      <c r="N1168" s="2561"/>
      <c r="O1168" s="2561"/>
      <c r="P1168" s="2561"/>
      <c r="Q1168" s="2561"/>
    </row>
    <row r="1169" spans="1:17" ht="78.75">
      <c r="A1169" s="2661" t="str">
        <f>'Part VIII-Threshold Criteria'!A75</f>
        <v>Similar to Phase 1, Phase 2 will serve the same demographic</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3768</v>
      </c>
      <c r="D1173" s="2686"/>
      <c r="E1173" s="2686"/>
      <c r="F1173" s="2686"/>
      <c r="G1173" s="2686"/>
      <c r="H1173" s="2686"/>
      <c r="I1173" s="2686"/>
      <c r="K1173" s="2686"/>
      <c r="L1173" s="2686"/>
      <c r="M1173" s="2699" t="s">
        <v>3722</v>
      </c>
      <c r="O1173" s="2661"/>
      <c r="P1173" s="2667" t="str">
        <f>'Part VIII-Threshold Criteria'!P79</f>
        <v>Agree</v>
      </c>
    </row>
    <row r="1174" spans="1:17">
      <c r="A1174" s="2700" t="s">
        <v>2001</v>
      </c>
      <c r="B1174" s="2597" t="s">
        <v>3767</v>
      </c>
      <c r="D1174" s="2597"/>
      <c r="E1174" s="2597"/>
      <c r="F1174" s="2597"/>
      <c r="G1174" s="2597"/>
      <c r="H1174" s="2597"/>
      <c r="I1174" s="2597"/>
      <c r="J1174" s="2597"/>
      <c r="K1174" s="2597"/>
      <c r="L1174" s="2597"/>
      <c r="M1174" s="2597"/>
      <c r="O1174" s="2597"/>
      <c r="P1174" s="2597"/>
      <c r="Q1174" s="2597"/>
    </row>
    <row r="1175" spans="1:17" ht="22.5">
      <c r="A1175" s="2701"/>
      <c r="B1175" s="2702" t="s">
        <v>1750</v>
      </c>
      <c r="C1175" s="2597" t="s">
        <v>3506</v>
      </c>
      <c r="E1175" s="2591"/>
      <c r="F1175" s="2591"/>
      <c r="G1175" s="2591"/>
      <c r="H1175" s="2354"/>
      <c r="I1175" s="478" t="s">
        <v>2723</v>
      </c>
      <c r="J1175" s="2703" t="str">
        <f>'Part VIII-Threshold Criteria'!J81</f>
        <v>Monthly Birthday Parties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c r="A1176" s="2701"/>
      <c r="B1176" s="2702" t="s">
        <v>1751</v>
      </c>
      <c r="C1176" s="2597" t="s">
        <v>3604</v>
      </c>
      <c r="E1176" s="2591"/>
      <c r="F1176" s="2591"/>
      <c r="G1176" s="2591"/>
      <c r="H1176" s="2354"/>
      <c r="I1176" s="478" t="s">
        <v>2723</v>
      </c>
      <c r="J1176" s="2703">
        <f>'Part VIII-Threshold Criteria'!J82</f>
        <v>0</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45">
      <c r="A1177" s="2701"/>
      <c r="B1177" s="2702" t="s">
        <v>1752</v>
      </c>
      <c r="C1177" s="2597" t="s">
        <v>3605</v>
      </c>
      <c r="E1177" s="2591"/>
      <c r="F1177" s="2591"/>
      <c r="G1177" s="2591"/>
      <c r="H1177" s="2354"/>
      <c r="I1177" s="478" t="s">
        <v>2723</v>
      </c>
      <c r="J1177" s="2703" t="str">
        <f>'Part VIII-Threshold Criteria'!J83</f>
        <v>Wellness serviced by Brenau and by management</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ht="56.25">
      <c r="A1178" s="2701"/>
      <c r="B1178" s="2702" t="s">
        <v>2381</v>
      </c>
      <c r="C1178" s="2597" t="s">
        <v>3931</v>
      </c>
      <c r="E1178" s="2591"/>
      <c r="I1178" s="478" t="s">
        <v>2723</v>
      </c>
      <c r="J1178" s="2703" t="str">
        <f>'Part VIII-Threshold Criteria'!J84</f>
        <v>Financial Planning/Fraud prevention &amp; Resume Building Classes</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3922</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3778</v>
      </c>
      <c r="D1181" s="2598"/>
      <c r="E1181" s="2598"/>
      <c r="F1181" s="2598"/>
      <c r="G1181" s="2598"/>
      <c r="H1181" s="2597"/>
      <c r="I1181" s="2659"/>
      <c r="J1181" s="2659"/>
      <c r="K1181" s="2662" t="s">
        <v>1880</v>
      </c>
      <c r="L1181" s="2561"/>
      <c r="M1181" s="2561"/>
      <c r="N1181" s="2561"/>
      <c r="O1181" s="2561"/>
      <c r="P1181" s="2561"/>
      <c r="Q1181" s="2561"/>
    </row>
    <row r="1182" spans="1:17" ht="78.75">
      <c r="A1182" s="2661" t="str">
        <f>'Part VIII-Threshold Criteria'!A88</f>
        <v>Phase 2 will expand on our award winning services provided at Phase 1.</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Real Property Research Group</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5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2897</v>
      </c>
      <c r="D1188" s="2626"/>
      <c r="E1188" s="2626"/>
      <c r="F1188" s="2626"/>
      <c r="L1188" s="2702" t="s">
        <v>757</v>
      </c>
      <c r="M1188" s="2704">
        <f>'Part VIII-Threshold Criteria'!M94</f>
        <v>0.96199999999999997</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3924</v>
      </c>
      <c r="D1189" s="2626"/>
      <c r="E1189" s="2626"/>
      <c r="F1189" s="2626"/>
      <c r="L1189" s="2702" t="s">
        <v>3925</v>
      </c>
      <c r="M1189" s="2706">
        <f>'Part VIII-Threshold Criteria'!M95</f>
        <v>0.183</v>
      </c>
      <c r="N1189" s="2704"/>
      <c r="O1189" s="2707" t="s">
        <v>4175</v>
      </c>
      <c r="P1189" s="2708">
        <f>'Part VIII-Threshold Criteria'!P95</f>
        <v>0.02</v>
      </c>
      <c r="Q1189" s="2667">
        <f>'Part VIII-Threshold Criteria'!Q95</f>
        <v>0</v>
      </c>
    </row>
    <row r="1190" spans="1:17">
      <c r="A1190" s="2698" t="s">
        <v>1748</v>
      </c>
      <c r="B1190" s="2686" t="s">
        <v>3923</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12-057</v>
      </c>
      <c r="E1192" s="2658" t="str">
        <f>'Part VIII-Threshold Criteria'!E98</f>
        <v>Myrtle Terraces Phase 1</v>
      </c>
      <c r="F1192" s="2658">
        <f>'Part VIII-Threshold Criteria'!F98</f>
        <v>0</v>
      </c>
      <c r="G1192" s="2658">
        <f>'Part VIII-Threshold Criteria'!G98</f>
        <v>0</v>
      </c>
      <c r="H1192" s="2702" t="s">
        <v>1752</v>
      </c>
      <c r="I1192" s="2667" t="str">
        <f>'Part VIII-Threshold Criteria'!I98</f>
        <v>16-032</v>
      </c>
      <c r="J1192" s="2658" t="str">
        <f>'Part VIII-Threshold Criteria'!J98</f>
        <v>Atl Street Redevelopment P2</v>
      </c>
      <c r="K1192" s="2658">
        <f>'Part VIII-Threshold Criteria'!K98</f>
        <v>0</v>
      </c>
      <c r="L1192" s="2658">
        <f>'Part VIII-Threshold Criteria'!L98</f>
        <v>0</v>
      </c>
      <c r="M1192" s="2702" t="s">
        <v>1561</v>
      </c>
      <c r="N1192" s="2667">
        <f>'Part VIII-Threshold Criteria'!N98</f>
        <v>0</v>
      </c>
      <c r="O1192" s="2658">
        <f>'Part VIII-Threshold Criteria'!O98</f>
        <v>0</v>
      </c>
      <c r="P1192" s="2658">
        <f>'Part VIII-Threshold Criteria'!P98</f>
        <v>0</v>
      </c>
      <c r="Q1192" s="2658">
        <f>'Part VIII-Threshold Criteria'!Q98</f>
        <v>0</v>
      </c>
    </row>
    <row r="1193" spans="1:17">
      <c r="C1193" s="2702" t="s">
        <v>1751</v>
      </c>
      <c r="D1193" s="2667" t="str">
        <f>'Part VIII-Threshold Criteria'!D99</f>
        <v>17-059</v>
      </c>
      <c r="E1193" s="2658" t="str">
        <f>'Part VIII-Threshold Criteria'!E99</f>
        <v>Atl Street Redevelopment P3</v>
      </c>
      <c r="F1193" s="2658">
        <f>'Part VIII-Threshold Criteria'!F99</f>
        <v>0</v>
      </c>
      <c r="G1193" s="2658">
        <f>'Part VIII-Threshold Criteria'!G99</f>
        <v>0</v>
      </c>
      <c r="H1193" s="2702" t="s">
        <v>2381</v>
      </c>
      <c r="I1193" s="2667" t="str">
        <f>'Part VIII-Threshold Criteria'!I99</f>
        <v>15-046</v>
      </c>
      <c r="J1193" s="2658" t="str">
        <f>'Part VIII-Threshold Criteria'!J99</f>
        <v>Atl Street Redevelopment P1</v>
      </c>
      <c r="K1193" s="2658">
        <f>'Part VIII-Threshold Criteria'!K99</f>
        <v>0</v>
      </c>
      <c r="L1193" s="2658">
        <f>'Part VIII-Threshold Criteria'!L99</f>
        <v>0</v>
      </c>
      <c r="M1193" s="2702" t="s">
        <v>1562</v>
      </c>
      <c r="N1193" s="2667">
        <f>'Part VIII-Threshold Criteria'!N99</f>
        <v>0</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3637</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3391</v>
      </c>
      <c r="B1197" s="2661" t="s">
        <v>2748</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3392</v>
      </c>
      <c r="B1199" s="2686" t="s">
        <v>3638</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3778</v>
      </c>
      <c r="D1200" s="2598"/>
      <c r="E1200" s="2598"/>
      <c r="F1200" s="2598"/>
      <c r="G1200" s="2598"/>
      <c r="H1200" s="2597"/>
      <c r="I1200" s="2659"/>
      <c r="J1200" s="2659"/>
      <c r="K1200" s="2659"/>
      <c r="L1200" s="2561"/>
      <c r="M1200" s="2561"/>
      <c r="N1200" s="2561"/>
      <c r="O1200" s="2561"/>
      <c r="P1200" s="2561"/>
      <c r="Q1200" s="2561"/>
    </row>
    <row r="1201" spans="1:17" ht="135">
      <c r="A1201" s="2661" t="str">
        <f>'Part VIII-Threshold Criteria'!A107</f>
        <v>As noted above, the previous awards are for the Gainesville Housing Authority's redevelopment of their public housing.</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Yes</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Yes</v>
      </c>
      <c r="Q1207" s="2667">
        <f>'Part VIII-Threshold Criteria'!Q113</f>
        <v>0</v>
      </c>
    </row>
    <row r="1208" spans="1:17">
      <c r="A1208" s="478"/>
      <c r="C1208" s="478" t="s">
        <v>559</v>
      </c>
      <c r="E1208" s="2354"/>
      <c r="F1208" s="2354"/>
      <c r="G1208" s="2354"/>
      <c r="H1208" s="2354"/>
      <c r="I1208" s="2354"/>
      <c r="L1208" s="2702" t="s">
        <v>560</v>
      </c>
      <c r="M1208" s="2658" t="str">
        <f>'Part VIII-Threshold Criteria'!M114</f>
        <v>Huber &amp; Associates</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3493</v>
      </c>
      <c r="D1209" s="2715"/>
      <c r="E1209" s="2715"/>
      <c r="F1209" s="2715"/>
      <c r="G1209" s="2715"/>
      <c r="H1209" s="2715"/>
      <c r="I1209" s="2715"/>
      <c r="J1209" s="2715"/>
      <c r="K1209" s="2715"/>
      <c r="L1209" s="2715"/>
      <c r="M1209" s="2715"/>
      <c r="O1209" s="2712" t="s">
        <v>1750</v>
      </c>
      <c r="P1209" s="2667" t="str">
        <f>'Part VIII-Threshold Criteria'!P115</f>
        <v>Yes</v>
      </c>
      <c r="Q1209" s="2667">
        <f>'Part VIII-Threshold Criteria'!Q115</f>
        <v>0</v>
      </c>
    </row>
    <row r="1210" spans="1:17">
      <c r="A1210" s="2659"/>
      <c r="B1210" s="2702" t="s">
        <v>1751</v>
      </c>
      <c r="C1210" s="2597" t="s">
        <v>3494</v>
      </c>
      <c r="D1210" s="2715"/>
      <c r="E1210" s="2715"/>
      <c r="F1210" s="2715"/>
      <c r="G1210" s="2715"/>
      <c r="H1210" s="2715"/>
      <c r="I1210" s="2715"/>
      <c r="J1210" s="2715"/>
      <c r="K1210" s="2715"/>
      <c r="L1210" s="2715"/>
      <c r="M1210" s="2715"/>
      <c r="O1210" s="2702" t="s">
        <v>1751</v>
      </c>
      <c r="P1210" s="2667" t="str">
        <f>'Part VIII-Threshold Criteria'!P116</f>
        <v>No</v>
      </c>
      <c r="Q1210" s="2667">
        <f>'Part VIII-Threshold Criteria'!Q116</f>
        <v>0</v>
      </c>
    </row>
    <row r="1211" spans="1:17">
      <c r="A1211" s="2659"/>
      <c r="B1211" s="2712" t="s">
        <v>1752</v>
      </c>
      <c r="C1211" s="2597" t="s">
        <v>2898</v>
      </c>
      <c r="D1211" s="2597"/>
      <c r="E1211" s="2597"/>
      <c r="F1211" s="2597"/>
      <c r="G1211" s="2597"/>
      <c r="H1211" s="2597"/>
      <c r="I1211" s="2597"/>
      <c r="J1211" s="2597"/>
      <c r="K1211" s="2597"/>
      <c r="L1211" s="2597"/>
      <c r="M1211" s="2599"/>
      <c r="O1211" s="2712" t="s">
        <v>1752</v>
      </c>
      <c r="P1211" s="2667" t="str">
        <f>'Part VIII-Threshold Criteria'!P117</f>
        <v>Yes</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Yes</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Yes</v>
      </c>
      <c r="Q1217" s="2667">
        <f>'Part VIII-Threshold Criteria'!Q123</f>
        <v>0</v>
      </c>
    </row>
    <row r="1218" spans="1:17">
      <c r="B1218" s="2598" t="s">
        <v>3778</v>
      </c>
      <c r="D1218" s="2598"/>
      <c r="E1218" s="2598"/>
      <c r="F1218" s="2598"/>
      <c r="G1218" s="2598"/>
      <c r="H1218" s="2597"/>
      <c r="I1218" s="2659"/>
      <c r="J1218" s="2659"/>
      <c r="K1218" s="2659"/>
      <c r="L1218" s="2561"/>
      <c r="M1218" s="2561"/>
      <c r="N1218" s="2561"/>
      <c r="O1218" s="2561"/>
      <c r="P1218" s="2561"/>
      <c r="Q1218" s="2561"/>
    </row>
    <row r="1219" spans="1:17" ht="281.25">
      <c r="A1219" s="2661" t="str">
        <f>'Part VIII-Threshold Criteria'!A125</f>
        <v>The land owned by the Foundation has been improved into a park.  Working with the City we are condensing the park to better accommodate the traffic the park gets and fit within City vision of the Greenway which will be on the other side of the creek.</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3661</v>
      </c>
      <c r="D1224" s="2626"/>
      <c r="E1224" s="2626"/>
      <c r="F1224" s="2626"/>
      <c r="G1224" s="2626"/>
      <c r="H1224" s="2626"/>
      <c r="I1224" s="2354"/>
      <c r="J1224" s="2354"/>
      <c r="K1224" s="2702" t="s">
        <v>1999</v>
      </c>
      <c r="L1224" s="2569" t="str">
        <f>'Part VIII-Threshold Criteria'!L130</f>
        <v>Geotechnical Environmental Consultants</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Geotechnical Environmental Consultants</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3495</v>
      </c>
      <c r="E1228" s="2354"/>
      <c r="F1228" s="2354"/>
      <c r="G1228" s="2354"/>
      <c r="H1228" s="478"/>
      <c r="I1228" s="2354"/>
      <c r="J1228" s="2354"/>
      <c r="K1228" s="2626"/>
      <c r="L1228" s="2591"/>
      <c r="M1228" s="2591"/>
      <c r="O1228" s="2702" t="s">
        <v>1751</v>
      </c>
      <c r="P1228" s="2667">
        <f>'Part VIII-Threshold Criteria'!P134</f>
        <v>62.8</v>
      </c>
      <c r="Q1228" s="2667">
        <f>'Part VIII-Threshold Criteria'!Q134</f>
        <v>0</v>
      </c>
    </row>
    <row r="1229" spans="1:17">
      <c r="A1229" s="2580"/>
      <c r="B1229" s="2702" t="s">
        <v>1752</v>
      </c>
      <c r="C1229" s="478" t="s">
        <v>4162</v>
      </c>
      <c r="E1229" s="2354"/>
      <c r="F1229" s="2354"/>
      <c r="G1229" s="2354"/>
      <c r="H1229" s="478"/>
      <c r="I1229" s="2354"/>
      <c r="J1229" s="2354"/>
      <c r="K1229" s="2626"/>
      <c r="L1229" s="2591"/>
      <c r="M1229" s="2591"/>
      <c r="N1229" s="2591"/>
      <c r="O1229" s="2591"/>
    </row>
    <row r="1230" spans="1:17" ht="56.25">
      <c r="A1230" s="2561"/>
      <c r="B1230" s="2702"/>
      <c r="C1230" s="2626" t="str">
        <f>'Part VIII-Threshold Criteria'!C136</f>
        <v>Road noise (MLK Jr. Blvd.), Railroad, aircraft noise</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Yes</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1.4999999999999999E-2</v>
      </c>
      <c r="Q1238" s="2717">
        <f>'Part VIII-Threshold Criteria'!Q144</f>
        <v>0</v>
      </c>
    </row>
    <row r="1239" spans="1:17">
      <c r="A1239" s="2700"/>
      <c r="B1239" s="2702"/>
      <c r="E1239" s="2702" t="s">
        <v>2452</v>
      </c>
      <c r="F1239" s="478" t="s">
        <v>2654</v>
      </c>
      <c r="G1239" s="2354"/>
      <c r="H1239" s="478"/>
      <c r="I1239" s="2354"/>
      <c r="J1239" s="2354"/>
      <c r="O1239" s="2702" t="s">
        <v>2452</v>
      </c>
      <c r="P1239" s="2667" t="str">
        <f>'Part VIII-Threshold Criteria'!P145</f>
        <v>No</v>
      </c>
      <c r="Q1239" s="2667">
        <f>'Part VIII-Threshold Criteria'!Q145</f>
        <v>0</v>
      </c>
    </row>
    <row r="1240" spans="1:17">
      <c r="A1240" s="2700"/>
      <c r="B1240" s="2702"/>
      <c r="E1240" s="2702" t="s">
        <v>2453</v>
      </c>
      <c r="F1240" s="478" t="s">
        <v>2652</v>
      </c>
      <c r="G1240" s="2354"/>
      <c r="H1240" s="478"/>
      <c r="I1240" s="2354"/>
      <c r="J1240" s="2354"/>
      <c r="O1240" s="2702" t="s">
        <v>2453</v>
      </c>
      <c r="P1240" s="2667" t="str">
        <f>'Part VIII-Threshold Criteria'!P146</f>
        <v>Yes</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Yes</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No</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3874</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No</v>
      </c>
      <c r="M1246" s="2667">
        <f>'Part VIII-Threshold Criteria'!M152</f>
        <v>0</v>
      </c>
      <c r="O1246" s="2702"/>
    </row>
    <row r="1247" spans="1:17">
      <c r="A1247" s="478"/>
      <c r="B1247" s="2702" t="s">
        <v>2912</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None noted</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f>'Part VIII-Threshold Criteria'!P159</f>
        <v>0</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4778</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1427</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3778</v>
      </c>
      <c r="D1258" s="2598"/>
      <c r="E1258" s="2598"/>
      <c r="F1258" s="2598"/>
      <c r="G1258" s="2598"/>
      <c r="H1258" s="2597"/>
      <c r="I1258" s="2659"/>
      <c r="J1258" s="2659"/>
      <c r="K1258" s="2659"/>
      <c r="L1258" s="2561"/>
      <c r="M1258" s="2561"/>
      <c r="N1258" s="2561"/>
      <c r="O1258" s="2561"/>
      <c r="P1258" s="2561"/>
      <c r="Q1258" s="2561"/>
    </row>
    <row r="1259" spans="1:17" ht="146.25">
      <c r="A1259" s="2661" t="str">
        <f>'Part VIII-Threshold Criteria'!A165</f>
        <v>Applicant's Environmental Consultants have determined there are no environmental issues preventing our intended use.</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4546</v>
      </c>
      <c r="D1265" s="478"/>
      <c r="E1265" s="478"/>
      <c r="F1265" s="478"/>
      <c r="G1265" s="478"/>
      <c r="I1265" s="478" t="s">
        <v>2725</v>
      </c>
      <c r="K1265" s="2720">
        <f>'Part VIII-Threshold Criteria'!K171</f>
        <v>43434</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Beverly J. Searles Foundation</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2900</v>
      </c>
      <c r="D1268" s="2686"/>
      <c r="E1268" s="2686"/>
      <c r="F1268" s="2686"/>
      <c r="G1268" s="2686"/>
      <c r="H1268" s="2686"/>
      <c r="J1268" s="2702"/>
      <c r="K1268" s="2702"/>
      <c r="L1268" s="2702"/>
      <c r="M1268" s="2702"/>
      <c r="N1268" s="2702"/>
      <c r="O1268" s="2702" t="s">
        <v>2131</v>
      </c>
      <c r="P1268" s="2667" t="str">
        <f>'Part VIII-Threshold Criteria'!P174</f>
        <v>Yes</v>
      </c>
      <c r="Q1268" s="2667">
        <f>'Part VIII-Threshold Criteria'!Q174</f>
        <v>0</v>
      </c>
    </row>
    <row r="1269" spans="1:17">
      <c r="B1269" s="2598" t="s">
        <v>3778</v>
      </c>
      <c r="D1269" s="2598"/>
      <c r="E1269" s="2598"/>
      <c r="F1269" s="2598"/>
      <c r="G1269" s="2598"/>
      <c r="H1269" s="2597"/>
      <c r="I1269" s="2659"/>
      <c r="J1269" s="2659"/>
      <c r="K1269" s="2659"/>
      <c r="L1269" s="2561"/>
      <c r="M1269" s="2561"/>
      <c r="N1269" s="2561"/>
      <c r="O1269" s="2561"/>
      <c r="P1269" s="2561"/>
      <c r="Q1269" s="2561"/>
    </row>
    <row r="1270" spans="1:17" ht="112.5">
      <c r="A1270" s="2661" t="str">
        <f>'Part VIII-Threshold Criteria'!A176</f>
        <v>The Foundation owns the land and will sell the land into the partnership at fair market value.</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3769</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3662</v>
      </c>
      <c r="C1276" s="2661"/>
      <c r="D1276" s="2661"/>
      <c r="E1276" s="2661"/>
      <c r="F1276" s="2661"/>
      <c r="G1276" s="2661"/>
      <c r="H1276" s="2661"/>
      <c r="I1276" s="2661"/>
      <c r="J1276" s="2661"/>
      <c r="K1276" s="2661"/>
      <c r="L1276" s="2661"/>
      <c r="M1276" s="2661"/>
      <c r="N1276" s="2661"/>
      <c r="O1276" s="2712" t="s">
        <v>2001</v>
      </c>
      <c r="P1276" s="2713" t="str">
        <f>'Part VIII-Threshold Criteria'!P182</f>
        <v>N/Ap</v>
      </c>
      <c r="Q1276" s="2713">
        <f>'Part VIII-Threshold Criteria'!Q182</f>
        <v>0</v>
      </c>
    </row>
    <row r="1277" spans="1:17" ht="12.75" customHeight="1">
      <c r="A1277" s="2698" t="s">
        <v>757</v>
      </c>
      <c r="B1277" s="2661" t="s">
        <v>3770</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N/Ap</v>
      </c>
      <c r="Q1278" s="2713">
        <f>'Part VIII-Threshold Criteria'!Q184</f>
        <v>0</v>
      </c>
    </row>
    <row r="1279" spans="1:17">
      <c r="B1279" s="2598" t="s">
        <v>3778</v>
      </c>
      <c r="D1279" s="2598"/>
      <c r="E1279" s="2598"/>
      <c r="F1279" s="2598"/>
      <c r="G1279" s="2598"/>
      <c r="H1279" s="2597"/>
      <c r="I1279" s="2659"/>
      <c r="J1279" s="2659"/>
      <c r="K1279" s="2659"/>
      <c r="L1279" s="2561"/>
      <c r="M1279" s="2561"/>
      <c r="N1279" s="2561"/>
      <c r="O1279" s="2561"/>
      <c r="P1279" s="2561"/>
      <c r="Q1279" s="2561"/>
    </row>
    <row r="1280" spans="1:17" ht="90">
      <c r="A1280" s="2661" t="str">
        <f>'Part VIII-Threshold Criteria'!A186</f>
        <v>The site is adjacent to Phase 1 and has ample access to Myrtle Street.</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4779</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3771</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3926</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3778</v>
      </c>
      <c r="D1296" s="2598"/>
      <c r="E1296" s="2598"/>
      <c r="F1296" s="2598"/>
      <c r="G1296" s="2598"/>
      <c r="H1296" s="2597"/>
      <c r="I1296" s="2659"/>
      <c r="J1296" s="2659"/>
      <c r="K1296" s="2659"/>
      <c r="L1296" s="2561"/>
      <c r="M1296" s="2561"/>
      <c r="N1296" s="2561"/>
      <c r="O1296" s="2561"/>
      <c r="P1296" s="2561"/>
      <c r="Q1296" s="2561"/>
    </row>
    <row r="1297" spans="1:17" ht="90">
      <c r="A1297" s="2661" t="str">
        <f>'Part VIII-Threshold Criteria'!A203</f>
        <v>The land was rezoned in 2012 and is suitable for our intended use.</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NA</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No</v>
      </c>
      <c r="Q1302" s="2667">
        <f>'Part VIII-Threshold Criteria'!Q208</f>
        <v>0</v>
      </c>
    </row>
    <row r="1303" spans="1:17">
      <c r="A1303" s="2580"/>
      <c r="B1303" s="2598" t="s">
        <v>3778</v>
      </c>
      <c r="C1303" s="2500"/>
      <c r="D1303" s="2500"/>
      <c r="E1303" s="2500"/>
      <c r="F1303" s="2500"/>
      <c r="H1303" s="2702" t="s">
        <v>1751</v>
      </c>
      <c r="I1303" s="478" t="s">
        <v>1608</v>
      </c>
      <c r="J1303" s="2658" t="str">
        <f>'Part VIII-Threshold Criteria'!J209</f>
        <v>GA Power</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67.5">
      <c r="A1304" s="2661" t="str">
        <f>'Part VIII-Threshold Criteria'!A210</f>
        <v>Appliciant notes that the site has all available operating utilities.</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City of Gainesville</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Gainesville</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3933</v>
      </c>
      <c r="D1314" s="478"/>
      <c r="E1314" s="478"/>
      <c r="F1314" s="478"/>
      <c r="G1314" s="478"/>
      <c r="H1314" s="478"/>
      <c r="I1314" s="478"/>
      <c r="J1314" s="478"/>
      <c r="K1314" s="2354"/>
      <c r="L1314" s="478"/>
      <c r="M1314" s="478"/>
      <c r="O1314" s="2702" t="s">
        <v>757</v>
      </c>
      <c r="P1314" s="2667" t="str">
        <f>'Part VIII-Threshold Criteria'!P220</f>
        <v>No</v>
      </c>
      <c r="Q1314" s="2667">
        <f>'Part VIII-Threshold Criteria'!Q220</f>
        <v>0</v>
      </c>
    </row>
    <row r="1315" spans="1:17">
      <c r="A1315" s="2700" t="s">
        <v>2131</v>
      </c>
      <c r="B1315" s="478" t="s">
        <v>3934</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3778</v>
      </c>
      <c r="D1316" s="2598"/>
      <c r="E1316" s="2598"/>
      <c r="F1316" s="2598"/>
      <c r="G1316" s="2598"/>
      <c r="H1316" s="2597"/>
      <c r="I1316" s="2659"/>
      <c r="J1316" s="2659"/>
      <c r="K1316" s="2659"/>
      <c r="L1316" s="2561"/>
      <c r="M1316" s="2561"/>
      <c r="N1316" s="2561"/>
      <c r="O1316" s="2561"/>
      <c r="P1316" s="2561"/>
      <c r="Q1316" s="2561"/>
    </row>
    <row r="1317" spans="1:17" ht="78.75">
      <c r="A1317" s="2661" t="str">
        <f>'Part VIII-Threshold Criteria'!A223</f>
        <v>Our site has availability and capacity of water and sewer to fit our needs.</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4780</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Room</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4781</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22.5">
      <c r="A1330" s="2667"/>
      <c r="B1330" s="2702" t="s">
        <v>1750</v>
      </c>
      <c r="C1330" s="2661" t="str">
        <f>'Part VIII-Threshold Criteria'!C236</f>
        <v>Fitness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Wellness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3487</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f>'Part VIII-Threshold Criteria'!P245</f>
        <v>0</v>
      </c>
      <c r="Q1339" s="2667">
        <f>'Part VIII-Threshold Criteria'!Q245</f>
        <v>0</v>
      </c>
    </row>
    <row r="1340" spans="1:17">
      <c r="A1340" s="2700" t="s">
        <v>2131</v>
      </c>
      <c r="B1340" s="478" t="s">
        <v>3687</v>
      </c>
      <c r="C1340" s="478"/>
      <c r="E1340" s="478"/>
      <c r="F1340" s="478"/>
      <c r="G1340" s="478"/>
      <c r="H1340" s="478"/>
      <c r="I1340" s="478"/>
      <c r="J1340" s="478"/>
      <c r="K1340" s="2354"/>
      <c r="L1340" s="478"/>
      <c r="M1340" s="478"/>
      <c r="O1340" s="2702" t="s">
        <v>2131</v>
      </c>
      <c r="P1340" s="2667" t="str">
        <f>'Part VIII-Threshold Criteria'!P246</f>
        <v>Agree</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t="str">
        <f>'Part VIII-Threshold Criteria'!P247</f>
        <v>Yes</v>
      </c>
      <c r="Q1341" s="2667">
        <f>'Part VIII-Threshold Criteria'!Q247</f>
        <v>0</v>
      </c>
    </row>
    <row r="1342" spans="1:17">
      <c r="B1342" s="2702" t="s">
        <v>1751</v>
      </c>
      <c r="C1342" s="478" t="s">
        <v>3935</v>
      </c>
      <c r="E1342" s="2354"/>
      <c r="F1342" s="2354"/>
      <c r="G1342" s="2597"/>
      <c r="H1342" s="2597"/>
      <c r="I1342" s="2354"/>
      <c r="J1342" s="2597"/>
      <c r="K1342" s="2354"/>
      <c r="L1342" s="2597"/>
      <c r="M1342" s="2597"/>
      <c r="O1342" s="2702" t="s">
        <v>1751</v>
      </c>
      <c r="P1342" s="2667" t="str">
        <f>'Part VIII-Threshold Criteria'!P248</f>
        <v>Yes</v>
      </c>
      <c r="Q1342" s="2667">
        <f>'Part VIII-Threshold Criteria'!Q248</f>
        <v>0</v>
      </c>
    </row>
    <row r="1343" spans="1:17">
      <c r="B1343" s="2598" t="s">
        <v>3778</v>
      </c>
      <c r="D1343" s="2598"/>
      <c r="E1343" s="2598"/>
      <c r="F1343" s="2598"/>
      <c r="G1343" s="2598"/>
      <c r="H1343" s="2597"/>
      <c r="I1343" s="2659"/>
      <c r="J1343" s="2659"/>
      <c r="K1343" s="2659"/>
      <c r="L1343" s="2561"/>
      <c r="M1343" s="2561"/>
      <c r="N1343" s="2561"/>
      <c r="O1343" s="2561"/>
      <c r="P1343" s="2561"/>
      <c r="Q1343" s="2561"/>
    </row>
    <row r="1344" spans="1:17" ht="135">
      <c r="A1344" s="2661" t="str">
        <f>'Part VIII-Threshold Criteria'!A250</f>
        <v>As always with our senior communities, we will go above and beyond on amenities, to enrich the lives of our residents.</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3785</v>
      </c>
      <c r="D1354" s="478"/>
      <c r="E1354" s="478"/>
      <c r="F1354" s="478"/>
      <c r="M1354" s="478"/>
      <c r="N1354" s="2727"/>
      <c r="O1354" s="2702" t="s">
        <v>757</v>
      </c>
      <c r="P1354" s="2667">
        <f>'Part VIII-Threshold Criteria'!P260</f>
        <v>0</v>
      </c>
      <c r="Q1354" s="2667">
        <f>'Part VIII-Threshold Criteria'!Q260</f>
        <v>0</v>
      </c>
    </row>
    <row r="1355" spans="1:17">
      <c r="A1355" s="2700"/>
      <c r="B1355" s="478" t="s">
        <v>3784</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3936</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3786</v>
      </c>
      <c r="C1357" s="2661"/>
      <c r="D1357" s="2661"/>
      <c r="E1357" s="2661"/>
      <c r="F1357" s="2661"/>
      <c r="G1357" s="2661"/>
      <c r="H1357" s="1156" t="s">
        <v>4163</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4164</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4165</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4166</v>
      </c>
      <c r="K1360" s="2354"/>
      <c r="M1360" s="478"/>
      <c r="N1360" s="2727"/>
      <c r="O1360" s="2702" t="s">
        <v>2381</v>
      </c>
      <c r="P1360" s="2667">
        <f>'Part VIII-Threshold Criteria'!P266</f>
        <v>0</v>
      </c>
      <c r="Q1360" s="2667">
        <f>'Part VIII-Threshold Criteria'!Q266</f>
        <v>0</v>
      </c>
    </row>
    <row r="1361" spans="1:17" ht="12.75" customHeight="1">
      <c r="A1361" s="2698" t="s">
        <v>1748</v>
      </c>
      <c r="B1361" s="2661" t="s">
        <v>4782</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3778</v>
      </c>
      <c r="D1362" s="2598"/>
      <c r="E1362" s="2598"/>
      <c r="F1362" s="2598"/>
      <c r="G1362" s="2598"/>
      <c r="H1362" s="2597"/>
      <c r="I1362" s="2659"/>
      <c r="J1362" s="2659"/>
      <c r="K1362" s="2659"/>
      <c r="L1362" s="2561"/>
      <c r="M1362" s="2561"/>
      <c r="N1362" s="2561"/>
      <c r="O1362" s="2561"/>
      <c r="P1362" s="2561"/>
      <c r="Q1362" s="2561"/>
    </row>
    <row r="1363" spans="1:17" ht="22.5">
      <c r="A1363" s="2661" t="str">
        <f>'Part VIII-Threshold Criteria'!A269</f>
        <v>Not a rehab deal</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3938</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3781</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3782</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4167</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3783</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4168</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3778</v>
      </c>
      <c r="D1375" s="2598"/>
      <c r="E1375" s="2598"/>
      <c r="F1375" s="2598"/>
      <c r="G1375" s="2598"/>
      <c r="H1375" s="2597"/>
      <c r="I1375" s="2659"/>
      <c r="J1375" s="2659"/>
      <c r="K1375" s="2659"/>
      <c r="L1375" s="2561"/>
      <c r="M1375" s="2561"/>
      <c r="N1375" s="2561"/>
      <c r="O1375" s="2561"/>
      <c r="P1375" s="2561"/>
      <c r="Q1375" s="2561"/>
    </row>
    <row r="1376" spans="1:17" ht="56.25">
      <c r="A1376" s="2661" t="str">
        <f>'Part VIII-Threshold Criteria'!A282</f>
        <v>Our site plan is in conformity of DCA standards.</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4149</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3778</v>
      </c>
      <c r="D1383" s="2598"/>
      <c r="E1383" s="2598"/>
      <c r="F1383" s="2598"/>
      <c r="G1383" s="2598"/>
      <c r="H1383" s="2597"/>
      <c r="I1383" s="2659"/>
      <c r="J1383" s="2659"/>
      <c r="K1383" s="2659"/>
      <c r="L1383" s="2561"/>
      <c r="M1383" s="2561"/>
      <c r="N1383" s="2561"/>
      <c r="O1383" s="2561"/>
      <c r="P1383" s="2561"/>
      <c r="Q1383" s="2561"/>
    </row>
    <row r="1384" spans="1:17" ht="90">
      <c r="A1384" s="2661" t="str">
        <f>'Part VIII-Threshold Criteria'!A290</f>
        <v>As the payer of utilities we strive for the most efficient community possible.</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4150</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4783</v>
      </c>
    </row>
    <row r="1389" spans="1:17" ht="12.75" customHeight="1">
      <c r="A1389" s="2698"/>
      <c r="B1389" s="2712" t="s">
        <v>1750</v>
      </c>
      <c r="C1389" s="2661" t="s">
        <v>3940</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3941</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3939</v>
      </c>
      <c r="D1391" s="2661"/>
      <c r="E1391" s="2661"/>
      <c r="F1391" s="2661"/>
      <c r="G1391" s="2661"/>
      <c r="H1391" s="2661"/>
      <c r="I1391" s="2661"/>
      <c r="J1391" s="2661"/>
      <c r="K1391" s="2661"/>
      <c r="L1391" s="2661"/>
      <c r="M1391" s="2661"/>
      <c r="N1391" s="2661"/>
      <c r="O1391" s="2712" t="s">
        <v>1752</v>
      </c>
      <c r="P1391" s="2713" t="str">
        <f>'Part VIII-Threshold Criteria'!P297</f>
        <v>Yes</v>
      </c>
      <c r="Q1391" s="2713">
        <f>'Part VIII-Threshold Criteria'!Q297</f>
        <v>0</v>
      </c>
    </row>
    <row r="1392" spans="1:17">
      <c r="A1392" s="2585" t="s">
        <v>2001</v>
      </c>
      <c r="B1392" s="2544" t="s">
        <v>3906</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4784</v>
      </c>
      <c r="D1393" s="2661"/>
      <c r="E1393" s="2661"/>
      <c r="F1393" s="2661"/>
      <c r="G1393" s="2661"/>
      <c r="H1393" s="2661"/>
      <c r="I1393" s="2686"/>
      <c r="J1393" s="2669" t="s">
        <v>3821</v>
      </c>
      <c r="K1393" s="2724"/>
      <c r="L1393" s="2724"/>
      <c r="M1393" s="2731" t="s">
        <v>3788</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3789</v>
      </c>
      <c r="N1394" s="2659" t="s">
        <v>3820</v>
      </c>
      <c r="O1394" s="2350"/>
      <c r="P1394" s="2372"/>
      <c r="Q1394" s="2350"/>
    </row>
    <row r="1395" spans="1:17">
      <c r="A1395" s="2353"/>
      <c r="B1395" s="2350"/>
      <c r="C1395" s="2661"/>
      <c r="D1395" s="2661"/>
      <c r="E1395" s="2661"/>
      <c r="F1395" s="2661"/>
      <c r="G1395" s="2661"/>
      <c r="H1395" s="2661"/>
      <c r="I1395" s="478" t="s">
        <v>4170</v>
      </c>
      <c r="J1395" s="2350"/>
      <c r="K1395" s="2732">
        <f>'Part VIII-Threshold Criteria'!K301</f>
        <v>4</v>
      </c>
      <c r="L1395" s="2351" t="str">
        <f>IF(K1395&lt;M1395,"Check!!!","")</f>
        <v/>
      </c>
      <c r="M1395" s="2733">
        <f>'Part VIII-Threshold Criteria'!M301</f>
        <v>4</v>
      </c>
      <c r="N1395" s="2734">
        <f>'DCA Underwriting Assumptions'!$Q$136</f>
        <v>0.05</v>
      </c>
      <c r="O1395" s="2702" t="s">
        <v>3663</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4785</v>
      </c>
      <c r="D1397" s="2661"/>
      <c r="E1397" s="2661"/>
      <c r="F1397" s="2661"/>
      <c r="G1397" s="2661"/>
      <c r="H1397" s="2661"/>
      <c r="I1397" s="2735" t="s">
        <v>4171</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4786</v>
      </c>
      <c r="D1399" s="2661"/>
      <c r="E1399" s="2661"/>
      <c r="F1399" s="2661"/>
      <c r="G1399" s="2661"/>
      <c r="H1399" s="2661"/>
      <c r="I1399" s="478" t="s">
        <v>4172</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3907</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3665</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3666</v>
      </c>
      <c r="C1404" s="2354"/>
      <c r="D1404" s="2686"/>
      <c r="E1404" s="2686"/>
      <c r="F1404" s="2686"/>
      <c r="G1404" s="2686"/>
      <c r="H1404" s="2686"/>
      <c r="I1404" s="2686" t="s">
        <v>3787</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3664</v>
      </c>
      <c r="D1405" s="2661"/>
      <c r="E1405" s="2661"/>
      <c r="F1405" s="2661"/>
      <c r="G1405" s="2661"/>
      <c r="H1405" s="2661"/>
      <c r="I1405" s="2661"/>
      <c r="J1405" s="2661"/>
      <c r="K1405" s="2661"/>
      <c r="L1405" s="2661"/>
      <c r="M1405" s="2661"/>
      <c r="N1405" s="2661"/>
      <c r="O1405" s="2712" t="s">
        <v>3669</v>
      </c>
      <c r="P1405" s="2713" t="str">
        <f>'Part VIII-Threshold Criteria'!P311</f>
        <v>Yes</v>
      </c>
      <c r="Q1405" s="2713">
        <f>'Part VIII-Threshold Criteria'!Q311</f>
        <v>0</v>
      </c>
    </row>
    <row r="1406" spans="1:17" ht="12.75" customHeight="1">
      <c r="A1406" s="2678"/>
      <c r="B1406" s="2712" t="s">
        <v>1751</v>
      </c>
      <c r="C1406" s="2661" t="s">
        <v>3709</v>
      </c>
      <c r="D1406" s="2661"/>
      <c r="E1406" s="2661"/>
      <c r="F1406" s="2661"/>
      <c r="G1406" s="2661"/>
      <c r="H1406" s="2661"/>
      <c r="I1406" s="2661"/>
      <c r="J1406" s="2661"/>
      <c r="K1406" s="2661"/>
      <c r="L1406" s="2661"/>
      <c r="M1406" s="2661"/>
      <c r="N1406" s="2661"/>
      <c r="O1406" s="2712" t="s">
        <v>3670</v>
      </c>
      <c r="P1406" s="2713" t="str">
        <f>'Part VIII-Threshold Criteria'!P312</f>
        <v>Yes</v>
      </c>
      <c r="Q1406" s="2713">
        <f>'Part VIII-Threshold Criteria'!Q312</f>
        <v>0</v>
      </c>
    </row>
    <row r="1407" spans="1:17" ht="12.75" customHeight="1">
      <c r="A1407" s="2678"/>
      <c r="B1407" s="2712" t="s">
        <v>1752</v>
      </c>
      <c r="C1407" s="2661" t="s">
        <v>3667</v>
      </c>
      <c r="D1407" s="2661"/>
      <c r="E1407" s="2661"/>
      <c r="F1407" s="2661"/>
      <c r="G1407" s="2661"/>
      <c r="H1407" s="2661"/>
      <c r="I1407" s="2661"/>
      <c r="J1407" s="2661"/>
      <c r="K1407" s="2661"/>
      <c r="L1407" s="2661"/>
      <c r="M1407" s="2661"/>
      <c r="N1407" s="2661"/>
      <c r="O1407" s="2712" t="s">
        <v>3671</v>
      </c>
      <c r="P1407" s="2713" t="str">
        <f>'Part VIII-Threshold Criteria'!P313</f>
        <v>Yes</v>
      </c>
      <c r="Q1407" s="2713">
        <f>'Part VIII-Threshold Criteria'!Q313</f>
        <v>0</v>
      </c>
    </row>
    <row r="1408" spans="1:17" ht="12.75" customHeight="1">
      <c r="A1408" s="2678"/>
      <c r="B1408" s="2712" t="s">
        <v>2381</v>
      </c>
      <c r="C1408" s="2661" t="s">
        <v>3668</v>
      </c>
      <c r="D1408" s="2661"/>
      <c r="E1408" s="2661"/>
      <c r="F1408" s="2661"/>
      <c r="G1408" s="2661"/>
      <c r="H1408" s="2661"/>
      <c r="I1408" s="2661"/>
      <c r="J1408" s="2661"/>
      <c r="K1408" s="2661"/>
      <c r="L1408" s="2661"/>
      <c r="M1408" s="2661"/>
      <c r="N1408" s="2661"/>
      <c r="O1408" s="2712" t="s">
        <v>3672</v>
      </c>
      <c r="P1408" s="2713" t="str">
        <f>'Part VIII-Threshold Criteria'!P314</f>
        <v>Yes</v>
      </c>
      <c r="Q1408" s="2713">
        <f>'Part VIII-Threshold Criteria'!Q314</f>
        <v>0</v>
      </c>
    </row>
    <row r="1409" spans="1:17">
      <c r="B1409" s="2598" t="s">
        <v>3778</v>
      </c>
      <c r="D1409" s="2598"/>
      <c r="E1409" s="2598"/>
      <c r="F1409" s="2598"/>
      <c r="G1409" s="2598"/>
      <c r="H1409" s="2597"/>
      <c r="I1409" s="2659"/>
      <c r="J1409" s="2659"/>
      <c r="K1409" s="2659"/>
      <c r="L1409" s="2561"/>
      <c r="M1409" s="2561"/>
      <c r="N1409" s="2561"/>
      <c r="O1409" s="2561"/>
      <c r="P1409" s="2561"/>
      <c r="Q1409" s="2561"/>
    </row>
    <row r="1410" spans="1:17" ht="146.25">
      <c r="A1410" s="2661" t="str">
        <f>'Part VIII-Threshold Criteria'!A316</f>
        <v>We have long used Zeffert &amp; Associates for our accessiblity, taking the matter seriously as our residents welfare is at stake.</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4148</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4787</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4788</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3778</v>
      </c>
      <c r="D1426" s="2598"/>
      <c r="E1426" s="2598"/>
      <c r="F1426" s="2598"/>
      <c r="G1426" s="2598"/>
      <c r="H1426" s="2597"/>
      <c r="I1426" s="2659"/>
      <c r="J1426" s="2659"/>
      <c r="K1426" s="2659"/>
      <c r="L1426" s="2561"/>
      <c r="M1426" s="2561"/>
      <c r="N1426" s="2561"/>
      <c r="O1426" s="2561"/>
      <c r="P1426" s="2561"/>
      <c r="Q1426" s="2561"/>
    </row>
    <row r="1427" spans="1:17" ht="90">
      <c r="A1427" s="2661" t="str">
        <f>'Part VIII-Threshold Criteria'!A333</f>
        <v>Our architect, Mike Riley, closely follows the standards set forth by the DCA.</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4151</v>
      </c>
      <c r="B1430" s="2544" t="s">
        <v>4190</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3945</v>
      </c>
      <c r="O1431" s="2712" t="s">
        <v>1999</v>
      </c>
      <c r="P1431" s="2667" t="str">
        <f>'Part VIII-Threshold Criteria'!P337</f>
        <v>Yes</v>
      </c>
      <c r="Q1431" s="2667">
        <f>'Part VIII-Threshold Criteria'!Q337</f>
        <v>0</v>
      </c>
    </row>
    <row r="1432" spans="1:17">
      <c r="A1432" s="2698" t="s">
        <v>2001</v>
      </c>
      <c r="B1432" s="1156" t="s">
        <v>4135</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3870</v>
      </c>
      <c r="O1434" s="2702" t="s">
        <v>2131</v>
      </c>
      <c r="P1434" s="2667" t="str">
        <f>'Part VIII-Threshold Criteria'!P340</f>
        <v>No</v>
      </c>
      <c r="Q1434" s="2667">
        <f>'Part VIII-Threshold Criteria'!Q340</f>
        <v>0</v>
      </c>
    </row>
    <row r="1435" spans="1:17">
      <c r="A1435" s="2698" t="s">
        <v>1748</v>
      </c>
      <c r="B1435" s="1156" t="s">
        <v>2902</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3778</v>
      </c>
      <c r="D1437" s="2598"/>
      <c r="E1437" s="2598"/>
      <c r="F1437" s="2598"/>
      <c r="G1437" s="2598"/>
      <c r="H1437" s="2597"/>
      <c r="I1437" s="2659"/>
      <c r="J1437" s="2659"/>
      <c r="K1437" s="2659"/>
      <c r="L1437" s="2561"/>
      <c r="M1437" s="2561"/>
      <c r="N1437" s="2561"/>
      <c r="O1437" s="2561"/>
      <c r="P1437" s="2561"/>
      <c r="Q1437" s="2561"/>
    </row>
    <row r="1438" spans="1:17" ht="78.75">
      <c r="A1438" s="2661" t="str">
        <f>'Part VIII-Threshold Criteria'!A344</f>
        <v>The BJS Foundation is noted as a certified GP/Developer by the DCA.</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4152</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3681</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3879</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4136</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3778</v>
      </c>
      <c r="D1445" s="2598"/>
      <c r="E1445" s="2598"/>
      <c r="F1445" s="2598"/>
      <c r="G1445" s="2598"/>
      <c r="H1445" s="2597"/>
      <c r="I1445" s="2659"/>
      <c r="J1445" s="2659"/>
      <c r="K1445" s="2659"/>
      <c r="L1445" s="2561"/>
      <c r="M1445" s="2561"/>
      <c r="N1445" s="2561"/>
      <c r="O1445" s="2561"/>
      <c r="P1445" s="2561"/>
      <c r="Q1445" s="2561"/>
    </row>
    <row r="1446" spans="1:17" ht="78.75">
      <c r="A1446" s="2661" t="str">
        <f>'Part VIII-Threshold Criteria'!A352</f>
        <v>The BJS Foundation has decades of experience within its ranks.</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4155</v>
      </c>
      <c r="B1450" s="2543" t="s">
        <v>4122</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4123</v>
      </c>
      <c r="D1451" s="2559"/>
      <c r="E1451" s="2559"/>
      <c r="F1451" s="2559"/>
      <c r="G1451" s="2559"/>
      <c r="H1451" s="2702" t="s">
        <v>1999</v>
      </c>
      <c r="I1451" s="2658" t="str">
        <f>'Part VIII-Threshold Criteria'!I357</f>
        <v>Beverly J. Searles Foundation</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4124</v>
      </c>
      <c r="D1452" s="2559"/>
      <c r="E1452" s="2559"/>
      <c r="F1452" s="2559"/>
      <c r="G1452" s="2559"/>
      <c r="H1452" s="2712" t="s">
        <v>2001</v>
      </c>
      <c r="I1452" s="2658" t="str">
        <f>'Part VIII-Threshold Criteria'!I358</f>
        <v>www.bjsfoundation.org</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4114</v>
      </c>
      <c r="C1453" s="2626"/>
      <c r="D1453" s="2626"/>
      <c r="E1453" s="2626"/>
      <c r="F1453" s="2626"/>
      <c r="G1453" s="2626"/>
      <c r="H1453" s="2626"/>
      <c r="I1453" s="2626"/>
      <c r="J1453" s="2626"/>
      <c r="K1453" s="2626"/>
      <c r="L1453" s="2626"/>
      <c r="M1453" s="2626"/>
      <c r="N1453" s="2626"/>
      <c r="O1453" s="2712" t="s">
        <v>757</v>
      </c>
      <c r="P1453" s="2713" t="str">
        <f>'Part VIII-Threshold Criteria'!P359</f>
        <v>Yes</v>
      </c>
      <c r="Q1453" s="2713">
        <f>'Part VIII-Threshold Criteria'!Q359</f>
        <v>0</v>
      </c>
    </row>
    <row r="1454" spans="1:17" ht="12.75" customHeight="1">
      <c r="A1454" s="2698" t="s">
        <v>2131</v>
      </c>
      <c r="B1454" s="2661" t="s">
        <v>4115</v>
      </c>
      <c r="C1454" s="2661"/>
      <c r="D1454" s="2661"/>
      <c r="E1454" s="2661"/>
      <c r="F1454" s="2661"/>
      <c r="G1454" s="2661"/>
      <c r="H1454" s="2661"/>
      <c r="I1454" s="2661"/>
      <c r="J1454" s="2661"/>
      <c r="K1454" s="2661"/>
      <c r="L1454" s="2661"/>
      <c r="M1454" s="2661"/>
      <c r="N1454" s="2661"/>
      <c r="O1454" s="2702" t="s">
        <v>2131</v>
      </c>
      <c r="P1454" s="2713" t="str">
        <f>'Part VIII-Threshold Criteria'!P360</f>
        <v>Yes</v>
      </c>
      <c r="Q1454" s="2713">
        <f>'Part VIII-Threshold Criteria'!Q360</f>
        <v>0</v>
      </c>
    </row>
    <row r="1455" spans="1:17">
      <c r="A1455" s="2698" t="s">
        <v>1748</v>
      </c>
      <c r="B1455" s="478" t="s">
        <v>4116</v>
      </c>
      <c r="D1455" s="478"/>
      <c r="E1455" s="478"/>
      <c r="F1455" s="478"/>
      <c r="G1455" s="478"/>
      <c r="H1455" s="478"/>
      <c r="I1455" s="478"/>
      <c r="J1455" s="478"/>
      <c r="K1455" s="478"/>
      <c r="L1455" s="478"/>
      <c r="M1455" s="478"/>
      <c r="O1455" s="2712" t="s">
        <v>1748</v>
      </c>
      <c r="P1455" s="2667" t="str">
        <f>'Part VIII-Threshold Criteria'!P361</f>
        <v>Yes</v>
      </c>
      <c r="Q1455" s="2667">
        <f>'Part VIII-Threshold Criteria'!Q361</f>
        <v>0</v>
      </c>
    </row>
    <row r="1456" spans="1:17" ht="12.75" customHeight="1">
      <c r="A1456" s="2698" t="s">
        <v>1749</v>
      </c>
      <c r="B1456" s="2661" t="s">
        <v>4117</v>
      </c>
      <c r="C1456" s="2661"/>
      <c r="D1456" s="2661"/>
      <c r="E1456" s="2661"/>
      <c r="F1456" s="2661"/>
      <c r="G1456" s="2661"/>
      <c r="H1456" s="2661"/>
      <c r="I1456" s="2661"/>
      <c r="J1456" s="2661"/>
      <c r="K1456" s="2661"/>
      <c r="L1456" s="2661"/>
      <c r="M1456" s="2661"/>
      <c r="N1456" s="2661"/>
      <c r="O1456" s="2712" t="s">
        <v>1749</v>
      </c>
      <c r="P1456" s="2713" t="str">
        <f>'Part VIII-Threshold Criteria'!P362</f>
        <v>Yes</v>
      </c>
      <c r="Q1456" s="2713">
        <f>'Part VIII-Threshold Criteria'!Q362</f>
        <v>0</v>
      </c>
    </row>
    <row r="1457" spans="1:17">
      <c r="A1457" s="2698" t="s">
        <v>1962</v>
      </c>
      <c r="B1457" s="2686" t="s">
        <v>4118</v>
      </c>
      <c r="C1457" s="2678"/>
      <c r="D1457" s="2661"/>
      <c r="E1457" s="2661"/>
      <c r="F1457" s="2661"/>
      <c r="G1457" s="2661"/>
      <c r="H1457" s="2661"/>
      <c r="I1457" s="2661"/>
      <c r="J1457" s="2661"/>
      <c r="K1457" s="2661"/>
      <c r="L1457" s="2661"/>
      <c r="M1457" s="2661"/>
      <c r="N1457" s="2661"/>
      <c r="O1457" s="2712" t="s">
        <v>1962</v>
      </c>
      <c r="P1457" s="2713" t="str">
        <f>'Part VIII-Threshold Criteria'!P363</f>
        <v>Yes</v>
      </c>
      <c r="Q1457" s="2713">
        <f>'Part VIII-Threshold Criteria'!Q363</f>
        <v>0</v>
      </c>
    </row>
    <row r="1458" spans="1:17">
      <c r="A1458" s="2678"/>
      <c r="B1458" s="2678"/>
      <c r="C1458" s="2721" t="s">
        <v>4789</v>
      </c>
      <c r="D1458" s="2678"/>
      <c r="E1458" s="2664"/>
      <c r="F1458" s="2664"/>
      <c r="G1458" s="2664"/>
      <c r="H1458" s="2664"/>
      <c r="I1458" s="2664"/>
      <c r="J1458" s="2664"/>
      <c r="K1458" s="2664"/>
      <c r="L1458" s="2664"/>
      <c r="M1458" s="2664"/>
      <c r="N1458" s="2664"/>
      <c r="O1458" s="2678"/>
      <c r="P1458" s="2713" t="str">
        <f>'Part VIII-Threshold Criteria'!P364</f>
        <v>No</v>
      </c>
      <c r="Q1458" s="2713">
        <f>'Part VIII-Threshold Criteria'!Q364</f>
        <v>0</v>
      </c>
    </row>
    <row r="1459" spans="1:17" ht="12.75" customHeight="1">
      <c r="A1459" s="2698" t="s">
        <v>3391</v>
      </c>
      <c r="B1459" s="2661" t="s">
        <v>4119</v>
      </c>
      <c r="C1459" s="2661"/>
      <c r="D1459" s="2661"/>
      <c r="E1459" s="2661"/>
      <c r="F1459" s="2661"/>
      <c r="G1459" s="2661"/>
      <c r="H1459" s="2661"/>
      <c r="I1459" s="2661"/>
      <c r="J1459" s="2661"/>
      <c r="K1459" s="2661"/>
      <c r="L1459" s="2661"/>
      <c r="M1459" s="2661"/>
      <c r="N1459" s="2661"/>
      <c r="O1459" s="2712" t="s">
        <v>3391</v>
      </c>
      <c r="P1459" s="2713" t="str">
        <f>'Part VIII-Threshold Criteria'!P365</f>
        <v>No</v>
      </c>
      <c r="Q1459" s="2713">
        <f>'Part VIII-Threshold Criteria'!Q365</f>
        <v>0</v>
      </c>
    </row>
    <row r="1460" spans="1:17" ht="12.75" customHeight="1">
      <c r="A1460" s="2698" t="s">
        <v>622</v>
      </c>
      <c r="B1460" s="2661" t="s">
        <v>4120</v>
      </c>
      <c r="C1460" s="2661"/>
      <c r="D1460" s="2661"/>
      <c r="E1460" s="2661"/>
      <c r="F1460" s="2661"/>
      <c r="G1460" s="2661"/>
      <c r="H1460" s="2661"/>
      <c r="I1460" s="2661"/>
      <c r="J1460" s="2661"/>
      <c r="K1460" s="2661"/>
      <c r="L1460" s="2661"/>
      <c r="M1460" s="2661"/>
      <c r="N1460" s="2661"/>
      <c r="O1460" s="2712" t="s">
        <v>622</v>
      </c>
      <c r="P1460" s="2713" t="str">
        <f>'Part VIII-Threshold Criteria'!P366</f>
        <v>Yes</v>
      </c>
      <c r="Q1460" s="2713">
        <f>'Part VIII-Threshold Criteria'!Q366</f>
        <v>0</v>
      </c>
    </row>
    <row r="1461" spans="1:17">
      <c r="B1461" s="2598" t="s">
        <v>3778</v>
      </c>
      <c r="D1461" s="2598"/>
      <c r="E1461" s="2598"/>
      <c r="F1461" s="2598"/>
      <c r="G1461" s="2598"/>
      <c r="H1461" s="2597"/>
      <c r="I1461" s="2659"/>
      <c r="J1461" s="2659"/>
      <c r="K1461" s="2659"/>
      <c r="L1461" s="2561"/>
      <c r="M1461" s="2561"/>
      <c r="N1461" s="2561"/>
      <c r="O1461" s="2561"/>
      <c r="P1461" s="2561"/>
      <c r="Q1461" s="2561"/>
    </row>
    <row r="1462" spans="1:17" ht="78.75">
      <c r="A1462" s="2661" t="str">
        <f>'Part VIII-Threshold Criteria'!A368</f>
        <v>The BJS Foundation satisfies all criteria regarding non-profit developers.</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4156</v>
      </c>
      <c r="B1466" s="2543" t="s">
        <v>3946</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3948</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4173</v>
      </c>
      <c r="D1468" s="478"/>
      <c r="E1468" s="478"/>
      <c r="F1468" s="478"/>
      <c r="G1468" s="2658">
        <f>'Part VIII-Threshold Criteria'!G374</f>
        <v>0</v>
      </c>
      <c r="H1468" s="2658">
        <f>'Part VIII-Threshold Criteria'!H374</f>
        <v>0</v>
      </c>
      <c r="I1468" s="2658">
        <f>'Part VIII-Threshold Criteria'!I374</f>
        <v>0</v>
      </c>
      <c r="J1468" s="2659" t="s">
        <v>3955</v>
      </c>
      <c r="K1468" s="2658">
        <f>'Part VIII-Threshold Criteria'!K374</f>
        <v>0</v>
      </c>
      <c r="L1468" s="2658">
        <f>'Part VIII-Threshold Criteria'!L374</f>
        <v>0</v>
      </c>
      <c r="M1468" s="2658">
        <f>'Part VIII-Threshold Criteria'!M374</f>
        <v>0</v>
      </c>
      <c r="N1468" s="478" t="s">
        <v>3947</v>
      </c>
      <c r="O1468" s="478"/>
      <c r="P1468" s="2658">
        <f>'Part VIII-Threshold Criteria'!P374</f>
        <v>0</v>
      </c>
      <c r="Q1468" s="2658">
        <f>'Part VIII-Threshold Criteria'!Q374</f>
        <v>0</v>
      </c>
    </row>
    <row r="1469" spans="1:17">
      <c r="A1469" s="2354"/>
      <c r="B1469" s="478" t="s">
        <v>1751</v>
      </c>
      <c r="C1469" s="478" t="s">
        <v>3949</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3950</v>
      </c>
      <c r="D1470" s="2553"/>
      <c r="E1470" s="2626"/>
      <c r="F1470" s="2703" t="str">
        <f>'Part VIII-Threshold Criteria'!F376</f>
        <v>Urban</v>
      </c>
      <c r="G1470" s="2703">
        <f>'Part VIII-Threshold Criteria'!G376</f>
        <v>0</v>
      </c>
      <c r="H1470" s="2591" t="s">
        <v>3951</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3952</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3962</v>
      </c>
      <c r="O1471" s="2702"/>
      <c r="P1471" s="2667">
        <f>'Part VIII-Threshold Criteria'!P377</f>
        <v>0</v>
      </c>
      <c r="Q1471" s="2667">
        <f>'Part VIII-Threshold Criteria'!Q377</f>
        <v>0</v>
      </c>
    </row>
    <row r="1472" spans="1:17">
      <c r="A1472" s="2700"/>
      <c r="B1472" s="478" t="s">
        <v>1561</v>
      </c>
      <c r="C1472" s="478" t="s">
        <v>3953</v>
      </c>
      <c r="D1472" s="2354"/>
      <c r="E1472" s="478"/>
      <c r="F1472" s="2738">
        <f>'Part VIII-Threshold Criteria'!F378</f>
        <v>825000</v>
      </c>
      <c r="G1472" s="2738">
        <f>'Part VIII-Threshold Criteria'!G378</f>
        <v>0</v>
      </c>
      <c r="H1472" s="478" t="s">
        <v>3954</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3956</v>
      </c>
      <c r="D1473" s="2354"/>
      <c r="E1473" s="478"/>
      <c r="F1473" s="478"/>
      <c r="G1473" s="478"/>
      <c r="H1473" s="478" t="s">
        <v>3617</v>
      </c>
      <c r="I1473" s="478"/>
      <c r="J1473" s="2738">
        <f>'Part VIII-Threshold Criteria'!J379</f>
        <v>0</v>
      </c>
      <c r="K1473" s="2738">
        <f>'Part VIII-Threshold Criteria'!K379</f>
        <v>0</v>
      </c>
      <c r="L1473" s="478" t="s">
        <v>3957</v>
      </c>
      <c r="M1473" s="2738">
        <f>'Part VIII-Threshold Criteria'!M379</f>
        <v>0</v>
      </c>
      <c r="N1473" s="2738">
        <f>'Part VIII-Threshold Criteria'!N379</f>
        <v>0</v>
      </c>
      <c r="O1473" s="2354"/>
      <c r="P1473" s="2354"/>
      <c r="Q1473" s="2354"/>
    </row>
    <row r="1474" spans="1:17">
      <c r="A1474" s="2354"/>
      <c r="B1474" s="478" t="s">
        <v>99</v>
      </c>
      <c r="C1474" s="478" t="s">
        <v>3958</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3959</v>
      </c>
      <c r="C1476" s="2354"/>
      <c r="D1476" s="2626"/>
      <c r="E1476" s="2626"/>
      <c r="F1476" s="2626"/>
      <c r="G1476" s="2626"/>
      <c r="H1476" s="2626"/>
      <c r="I1476" s="2354"/>
      <c r="J1476" s="478" t="s">
        <v>3964</v>
      </c>
      <c r="K1476" s="478"/>
      <c r="L1476" s="478"/>
      <c r="M1476" s="478"/>
      <c r="N1476" s="2626" t="s">
        <v>3961</v>
      </c>
      <c r="O1476" s="2626"/>
      <c r="P1476" s="2626"/>
      <c r="Q1476" s="2626"/>
    </row>
    <row r="1477" spans="1:17">
      <c r="A1477" s="2354"/>
      <c r="B1477" s="478" t="s">
        <v>1750</v>
      </c>
      <c r="C1477" s="2597" t="s">
        <v>3960</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3963</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3965</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3778</v>
      </c>
      <c r="D1480" s="2598"/>
      <c r="E1480" s="2598"/>
      <c r="F1480" s="2598"/>
      <c r="G1480" s="2598"/>
      <c r="H1480" s="2597"/>
      <c r="I1480" s="2659"/>
      <c r="J1480" s="2659"/>
      <c r="K1480" s="2659"/>
      <c r="L1480" s="2561"/>
      <c r="M1480" s="2561"/>
      <c r="N1480" s="2561"/>
      <c r="O1480" s="2561"/>
      <c r="P1480" s="2561"/>
      <c r="Q1480" s="2561"/>
    </row>
    <row r="1481" spans="1:17" ht="56.25">
      <c r="A1481" s="2661" t="str">
        <f>'Part VIII-Threshold Criteria'!A387</f>
        <v>Applicant is not selecting a rural set aside.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4157</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3486</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3496</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3724</v>
      </c>
      <c r="G1490" s="2591"/>
      <c r="H1490" s="2591"/>
      <c r="I1490" s="2591"/>
      <c r="J1490" s="2597" t="s">
        <v>3725</v>
      </c>
      <c r="L1490" s="2591"/>
      <c r="M1490" s="2741">
        <f>'Part III-Sources of Funds'!E1105</f>
        <v>0</v>
      </c>
      <c r="N1490" s="2741"/>
      <c r="O1490" s="2702" t="s">
        <v>2131</v>
      </c>
      <c r="P1490" s="2667">
        <f>'Part VIII-Threshold Criteria'!P396</f>
        <v>0</v>
      </c>
      <c r="Q1490" s="2667">
        <f>'Part VIII-Threshold Criteria'!Q396</f>
        <v>0</v>
      </c>
    </row>
    <row r="1491" spans="1:17">
      <c r="B1491" s="2598" t="s">
        <v>3778</v>
      </c>
      <c r="D1491" s="2598"/>
      <c r="E1491" s="2598"/>
      <c r="F1491" s="2598"/>
      <c r="G1491" s="2598"/>
      <c r="H1491" s="2597"/>
      <c r="I1491" s="2659"/>
      <c r="J1491" s="2659"/>
      <c r="K1491" s="2659"/>
      <c r="L1491" s="2561"/>
      <c r="M1491" s="2561"/>
      <c r="N1491" s="2561"/>
      <c r="O1491" s="2561"/>
      <c r="P1491" s="2561"/>
      <c r="Q1491" s="2561"/>
    </row>
    <row r="1492" spans="1:17" ht="22.5">
      <c r="A1492" s="2661" t="str">
        <f>'Part VIII-Threshold Criteria'!A398</f>
        <v>Applicant is not a CHDO</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4158</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f>'Part VIII-Threshold Criteria'!P403</f>
        <v>0</v>
      </c>
      <c r="Q1497" s="2667">
        <f>'Part VIII-Threshold Criteria'!Q403</f>
        <v>0</v>
      </c>
    </row>
    <row r="1498" spans="1:17">
      <c r="A1498" s="2700" t="s">
        <v>2001</v>
      </c>
      <c r="B1498" s="478" t="s">
        <v>3607</v>
      </c>
      <c r="D1498" s="2661"/>
      <c r="E1498" s="2661"/>
      <c r="O1498" s="2702" t="s">
        <v>2001</v>
      </c>
      <c r="P1498" s="2667">
        <f>'Part VIII-Threshold Criteria'!P404</f>
        <v>0</v>
      </c>
      <c r="Q1498" s="2667">
        <f>'Part VIII-Threshold Criteria'!Q404</f>
        <v>0</v>
      </c>
    </row>
    <row r="1499" spans="1:17">
      <c r="A1499" s="2700" t="s">
        <v>757</v>
      </c>
      <c r="B1499" s="478" t="s">
        <v>4121</v>
      </c>
      <c r="D1499" s="2661"/>
      <c r="E1499" s="2661"/>
      <c r="O1499" s="2702" t="s">
        <v>757</v>
      </c>
      <c r="P1499" s="2667" t="str">
        <f>'Part VIII-Threshold Criteria'!P405</f>
        <v>Yes</v>
      </c>
      <c r="Q1499" s="2667">
        <f>'Part VIII-Threshold Criteria'!Q405</f>
        <v>0</v>
      </c>
    </row>
    <row r="1500" spans="1:17">
      <c r="A1500" s="2700" t="s">
        <v>2131</v>
      </c>
      <c r="B1500" s="478" t="s">
        <v>3608</v>
      </c>
      <c r="E1500" s="2686"/>
      <c r="O1500" s="2702" t="s">
        <v>2131</v>
      </c>
      <c r="P1500" s="2667">
        <f>'Part VIII-Threshold Criteria'!P406</f>
        <v>0</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3778</v>
      </c>
      <c r="D1502" s="2598"/>
      <c r="E1502" s="2598"/>
      <c r="F1502" s="2598"/>
      <c r="G1502" s="2598"/>
      <c r="H1502" s="2597"/>
      <c r="I1502" s="2659"/>
      <c r="J1502" s="2659"/>
      <c r="K1502" s="2659"/>
      <c r="L1502" s="2561"/>
      <c r="M1502" s="2561"/>
      <c r="N1502" s="2561"/>
      <c r="O1502" s="2561"/>
      <c r="P1502" s="2561"/>
      <c r="Q1502" s="2561"/>
    </row>
    <row r="1503" spans="1:17" ht="67.5">
      <c r="A1503" s="2661" t="str">
        <f>'Part VIII-Threshold Criteria'!A409</f>
        <v>Applicant provided a legal opinion as to its non-profit status.</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4159</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No</v>
      </c>
      <c r="Q1508" s="2667">
        <f>'Part VIII-Threshold Criteria'!Q414</f>
        <v>0</v>
      </c>
    </row>
    <row r="1509" spans="1:17">
      <c r="A1509" s="2700" t="s">
        <v>2001</v>
      </c>
      <c r="B1509" s="478" t="s">
        <v>3498</v>
      </c>
      <c r="D1509" s="2354"/>
      <c r="E1509" s="2354"/>
      <c r="F1509" s="2354"/>
      <c r="G1509" s="2354"/>
      <c r="H1509" s="2354"/>
      <c r="I1509" s="2354"/>
      <c r="J1509" s="2354"/>
      <c r="K1509" s="2354"/>
      <c r="L1509" s="2354"/>
      <c r="M1509" s="2354"/>
      <c r="N1509" s="2354"/>
      <c r="O1509" s="2702" t="s">
        <v>1458</v>
      </c>
      <c r="P1509" s="2667" t="str">
        <f>'Part VIII-Threshold Criteria'!P415</f>
        <v>No</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3497</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3778</v>
      </c>
      <c r="D1521" s="2598"/>
      <c r="E1521" s="2598"/>
      <c r="F1521" s="2598"/>
      <c r="G1521" s="2598"/>
      <c r="H1521" s="2597"/>
      <c r="I1521" s="2659"/>
      <c r="J1521" s="2659"/>
      <c r="K1521" s="2659"/>
      <c r="P1521" s="2561"/>
      <c r="Q1521" s="2561"/>
    </row>
    <row r="1522" spans="1:17" ht="56.25">
      <c r="A1522" s="2661" t="str">
        <f>'Part VIII-Threshold Criteria'!A428</f>
        <v>Applicant is submitting for new development.</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4160</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3966</v>
      </c>
      <c r="C1527" s="2543"/>
      <c r="D1527" s="2658"/>
      <c r="E1527" s="2664"/>
      <c r="F1527" s="2664"/>
      <c r="G1527" s="2664"/>
      <c r="H1527" s="2664"/>
    </row>
    <row r="1528" spans="1:17" ht="12.75" customHeight="1">
      <c r="A1528" s="2698" t="s">
        <v>1999</v>
      </c>
      <c r="B1528" s="2661" t="s">
        <v>3969</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3967</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3968</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3970</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3971</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3972</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3973</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3974</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3975</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3499</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3778</v>
      </c>
      <c r="D1538" s="2598"/>
      <c r="E1538" s="2598"/>
      <c r="F1538" s="2598"/>
      <c r="G1538" s="2598"/>
      <c r="H1538" s="2597"/>
      <c r="I1538" s="2659"/>
      <c r="J1538" s="2659"/>
      <c r="K1538" s="2659"/>
      <c r="L1538" s="2561"/>
      <c r="M1538" s="2561"/>
      <c r="N1538" s="2561"/>
      <c r="O1538" s="2561"/>
      <c r="P1538" s="2561"/>
      <c r="Q1538" s="2561"/>
    </row>
    <row r="1539" spans="1:17" ht="56.25">
      <c r="A1539" s="2661" t="str">
        <f>'Part VIII-Threshold Criteria'!A445</f>
        <v>Applicant will follow all Fair Housing regulations.</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4161</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3778</v>
      </c>
      <c r="D1544" s="2598"/>
      <c r="E1544" s="2598"/>
      <c r="F1544" s="2598"/>
      <c r="G1544" s="2598"/>
      <c r="H1544" s="2597"/>
      <c r="I1544" s="2659"/>
      <c r="J1544" s="2659"/>
      <c r="K1544" s="2659"/>
      <c r="L1544" s="2561"/>
      <c r="M1544" s="2561"/>
      <c r="N1544" s="2561"/>
      <c r="O1544" s="2561"/>
      <c r="P1544" s="2561"/>
      <c r="Q1544" s="2561"/>
    </row>
    <row r="1545" spans="1:17" ht="90">
      <c r="A1545" s="2661" t="str">
        <f>'Part VIII-Threshold Criteria'!A451</f>
        <v xml:space="preserve">Applicant has selected fewer credits than allowed according to Part IV.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2018-037 Myrtle Terraces Phase 2,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4790</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57</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4791</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3673</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4792</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4192</v>
      </c>
      <c r="D1567" s="478"/>
      <c r="E1567" s="478"/>
      <c r="F1567" s="478"/>
      <c r="G1567" s="2625"/>
      <c r="H1567" s="2356" t="s">
        <v>4792</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3871</v>
      </c>
      <c r="B1568" s="2586"/>
      <c r="C1568" s="2586"/>
      <c r="D1568" s="2586"/>
      <c r="E1568" s="2586"/>
      <c r="F1568" s="2659" t="s">
        <v>4195</v>
      </c>
      <c r="G1568" s="2354"/>
      <c r="H1568" s="2354"/>
      <c r="I1568" s="2354"/>
      <c r="J1568" s="2659" t="s">
        <v>4195</v>
      </c>
      <c r="K1568" s="2659"/>
      <c r="L1568" s="2354"/>
      <c r="M1568" s="2354"/>
      <c r="N1568" s="2354"/>
      <c r="O1568" s="478" t="s">
        <v>4195</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4793</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4196</v>
      </c>
      <c r="B1583" s="478" t="s">
        <v>4197</v>
      </c>
      <c r="C1583" s="478"/>
      <c r="D1583" s="478"/>
      <c r="E1583" s="2473" t="s">
        <v>4226</v>
      </c>
      <c r="F1583" s="478" t="s">
        <v>4225</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135">
      <c r="A1584" s="2761" t="s">
        <v>750</v>
      </c>
      <c r="B1584" s="2762" t="s">
        <v>4198</v>
      </c>
      <c r="C1584" s="2432"/>
      <c r="D1584" s="2432"/>
      <c r="E1584" s="2763">
        <f>'Part IX A-Scoring Criteria'!E30</f>
        <v>10</v>
      </c>
      <c r="F1584" s="2666" t="str">
        <f>'Part IX A-Scoring Criteria'!F30</f>
        <v>Applicant has noted that our community is close to every amenity that Gainesville, GA has to offer, and since the construction of Phase 1, we welcomed the largest Kroger in the Southeastern US.</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4199</v>
      </c>
      <c r="C1585" s="2432"/>
      <c r="D1585" s="2432"/>
      <c r="E1585" s="2763">
        <f>'Part IX A-Scoring Criteria'!E31</f>
        <v>3</v>
      </c>
      <c r="F1585" s="2666" t="str">
        <f>'Part IX A-Scoring Criteria'!F31</f>
        <v>Our consultants at SK Collerbative have been helpful in obtaining the the Enterprise Foundation Green Communities.  Noted above, the score of 45 is the Exceptional score, the base being 35 with 10 additional points.</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4200</v>
      </c>
      <c r="C1586" s="2432"/>
      <c r="D1586" s="2432"/>
      <c r="E1586" s="2763">
        <f>'Part IX A-Scoring Criteria'!E32</f>
        <v>3</v>
      </c>
      <c r="F1586" s="2666" t="str">
        <f>'Part IX A-Scoring Criteria'!F32</f>
        <v>Gainesville High School is the only high school in the City of Gainesville and scores for points.  Also, Gainesville has abundent jobs that help maximize points for the jobs criteria.</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4201</v>
      </c>
      <c r="C1587" s="2432"/>
      <c r="D1587" s="2432"/>
      <c r="E1587" s="2763">
        <f>'Part IX A-Scoring Criteria'!E33</f>
        <v>5</v>
      </c>
      <c r="F1587" s="2666" t="str">
        <f>'Part IX A-Scoring Criteria'!F33</f>
        <v>The 2014 Action Plan which includes a timeline through 2018 has seen tremendous success in improving the targeted areas.  As noted in our letters from the Greater Hall Chamber of Commerce and Gateway Domestic Abuse Shelter, among others, have been actively working over the years to make the 2014 Action Plan a reality.</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4202</v>
      </c>
      <c r="C1588" s="2432"/>
      <c r="D1588" s="2432"/>
      <c r="E1588" s="2764" t="str">
        <f>'Part IX A-Scoring Criteria'!E34</f>
        <v>n/a</v>
      </c>
      <c r="F1588" s="2666" t="str">
        <f>'Part IX A-Scoring Criteria'!F34</f>
        <v>Applicant is not requesting points in this section.</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3817</v>
      </c>
      <c r="C1589" s="2432"/>
      <c r="D1589" s="2432"/>
      <c r="E1589" s="2763">
        <f>'Part IX A-Scoring Criteria'!E35</f>
        <v>0</v>
      </c>
      <c r="F1589" s="2666" t="str">
        <f>'Part IX A-Scoring Criteria'!F35</f>
        <v>Applicant is not requesting points in this section.</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4203</v>
      </c>
      <c r="C1590" s="2432"/>
      <c r="D1590" s="2432"/>
      <c r="E1590" s="2764">
        <f>'Part IX A-Scoring Criteria'!E36</f>
        <v>1</v>
      </c>
      <c r="F1590" s="2666" t="str">
        <f>'Part IX A-Scoring Criteria'!F36</f>
        <v>We have selected Myrtle 2 to get our priority point.</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4514</v>
      </c>
      <c r="B1591" s="2762" t="s">
        <v>4515</v>
      </c>
      <c r="C1591" s="2432"/>
      <c r="D1591" s="2432"/>
      <c r="E1591" s="2764">
        <f>'Part IX A-Scoring Criteria'!E37</f>
        <v>3</v>
      </c>
      <c r="F1591" s="2666" t="str">
        <f>'Part IX A-Scoring Criteria'!F37</f>
        <v>Applicant has noted that we are noting that this is the second phase of a phased development, eligible for 3 points and notes that on our original application submitted we noted on a site plan a future phase.  As a back-up applicant also notes that there has not been a funded tax credit deal within 1 mile over the last 4 years either.</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4149</v>
      </c>
      <c r="B1592" s="2762" t="s">
        <v>4204</v>
      </c>
      <c r="C1592" s="2432"/>
      <c r="D1592" s="2432"/>
      <c r="E1592" s="2763">
        <f>'Part IX A-Scoring Criteria'!E38</f>
        <v>1</v>
      </c>
      <c r="F1592" s="2666" t="str">
        <f>'Part IX A-Scoring Criteria'!F38</f>
        <v>Our GICH letter has been executed by the mayor of Gainesville.</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4150</v>
      </c>
      <c r="B1593" s="2762" t="s">
        <v>4205</v>
      </c>
      <c r="C1593" s="2432"/>
      <c r="D1593" s="2432"/>
      <c r="E1593" s="2763">
        <f>'Part IX A-Scoring Criteria'!E39</f>
        <v>0</v>
      </c>
      <c r="F1593" s="2666" t="str">
        <f>'Part IX A-Scoring Criteria'!F39</f>
        <v>Applicant is not requesting points in this section.</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4148</v>
      </c>
      <c r="B1594" s="2762" t="s">
        <v>4206</v>
      </c>
      <c r="C1594" s="2432"/>
      <c r="D1594" s="2432"/>
      <c r="E1594" s="2763">
        <f>'Part IX A-Scoring Criteria'!E40</f>
        <v>2</v>
      </c>
      <c r="F1594" s="2666" t="str">
        <f>'Part IX A-Scoring Criteria'!F40</f>
        <v>The applicant agrees to accept Section 811 PBRA or other DCA-offerd RA for up to 10% of the units for the purpose of providing Integrated Supportive Housing opportunities</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4151</v>
      </c>
      <c r="B1595" s="2762" t="s">
        <v>4207</v>
      </c>
      <c r="C1595" s="2432"/>
      <c r="D1595" s="2432"/>
      <c r="E1595" s="2764">
        <f>'Part IX A-Scoring Criteria'!E41</f>
        <v>0</v>
      </c>
      <c r="F1595" s="2666" t="str">
        <f>'Part IX A-Scoring Criteria'!F41</f>
        <v>Applicant is not requesting points in this section.</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3615</v>
      </c>
      <c r="I1599" s="2517"/>
      <c r="J1599" s="2769">
        <f>'Part VI-Revenues &amp; Expenses'!$O$60</f>
        <v>76</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3741</v>
      </c>
      <c r="H1601" s="2626"/>
      <c r="I1601" s="2626"/>
      <c r="J1601" s="2626"/>
      <c r="K1601" s="2492" t="s">
        <v>3617</v>
      </c>
      <c r="L1601" s="2492" t="s">
        <v>3618</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3394</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2004</v>
      </c>
      <c r="C1603" s="2777">
        <v>0.2</v>
      </c>
      <c r="D1603" s="2686" t="s">
        <v>3394</v>
      </c>
      <c r="E1603" s="2778"/>
      <c r="F1603" s="2778"/>
      <c r="G1603" s="2778"/>
      <c r="H1603" s="2779">
        <f>'Part IX A-Scoring Criteria'!H49</f>
        <v>16</v>
      </c>
      <c r="I1603" s="2779">
        <f>'Part IX A-Scoring Criteria'!I49</f>
        <v>0</v>
      </c>
      <c r="J1603" s="2778"/>
      <c r="K1603" s="2708">
        <f>'Part IX A-Scoring Criteria'!K49</f>
        <v>0.21052631578947367</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4794</v>
      </c>
      <c r="C1605" s="2778"/>
      <c r="D1605" s="2778"/>
      <c r="E1605" s="2724"/>
      <c r="F1605" s="2778"/>
      <c r="G1605" s="2778"/>
      <c r="H1605" s="2626" t="s">
        <v>3677</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3676</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3990</v>
      </c>
      <c r="D1607" s="2778"/>
      <c r="E1607" s="2781"/>
      <c r="F1607" s="2735"/>
      <c r="G1607" s="2778"/>
      <c r="H1607" s="2778"/>
      <c r="I1607" s="2742"/>
      <c r="J1607" s="2742"/>
      <c r="K1607" s="2742"/>
      <c r="L1607" s="2742"/>
      <c r="M1607" s="2742"/>
      <c r="N1607" s="2773" t="s">
        <v>2004</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4144</v>
      </c>
      <c r="C1611" s="2747"/>
      <c r="D1611" s="2783"/>
      <c r="E1611" s="2747"/>
      <c r="F1611" s="2747"/>
      <c r="G1611" s="2747"/>
      <c r="H1611" s="2747"/>
      <c r="I1611" s="2517" t="s">
        <v>3794</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3883</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4795</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3872</v>
      </c>
      <c r="C1615" s="2747"/>
      <c r="D1615" s="2783"/>
      <c r="E1615" s="2747"/>
      <c r="F1615" s="2788"/>
      <c r="G1615" s="2356" t="s">
        <v>4022</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3779</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225">
      <c r="A1617" s="2661" t="str">
        <f>'Part IX A-Scoring Criteria'!A63</f>
        <v>Applicant has noted that our community is close to every amenity that Gainesville, GA has to offer, and since the construction of Phase 1, we welcomed the largest Kroger in the Southeastern US.</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3</v>
      </c>
      <c r="P1621" s="2746">
        <f>'Part IX A-Scoring Criteria'!P67</f>
        <v>0</v>
      </c>
      <c r="Q1621" s="2562" t="s">
        <v>443</v>
      </c>
      <c r="R1621" s="2790" t="s">
        <v>4796</v>
      </c>
      <c r="S1621" s="2790"/>
      <c r="T1621" s="2790"/>
      <c r="U1621" s="2790"/>
      <c r="V1621" s="2747"/>
      <c r="W1621" s="2747"/>
      <c r="X1621" s="2747"/>
      <c r="Y1621" s="2747"/>
      <c r="Z1621" s="2747"/>
    </row>
    <row r="1622" spans="1:26" ht="15">
      <c r="A1622" s="2748"/>
      <c r="B1622" s="2555" t="s">
        <v>3993</v>
      </c>
      <c r="C1622" s="2747"/>
      <c r="D1622" s="2783"/>
      <c r="E1622" s="2747"/>
      <c r="F1622" s="2747"/>
      <c r="G1622" s="2747"/>
      <c r="H1622" s="2569" t="s">
        <v>2812</v>
      </c>
      <c r="I1622" s="2604"/>
      <c r="J1622" s="2569" t="str">
        <f>'Part I-Project Information'!$H$100</f>
        <v>Flexible</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2002</v>
      </c>
      <c r="C1623" s="1156" t="s">
        <v>3619</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3991</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3992</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4000</v>
      </c>
      <c r="C1627" s="2747"/>
      <c r="D1627" s="2783"/>
      <c r="E1627" s="2747"/>
      <c r="F1627" s="2555" t="s">
        <v>3742</v>
      </c>
      <c r="G1627" s="2555"/>
      <c r="H1627" s="2555"/>
      <c r="I1627" s="2555"/>
      <c r="J1627" s="2555" t="s">
        <v>3743</v>
      </c>
      <c r="K1627" s="2555"/>
      <c r="L1627" s="2555"/>
      <c r="M1627" s="2555"/>
      <c r="N1627" s="2702"/>
      <c r="O1627" s="2518" t="s">
        <v>4797</v>
      </c>
      <c r="P1627" s="2793"/>
      <c r="Q1627" s="2562"/>
      <c r="R1627" s="2790"/>
      <c r="S1627" s="2790"/>
      <c r="T1627" s="2790"/>
      <c r="U1627" s="2790"/>
      <c r="V1627" s="2747"/>
      <c r="W1627" s="2747"/>
      <c r="X1627" s="2747"/>
      <c r="Y1627" s="2747"/>
      <c r="Z1627" s="2747"/>
    </row>
    <row r="1628" spans="1:26" ht="15">
      <c r="A1628" s="2748"/>
      <c r="B1628" s="2747"/>
      <c r="C1628" s="2555" t="s">
        <v>3999</v>
      </c>
      <c r="D1628" s="2439"/>
      <c r="E1628" s="2362"/>
      <c r="F1628" s="2366">
        <f>'Part IX A-Scoring Criteria'!F74</f>
        <v>34.300818</v>
      </c>
      <c r="G1628" s="2366">
        <f>'Part IX A-Scoring Criteria'!G74</f>
        <v>0</v>
      </c>
      <c r="H1628" s="2366">
        <f>'Part IX A-Scoring Criteria'!H74</f>
        <v>0</v>
      </c>
      <c r="I1628" s="2366">
        <f>'Part IX A-Scoring Criteria'!I74</f>
        <v>0</v>
      </c>
      <c r="J1628" s="2366">
        <f>'Part IX A-Scoring Criteria'!J74</f>
        <v>-83.807621999999995</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4001</v>
      </c>
      <c r="E1629" s="2362"/>
      <c r="F1629" s="2366">
        <f>'Part IX A-Scoring Criteria'!F75</f>
        <v>34.301380000000002</v>
      </c>
      <c r="G1629" s="2366">
        <f>'Part IX A-Scoring Criteria'!G75</f>
        <v>0</v>
      </c>
      <c r="H1629" s="2366">
        <f>'Part IX A-Scoring Criteria'!H75</f>
        <v>0</v>
      </c>
      <c r="I1629" s="2366">
        <f>'Part IX A-Scoring Criteria'!I75</f>
        <v>0</v>
      </c>
      <c r="J1629" s="2366">
        <f>'Part IX A-Scoring Criteria'!J75</f>
        <v>-83.807608000000002</v>
      </c>
      <c r="K1629" s="2366">
        <f>'Part IX A-Scoring Criteria'!K75</f>
        <v>0</v>
      </c>
      <c r="L1629" s="2366">
        <f>'Part IX A-Scoring Criteria'!L75</f>
        <v>0</v>
      </c>
      <c r="M1629" s="2366">
        <f>'Part IX A-Scoring Criteria'!M75</f>
        <v>0</v>
      </c>
      <c r="N1629" s="2702"/>
      <c r="O1629" s="2794">
        <f>'Part IX A-Scoring Criteria'!O75</f>
        <v>0.05</v>
      </c>
      <c r="P1629" s="2794">
        <f>'Part IX A-Scoring Criteria'!P75</f>
        <v>0</v>
      </c>
      <c r="Q1629" s="2562"/>
      <c r="R1629" s="2790"/>
      <c r="S1629" s="2790"/>
      <c r="T1629" s="2790"/>
      <c r="U1629" s="2790"/>
      <c r="V1629" s="2747"/>
      <c r="W1629" s="2747"/>
      <c r="X1629" s="2747"/>
      <c r="Y1629" s="2747"/>
      <c r="Z1629" s="2747"/>
    </row>
    <row r="1630" spans="1:26" ht="15" customHeight="1">
      <c r="A1630" s="2652" t="s">
        <v>4191</v>
      </c>
      <c r="B1630" s="2652"/>
      <c r="C1630" s="2555" t="s">
        <v>4142</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4140</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4798</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3772</v>
      </c>
      <c r="C1634" s="2747"/>
      <c r="D1634" s="2783"/>
      <c r="E1634" s="2747"/>
      <c r="F1634" s="2766" t="s">
        <v>4799</v>
      </c>
      <c r="G1634" s="2747"/>
      <c r="H1634" s="2747"/>
      <c r="I1634" s="2797" t="s">
        <v>4800</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4801</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4802</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3773</v>
      </c>
      <c r="D1637" s="2686"/>
      <c r="E1637" s="2686"/>
      <c r="F1637" s="2686"/>
      <c r="G1637" s="2702" t="s">
        <v>4139</v>
      </c>
      <c r="H1637" s="2694" t="str">
        <f>'Part I-Project Information'!$H$78</f>
        <v>HFOP</v>
      </c>
      <c r="I1637" s="2432" t="str">
        <f>'Part IX A-Scoring Criteria'!I83</f>
        <v>Gainesville Connection</v>
      </c>
      <c r="J1637" s="2432">
        <f>'Part IX A-Scoring Criteria'!J83</f>
        <v>0</v>
      </c>
      <c r="K1637" s="2432">
        <f>'Part IX A-Scoring Criteria'!K83</f>
        <v>0</v>
      </c>
      <c r="L1637" s="2801" t="str">
        <f>'Part IX A-Scoring Criteria'!L83</f>
        <v>770-503-3333</v>
      </c>
      <c r="M1637" s="2800">
        <v>1</v>
      </c>
      <c r="N1637" s="2792" t="s">
        <v>2551</v>
      </c>
      <c r="O1637" s="2785">
        <f>'Part IX A-Scoring Criteria'!O83</f>
        <v>0</v>
      </c>
      <c r="P1637" s="2785">
        <f>'Part IX A-Scoring Criteria'!P83</f>
        <v>0</v>
      </c>
      <c r="Q1637" s="2786" t="str">
        <f>IF(OR($O1637=$M1637,$O1637=0,$O1637=""),"","*CHECK!*")</f>
        <v/>
      </c>
      <c r="R1637" s="2787" t="s">
        <v>2724</v>
      </c>
      <c r="S1637" s="2798"/>
      <c r="T1637" s="2798"/>
      <c r="U1637" s="2798"/>
      <c r="V1637" s="2798"/>
      <c r="W1637" s="2798"/>
      <c r="X1637" s="2798"/>
      <c r="Y1637" s="2798"/>
      <c r="Z1637" s="2798"/>
    </row>
    <row r="1638" spans="1:26" ht="15">
      <c r="A1638" s="2701" t="s">
        <v>2001</v>
      </c>
      <c r="B1638" s="2802" t="s">
        <v>3774</v>
      </c>
      <c r="C1638" s="1327"/>
      <c r="D1638" s="1327"/>
      <c r="E1638" s="1327"/>
      <c r="F1638" s="2803" t="s">
        <v>4803</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3</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4804</v>
      </c>
      <c r="D1639" s="2626"/>
      <c r="E1639" s="2626"/>
      <c r="F1639" s="2626"/>
      <c r="G1639" s="2626"/>
      <c r="H1639" s="2626"/>
      <c r="I1639" s="2432" t="str">
        <f>'Part IX A-Scoring Criteria'!I85</f>
        <v>https://www.gainesville.org/fullpanel/uploads/files/senior-life-center-info-flyer.pdf</v>
      </c>
      <c r="J1639" s="2432">
        <f>'Part IX A-Scoring Criteria'!J85</f>
        <v>0</v>
      </c>
      <c r="K1639" s="2432">
        <f>'Part IX A-Scoring Criteria'!K85</f>
        <v>0</v>
      </c>
      <c r="L1639" s="2432">
        <f>'Part IX A-Scoring Criteria'!L85</f>
        <v>0</v>
      </c>
      <c r="M1639" s="2800">
        <v>3</v>
      </c>
      <c r="N1639" s="2792" t="s">
        <v>2002</v>
      </c>
      <c r="O1639" s="2785">
        <f>'Part IX A-Scoring Criteria'!O85</f>
        <v>3</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4805</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4806</v>
      </c>
      <c r="D1641" s="2661"/>
      <c r="E1641" s="2661"/>
      <c r="F1641" s="2661"/>
      <c r="G1641" s="2661"/>
      <c r="H1641" s="2661"/>
      <c r="I1641" s="2432" t="str">
        <f>'Part IX A-Scoring Criteria'!I87</f>
        <v>https://www.gainesville.org/fullpanel/uploads/files/seniorcenterbusroutemap.pdf</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IF(OR($O1641=$M1641,$O1641=0,$O1641=""),"","*CHECK!*")</f>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4807</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4808</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4809</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Enterprise Foundation Green Communities</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4003</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4008</v>
      </c>
      <c r="D1653" s="2810"/>
      <c r="E1653" s="2810"/>
      <c r="F1653" s="2810"/>
      <c r="G1653" s="2810"/>
      <c r="H1653" s="2810"/>
      <c r="I1653" s="2746">
        <f>'Part IX A-Scoring Criteria'!I99</f>
        <v>45</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4009</v>
      </c>
      <c r="D1654" s="2810"/>
      <c r="E1654" s="2810"/>
      <c r="F1654" s="2810"/>
      <c r="G1654" s="2810"/>
      <c r="H1654" s="2810"/>
      <c r="I1654" s="2746">
        <f>'Part IX A-Scoring Criteria'!I100</f>
        <v>64</v>
      </c>
      <c r="J1654" s="2746">
        <f>'Part IX A-Scoring Criteria'!J100</f>
        <v>0</v>
      </c>
      <c r="K1654" s="2601"/>
      <c r="L1654" s="2810"/>
      <c r="M1654" s="2810"/>
      <c r="N1654" s="2810"/>
      <c r="O1654" s="2810" t="s">
        <v>4017</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4810</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0</v>
      </c>
      <c r="P1657" s="2785">
        <f>'Part IX A-Scoring Criteria'!P103</f>
        <v>0</v>
      </c>
      <c r="Q1657" s="2786" t="str">
        <f>IF(OR($O1657=$M1657,$O1657=0,$O1657=""),"","*CHECK!*")</f>
        <v/>
      </c>
      <c r="R1657" s="2787" t="s">
        <v>2724</v>
      </c>
    </row>
    <row r="1658" spans="1:26" ht="13.5" customHeight="1">
      <c r="A1658" s="2580" t="s">
        <v>757</v>
      </c>
      <c r="B1658" s="2569" t="s">
        <v>4811</v>
      </c>
      <c r="D1658" s="2354"/>
      <c r="E1658" s="2354"/>
      <c r="F1658" s="2354"/>
      <c r="K1658" s="2524"/>
      <c r="L1658" s="2524"/>
      <c r="M1658" s="2800">
        <v>3</v>
      </c>
      <c r="N1658" s="2702" t="s">
        <v>757</v>
      </c>
      <c r="O1658" s="2785">
        <f>'Part IX A-Scoring Criteria'!O104</f>
        <v>3</v>
      </c>
      <c r="P1658" s="2785">
        <f>'Part IX A-Scoring Criteria'!P104</f>
        <v>0</v>
      </c>
      <c r="Q1658" s="2786" t="str">
        <f>IF(OR($O1658=$M1658,$O1658=0,$O1658=""),"","*CHECK!*")</f>
        <v/>
      </c>
      <c r="R1658" s="2787" t="s">
        <v>2724</v>
      </c>
    </row>
    <row r="1659" spans="1:26" ht="13.5" customHeight="1">
      <c r="A1659" s="2580" t="s">
        <v>2131</v>
      </c>
      <c r="B1659" s="2569" t="s">
        <v>3803</v>
      </c>
      <c r="D1659" s="2354"/>
      <c r="E1659" s="2354"/>
      <c r="F1659" s="478" t="s">
        <v>4019</v>
      </c>
      <c r="J1659" s="2562" t="str">
        <f>'Part IX A-Scoring Criteria'!J105</f>
        <v>&lt;Select &gt;</v>
      </c>
      <c r="K1659" s="2524"/>
      <c r="L1659" s="2524"/>
      <c r="M1659" s="2800">
        <v>1</v>
      </c>
      <c r="N1659" s="2702" t="s">
        <v>2131</v>
      </c>
      <c r="O1659" s="2785">
        <f>'Part IX A-Scoring Criteria'!O105</f>
        <v>0</v>
      </c>
      <c r="P1659" s="2785">
        <f>'Part IX A-Scoring Criteria'!P105</f>
        <v>0</v>
      </c>
      <c r="Q1659" s="2786" t="str">
        <f>IF(OR($O1659=$M1659,$O1659=0,$O1659=""),"","*CHECK!*")</f>
        <v/>
      </c>
      <c r="R1659" s="2787" t="s">
        <v>2724</v>
      </c>
    </row>
    <row r="1660" spans="1:26" ht="15">
      <c r="A1660" s="2354"/>
      <c r="B1660" s="2766" t="s">
        <v>3779</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255">
      <c r="A1661" s="2432" t="str">
        <f>'Part IX A-Scoring Criteria'!A107</f>
        <v>Our consultants at SK Collerbative have been helpful in obtaining the the Enterprise Foundation Green Communities.  Noted above, the score of 45 is the Exceptional score, the base being 35 with 10 additional points.</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4020</v>
      </c>
      <c r="C1665" s="2747"/>
      <c r="D1665" s="478"/>
      <c r="E1665" s="478"/>
      <c r="F1665" s="2562"/>
      <c r="G1665" s="2562"/>
      <c r="H1665" s="2562"/>
      <c r="I1665" s="2796" t="s">
        <v>4798</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4021</v>
      </c>
      <c r="C1667" s="2765"/>
      <c r="D1667" s="2783"/>
      <c r="E1667" s="1156" t="s">
        <v>4146</v>
      </c>
      <c r="F1667" s="2747"/>
      <c r="G1667" s="2694"/>
      <c r="H1667" s="2747"/>
      <c r="I1667" s="2702" t="s">
        <v>4139</v>
      </c>
      <c r="J1667" s="2694" t="str">
        <f>'Part I-Project Information'!$H$78</f>
        <v>HFOP</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4023</v>
      </c>
      <c r="C1669" s="2765"/>
      <c r="D1669" s="2812"/>
      <c r="E1669" s="2406" t="s">
        <v>4254</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4176</v>
      </c>
      <c r="C1670" s="2597"/>
      <c r="D1670" s="2730"/>
      <c r="E1670" s="2730"/>
      <c r="F1670" s="2730"/>
      <c r="G1670" s="478"/>
      <c r="H1670" s="2816" t="str">
        <f>'Part IX A-Scoring Criteria'!H116</f>
        <v>Partner-provided</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157.5">
      <c r="A1671" s="2700"/>
      <c r="B1671" s="478"/>
      <c r="C1671" s="2817" t="s">
        <v>4177</v>
      </c>
      <c r="D1671" s="2626" t="str">
        <f>'Part IX A-Scoring Criteria'!D117</f>
        <v>DPH's Online Analytical Statistics Information System &amp; Northeast Georgia Medical Center 2016 report for Community Health Needs Assessment (CHNA)</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4024</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4025</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4812</v>
      </c>
      <c r="D1675" s="2356" t="s">
        <v>4147</v>
      </c>
      <c r="E1675" s="2765"/>
      <c r="F1675" s="478"/>
      <c r="G1675" s="478"/>
      <c r="H1675" s="2517" t="str">
        <f>'Part IX A-Scoring Criteria'!H121</f>
        <v>Brenau University</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4028</v>
      </c>
      <c r="D1676" s="2765"/>
      <c r="E1676" s="478"/>
      <c r="F1676" s="478"/>
      <c r="G1676" s="478"/>
      <c r="H1676" s="2765"/>
      <c r="I1676" s="2765"/>
      <c r="J1676" s="2765"/>
      <c r="K1676" s="2765"/>
      <c r="L1676" s="2765"/>
      <c r="M1676" s="2553"/>
      <c r="N1676" s="2712" t="s">
        <v>3808</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4029</v>
      </c>
      <c r="D1677" s="478"/>
      <c r="E1677" s="478"/>
      <c r="F1677" s="478"/>
      <c r="G1677" s="478"/>
      <c r="H1677" s="478"/>
      <c r="I1677" s="478"/>
      <c r="J1677" s="478"/>
      <c r="K1677" s="478"/>
      <c r="L1677" s="478"/>
      <c r="M1677" s="2659"/>
      <c r="N1677" s="2702" t="s">
        <v>3809</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4174</v>
      </c>
      <c r="D1678" s="1156"/>
      <c r="E1678" s="478"/>
      <c r="F1678" s="478"/>
      <c r="G1678" s="478"/>
      <c r="H1678" s="1156"/>
      <c r="I1678" s="1156"/>
      <c r="J1678" s="1156"/>
      <c r="K1678" s="1156"/>
      <c r="L1678" s="2724" t="s">
        <v>3845</v>
      </c>
      <c r="M1678" s="2724"/>
      <c r="N1678" s="2724"/>
      <c r="O1678" s="2724" t="s">
        <v>3844</v>
      </c>
      <c r="P1678" s="2724"/>
      <c r="Q1678" s="478"/>
      <c r="R1678" s="1156"/>
      <c r="S1678" s="1156"/>
      <c r="T1678" s="1156"/>
      <c r="U1678" s="1156"/>
      <c r="V1678" s="1156"/>
      <c r="W1678" s="1156"/>
      <c r="X1678" s="1156"/>
      <c r="Y1678" s="1156"/>
      <c r="Z1678" s="1156"/>
    </row>
    <row r="1679" spans="1:26" ht="45">
      <c r="A1679" s="2700"/>
      <c r="B1679" s="2702"/>
      <c r="C1679" s="2661" t="str">
        <f>'Part IX A-Scoring Criteria'!C125</f>
        <v>Screening for disease such as high blood pressure</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ht="33.75">
      <c r="A1680" s="2700"/>
      <c r="B1680" s="2712"/>
      <c r="C1680" s="2661" t="str">
        <f>'Part IX A-Scoring Criteria'!C126</f>
        <v>Health Risk Assessments</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0</v>
      </c>
      <c r="P1680" s="2820">
        <f>'Part IX A-Scoring Criteria'!P126</f>
        <v>0</v>
      </c>
      <c r="Q1680" s="2658" t="str">
        <f>IF(O1680&gt;15, "Too much!","")</f>
        <v/>
      </c>
      <c r="R1680" s="1156"/>
      <c r="S1680" s="1156"/>
      <c r="T1680" s="1156"/>
      <c r="U1680" s="1156"/>
      <c r="V1680" s="1156"/>
      <c r="W1680" s="1156"/>
      <c r="X1680" s="1156"/>
      <c r="Y1680" s="1156"/>
      <c r="Z1680" s="1156"/>
    </row>
    <row r="1681" spans="1:26" ht="22.5">
      <c r="A1681" s="2700"/>
      <c r="B1681" s="2702"/>
      <c r="C1681" s="2661" t="str">
        <f>'Part IX A-Scoring Criteria'!C127</f>
        <v>Biometric Screenings</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10</v>
      </c>
      <c r="P1681" s="2820">
        <f>'Part IX A-Scoring Criteria'!P127</f>
        <v>0</v>
      </c>
      <c r="Q1681" s="2658" t="str">
        <f>IF(O1681&gt;15, "Too much!","")</f>
        <v/>
      </c>
      <c r="R1681" s="1156"/>
      <c r="S1681" s="1156"/>
      <c r="T1681" s="1156"/>
      <c r="U1681" s="1156"/>
      <c r="V1681" s="1156"/>
      <c r="W1681" s="1156"/>
      <c r="X1681" s="1156"/>
      <c r="Y1681" s="1156"/>
      <c r="Z1681" s="1156"/>
    </row>
    <row r="1682" spans="1:26" ht="33.75">
      <c r="A1682" s="2700"/>
      <c r="B1682" s="2702"/>
      <c r="C1682" s="2661" t="str">
        <f>'Part IX A-Scoring Criteria'!C128</f>
        <v>Classes in Healthy Aging</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monthly</v>
      </c>
      <c r="M1682" s="2686">
        <f>'Part IX A-Scoring Criteria'!M128</f>
        <v>0</v>
      </c>
      <c r="N1682" s="2686">
        <f>'Part IX A-Scoring Criteria'!N128</f>
        <v>0</v>
      </c>
      <c r="O1682" s="2820">
        <f>'Part IX A-Scoring Criteria'!O128</f>
        <v>0</v>
      </c>
      <c r="P1682" s="2820">
        <f>'Part IX A-Scoring Criteria'!P128</f>
        <v>0</v>
      </c>
      <c r="Q1682" s="2658" t="str">
        <f>IF(O1682&gt;15, "Too much!","")</f>
        <v/>
      </c>
      <c r="R1682" s="1156"/>
      <c r="S1682" s="1156"/>
      <c r="T1682" s="1156"/>
      <c r="U1682" s="1156"/>
      <c r="V1682" s="1156"/>
      <c r="W1682" s="1156"/>
      <c r="X1682" s="1156"/>
      <c r="Y1682" s="1156"/>
      <c r="Z1682" s="1156"/>
    </row>
    <row r="1683" spans="1:26" ht="15">
      <c r="A1683" s="2765"/>
      <c r="B1683" s="2818"/>
      <c r="C1683" s="478" t="s">
        <v>4813</v>
      </c>
      <c r="D1683" s="478" t="s">
        <v>4030</v>
      </c>
      <c r="E1683" s="478"/>
      <c r="F1683" s="478"/>
      <c r="G1683" s="478"/>
      <c r="H1683" s="2765"/>
      <c r="I1683" s="2765"/>
      <c r="J1683" s="2765"/>
      <c r="K1683" s="2765"/>
      <c r="L1683" s="2765"/>
      <c r="M1683" s="2765"/>
      <c r="N1683" s="2712" t="s">
        <v>3808</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4031</v>
      </c>
      <c r="E1684" s="478"/>
      <c r="F1684" s="478"/>
      <c r="G1684" s="478"/>
      <c r="H1684" s="2765"/>
      <c r="I1684" s="2765"/>
      <c r="J1684" s="2765"/>
      <c r="K1684" s="2765"/>
      <c r="L1684" s="2765"/>
      <c r="M1684" s="2553"/>
      <c r="N1684" s="2702" t="s">
        <v>3809</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4179</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4208</v>
      </c>
      <c r="D1686" s="2700"/>
      <c r="E1686" s="2700"/>
      <c r="F1686" s="2700"/>
      <c r="G1686" s="2667" t="str">
        <f>'Part IX A-Scoring Criteria'!G132</f>
        <v>Yes</v>
      </c>
      <c r="H1686" s="2667">
        <f>'Part IX A-Scoring Criteria'!H132</f>
        <v>0</v>
      </c>
      <c r="I1686" s="2597" t="s">
        <v>4211</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4209</v>
      </c>
      <c r="D1687" s="2700"/>
      <c r="E1687" s="2700"/>
      <c r="F1687" s="2700"/>
      <c r="G1687" s="2667" t="str">
        <f>'Part IX A-Scoring Criteria'!G133</f>
        <v>Yes</v>
      </c>
      <c r="H1687" s="2667">
        <f>'Part IX A-Scoring Criteria'!H133</f>
        <v>0</v>
      </c>
      <c r="I1687" s="478" t="s">
        <v>4212</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4210</v>
      </c>
      <c r="D1688" s="2700"/>
      <c r="E1688" s="2700"/>
      <c r="F1688" s="2700"/>
      <c r="G1688" s="2667" t="str">
        <f>'Part IX A-Scoring Criteria'!G134</f>
        <v>Yes</v>
      </c>
      <c r="H1688" s="2667">
        <f>'Part IX A-Scoring Criteria'!H134</f>
        <v>0</v>
      </c>
      <c r="I1688" s="2597" t="s">
        <v>4213</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3846</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4032</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4814</v>
      </c>
      <c r="D1693" s="2730"/>
      <c r="E1693" s="2730"/>
      <c r="F1693" s="2730"/>
      <c r="G1693" s="2597" t="s">
        <v>4034</v>
      </c>
      <c r="H1693" s="478"/>
      <c r="I1693" s="2730"/>
      <c r="J1693" s="2730"/>
      <c r="K1693" s="2730"/>
      <c r="L1693" s="2730"/>
      <c r="M1693" s="2702" t="s">
        <v>2451</v>
      </c>
      <c r="N1693" s="2702" t="s">
        <v>3808</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4035</v>
      </c>
      <c r="H1694" s="478"/>
      <c r="I1694" s="2730"/>
      <c r="J1694" s="2730"/>
      <c r="K1694" s="2730"/>
      <c r="L1694" s="2730"/>
      <c r="M1694" s="2659"/>
      <c r="N1694" s="2712" t="s">
        <v>3809</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4036</v>
      </c>
      <c r="H1695" s="478"/>
      <c r="I1695" s="2730"/>
      <c r="J1695" s="2730"/>
      <c r="K1695" s="2730"/>
      <c r="L1695" s="2730"/>
      <c r="M1695" s="2659"/>
      <c r="N1695" s="2702" t="s">
        <v>3810</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4037</v>
      </c>
      <c r="H1696" s="478"/>
      <c r="I1696" s="2730"/>
      <c r="J1696" s="2730"/>
      <c r="K1696" s="2730"/>
      <c r="L1696" s="2730"/>
      <c r="M1696" s="2659"/>
      <c r="N1696" s="2702" t="s">
        <v>3812</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4038</v>
      </c>
      <c r="H1697" s="478"/>
      <c r="I1697" s="2730"/>
      <c r="J1697" s="2730"/>
      <c r="K1697" s="2730"/>
      <c r="L1697" s="2730"/>
      <c r="M1697" s="2659"/>
      <c r="N1697" s="2712" t="s">
        <v>3813</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4815</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3861</v>
      </c>
      <c r="D1699" s="1156"/>
      <c r="E1699" s="478"/>
      <c r="F1699" s="478"/>
      <c r="G1699" s="1156" t="s">
        <v>4180</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12.5">
      <c r="A1700" s="2700"/>
      <c r="B1700" s="2702"/>
      <c r="C1700" s="2661" t="str">
        <f>'Part IX A-Scoring Criteria'!C146</f>
        <v>Gardening Club - Using foods from the garden</v>
      </c>
      <c r="D1700" s="2661">
        <f>'Part IX A-Scoring Criteria'!D146</f>
        <v>0</v>
      </c>
      <c r="E1700" s="2661">
        <f>'Part IX A-Scoring Criteria'!E146</f>
        <v>0</v>
      </c>
      <c r="F1700" s="2661">
        <f>'Part IX A-Scoring Criteria'!F146</f>
        <v>0</v>
      </c>
      <c r="G1700" s="2661" t="str">
        <f>'Part IX A-Scoring Criteria'!G146</f>
        <v>Course will go over not only growing fresh foods but also how to incorporate them in healthy meals.</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12.5">
      <c r="A1701" s="2700"/>
      <c r="B1701" s="2712"/>
      <c r="C1701" s="2661" t="str">
        <f>'Part IX A-Scoring Criteria'!C147</f>
        <v xml:space="preserve">Food Talk </v>
      </c>
      <c r="D1701" s="2661">
        <f>'Part IX A-Scoring Criteria'!D147</f>
        <v>0</v>
      </c>
      <c r="E1701" s="2661">
        <f>'Part IX A-Scoring Criteria'!E147</f>
        <v>0</v>
      </c>
      <c r="F1701" s="2661">
        <f>'Part IX A-Scoring Criteria'!F147</f>
        <v>0</v>
      </c>
      <c r="G1701" s="2661" t="str">
        <f>'Part IX A-Scoring Criteria'!G147</f>
        <v>It is designed to teach limited-resource adults with children how to make healthy food and lifestyle choices</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4216</v>
      </c>
      <c r="B1702" s="2517"/>
      <c r="C1702" s="2661" t="str">
        <f>'Part IX A-Scoring Criteria'!C148</f>
        <v>Expanded Food and Nutrition Education Program (EFNEP)</v>
      </c>
      <c r="D1702" s="2661">
        <f>'Part IX A-Scoring Criteria'!D148</f>
        <v>0</v>
      </c>
      <c r="E1702" s="2661">
        <f>'Part IX A-Scoring Criteria'!E148</f>
        <v>0</v>
      </c>
      <c r="F1702" s="2661">
        <f>'Part IX A-Scoring Criteria'!F148</f>
        <v>0</v>
      </c>
      <c r="G1702" s="2661" t="str">
        <f>'Part IX A-Scoring Criteria'!G148</f>
        <v>The program’s mission is to improve the nutritional health of vulnerable populations. EFNEP focuses on four core areas - diet quality and physical activity, food resource management, household food safety, and food security - to help participants achieve a nutritionally sound diet.</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ht="78.75">
      <c r="A1703" s="2517"/>
      <c r="B1703" s="2517"/>
      <c r="C1703" s="2661" t="str">
        <f>'Part IX A-Scoring Criteria'!C149</f>
        <v>Local Food Banks</v>
      </c>
      <c r="D1703" s="2661">
        <f>'Part IX A-Scoring Criteria'!D149</f>
        <v>0</v>
      </c>
      <c r="E1703" s="2661">
        <f>'Part IX A-Scoring Criteria'!E149</f>
        <v>0</v>
      </c>
      <c r="F1703" s="2661">
        <f>'Part IX A-Scoring Criteria'!F149</f>
        <v>0</v>
      </c>
      <c r="G1703" s="2661" t="str">
        <f>'Part IX A-Scoring Criteria'!G149</f>
        <v>Work with local food banks to provide healty food for at risk residents.</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4002</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4042</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3855</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4816</v>
      </c>
      <c r="C1712" s="2661"/>
      <c r="D1712" s="2661"/>
      <c r="E1712" s="478" t="s">
        <v>3852</v>
      </c>
      <c r="F1712" s="2765"/>
      <c r="G1712" s="478"/>
      <c r="H1712" s="2765"/>
      <c r="I1712" s="2626" t="str">
        <f>'Part IX A-Scoring Criteria'!I158</f>
        <v>Gainesville City Schools</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3854</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HFOP</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3850</v>
      </c>
      <c r="I1715" s="2626" t="s">
        <v>3895</v>
      </c>
      <c r="J1715" s="2626"/>
      <c r="K1715" s="2626"/>
      <c r="L1715" s="2626"/>
      <c r="M1715" s="2434" t="s">
        <v>3849</v>
      </c>
      <c r="N1715" s="2434"/>
      <c r="O1715" s="2434" t="s">
        <v>3853</v>
      </c>
      <c r="P1715" s="2434"/>
      <c r="Q1715" s="2626"/>
      <c r="R1715" s="2747"/>
      <c r="S1715" s="2747"/>
      <c r="T1715" s="2747"/>
      <c r="U1715" s="2747"/>
      <c r="V1715" s="2747"/>
      <c r="W1715" s="2747"/>
      <c r="X1715" s="2747"/>
      <c r="Y1715" s="2747"/>
      <c r="Z1715" s="2747"/>
    </row>
    <row r="1716" spans="1:26" ht="23.25">
      <c r="A1716" s="2580"/>
      <c r="B1716" s="2825" t="s">
        <v>3847</v>
      </c>
      <c r="C1716" s="2591"/>
      <c r="D1716" s="2356" t="s">
        <v>4817</v>
      </c>
      <c r="E1716" s="2356"/>
      <c r="F1716" s="2356"/>
      <c r="G1716" s="2685" t="s">
        <v>3419</v>
      </c>
      <c r="H1716" s="2669"/>
      <c r="I1716" s="2711">
        <v>2014</v>
      </c>
      <c r="J1716" s="2711">
        <v>2015</v>
      </c>
      <c r="K1716" s="2711">
        <v>2016</v>
      </c>
      <c r="L1716" s="2711">
        <v>2017</v>
      </c>
      <c r="M1716" s="2434"/>
      <c r="N1716" s="2434"/>
      <c r="O1716" s="2434"/>
      <c r="P1716" s="2434"/>
      <c r="Q1716" s="2826" t="s">
        <v>3848</v>
      </c>
      <c r="R1716" s="2826"/>
      <c r="S1716" s="2747"/>
      <c r="T1716" s="2747"/>
      <c r="U1716" s="2747"/>
      <c r="V1716" s="2747"/>
      <c r="W1716" s="2747"/>
      <c r="X1716" s="2747"/>
      <c r="Y1716" s="2747"/>
      <c r="Z1716" s="2747"/>
    </row>
    <row r="1717" spans="1:26" ht="15">
      <c r="A1717" s="2702" t="s">
        <v>2451</v>
      </c>
      <c r="B1717" s="2633" t="s">
        <v>4041</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15">
      <c r="A1718" s="2712" t="s">
        <v>2452</v>
      </c>
      <c r="B1718" s="2633" t="s">
        <v>4217</v>
      </c>
      <c r="C1718" s="2747"/>
      <c r="D1718" s="2626">
        <f>'Part IX A-Scoring Criteria'!D164</f>
        <v>0</v>
      </c>
      <c r="E1718" s="2626">
        <f>'Part IX A-Scoring Criteria'!E164</f>
        <v>0</v>
      </c>
      <c r="F1718" s="2626">
        <f>'Part IX A-Scoring Criteria'!F164</f>
        <v>0</v>
      </c>
      <c r="G1718" s="2827">
        <f>'Part IX A-Scoring Criteria'!G164</f>
        <v>0</v>
      </c>
      <c r="H1718" s="2693">
        <f>'Part IX A-Scoring Criteria'!H164</f>
        <v>0</v>
      </c>
      <c r="I1718" s="2828">
        <f>'Part IX A-Scoring Criteria'!I164</f>
        <v>0</v>
      </c>
      <c r="J1718" s="2828">
        <f>'Part IX A-Scoring Criteria'!J164</f>
        <v>0</v>
      </c>
      <c r="K1718" s="2828">
        <f>'Part IX A-Scoring Criteria'!K164</f>
        <v>0</v>
      </c>
      <c r="L1718" s="2828">
        <f>'Part IX A-Scoring Criteria'!L164</f>
        <v>0</v>
      </c>
      <c r="M1718" s="2829" t="str">
        <f>IF(I1718+J1718+K1718+L1718=0,"",AVERAGE(I1718,J1718,K1718,L1718))</f>
        <v/>
      </c>
      <c r="N1718" s="2829"/>
      <c r="O1718" s="2556" t="str">
        <f>IF(M1718="","",IF(M1718&gt;Q1718,"Yes",IF(M1718&lt;Q1718,"No","")))</f>
        <v/>
      </c>
      <c r="P1718" s="2747"/>
      <c r="Q1718" s="2367">
        <v>72.099999999999994</v>
      </c>
      <c r="R1718" s="2367"/>
      <c r="S1718" s="2747"/>
      <c r="T1718" s="2747"/>
      <c r="U1718" s="2747"/>
      <c r="V1718" s="2747"/>
      <c r="W1718" s="2747"/>
      <c r="X1718" s="2747"/>
      <c r="Y1718" s="2747"/>
      <c r="Z1718" s="2747"/>
    </row>
    <row r="1719" spans="1:26" ht="22.5">
      <c r="A1719" s="2702" t="s">
        <v>2453</v>
      </c>
      <c r="B1719" s="2633" t="s">
        <v>4039</v>
      </c>
      <c r="C1719" s="2747"/>
      <c r="D1719" s="2626" t="str">
        <f>'Part IX A-Scoring Criteria'!D165</f>
        <v>Gainesville High School</v>
      </c>
      <c r="E1719" s="2626">
        <f>'Part IX A-Scoring Criteria'!E165</f>
        <v>0</v>
      </c>
      <c r="F1719" s="2626">
        <f>'Part IX A-Scoring Criteria'!F165</f>
        <v>0</v>
      </c>
      <c r="G1719" s="2827" t="str">
        <f>'Part IX A-Scoring Criteria'!G165</f>
        <v>9-12</v>
      </c>
      <c r="H1719" s="2693" t="str">
        <f>'Part IX A-Scoring Criteria'!H165</f>
        <v>No</v>
      </c>
      <c r="I1719" s="2828">
        <f>'Part IX A-Scoring Criteria'!I165</f>
        <v>72.5</v>
      </c>
      <c r="J1719" s="2828">
        <f>'Part IX A-Scoring Criteria'!J165</f>
        <v>77</v>
      </c>
      <c r="K1719" s="2828">
        <f>'Part IX A-Scoring Criteria'!K165</f>
        <v>74.7</v>
      </c>
      <c r="L1719" s="2828">
        <f>'Part IX A-Scoring Criteria'!L165</f>
        <v>77.099999999999994</v>
      </c>
      <c r="M1719" s="2829">
        <f>IF(I1719+J1719+K1719+L1719=0,"",AVERAGE(I1719,J1719,K1719,L1719))</f>
        <v>75.324999999999989</v>
      </c>
      <c r="N1719" s="2829"/>
      <c r="O1719" s="2556" t="str">
        <f>IF(M1719="","",IF(M1719&gt;Q1719,"Yes",IF(M1719&lt;Q1719,"No","")))</f>
        <v>Yes</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4041</v>
      </c>
      <c r="C1721" s="2747"/>
      <c r="D1721" s="2735">
        <f>IF(D1717="","",D1717)</f>
        <v>0</v>
      </c>
      <c r="E1721" s="2747"/>
      <c r="F1721" s="2747"/>
      <c r="G1721" s="2711">
        <f t="shared" ref="G1721:H1723" si="320">IF(G1717="","",G1717)</f>
        <v>0</v>
      </c>
      <c r="H1721" s="2711">
        <f t="shared" si="320"/>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4040</v>
      </c>
      <c r="C1722" s="2747"/>
      <c r="D1722" s="2735">
        <f>IF(D1718="","",D1718)</f>
        <v>0</v>
      </c>
      <c r="E1722" s="2747"/>
      <c r="F1722" s="2747"/>
      <c r="G1722" s="2711">
        <f t="shared" si="320"/>
        <v>0</v>
      </c>
      <c r="H1722" s="2711">
        <f t="shared" si="320"/>
        <v>0</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4039</v>
      </c>
      <c r="C1723" s="2747"/>
      <c r="D1723" s="2735" t="str">
        <f>IF(D1719="","",D1719)</f>
        <v>Gainesville High School</v>
      </c>
      <c r="E1723" s="2747"/>
      <c r="F1723" s="2747"/>
      <c r="G1723" s="2711" t="str">
        <f t="shared" si="320"/>
        <v>9-12</v>
      </c>
      <c r="H1723" s="2711" t="str">
        <f t="shared" si="320"/>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4043</v>
      </c>
      <c r="C1725" s="2765"/>
      <c r="D1725" s="2812"/>
      <c r="E1725" s="2812"/>
      <c r="F1725" s="2796" t="s">
        <v>3412</v>
      </c>
      <c r="G1725" s="2765"/>
      <c r="H1725" s="2597" t="s">
        <v>3896</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4220</v>
      </c>
      <c r="F1726" s="2831" t="s">
        <v>3685</v>
      </c>
      <c r="G1726" s="2557" t="s">
        <v>3420</v>
      </c>
      <c r="H1726" s="2557"/>
      <c r="I1726" s="2557"/>
      <c r="J1726" s="2557"/>
      <c r="K1726" s="2557"/>
      <c r="L1726" s="2557"/>
      <c r="M1726" s="2557"/>
      <c r="N1726" s="2557"/>
      <c r="O1726" s="1156"/>
      <c r="P1726" s="2736"/>
      <c r="Q1726" s="1156"/>
      <c r="R1726" s="1156" t="s">
        <v>2850</v>
      </c>
      <c r="S1726" s="1156"/>
      <c r="T1726" s="2724" t="str">
        <f>'Part I-Project Information'!$F$38</f>
        <v>Gainesville</v>
      </c>
      <c r="U1726" s="2724"/>
      <c r="V1726" s="2724"/>
      <c r="W1726" s="2724"/>
      <c r="X1726" s="2724"/>
      <c r="Y1726" s="1156"/>
      <c r="Z1726" s="1156"/>
    </row>
    <row r="1727" spans="1:26" ht="12.75" customHeight="1">
      <c r="A1727" s="2700"/>
      <c r="B1727" s="2831" t="s">
        <v>4046</v>
      </c>
      <c r="C1727" s="2831"/>
      <c r="D1727" s="2831"/>
      <c r="E1727" s="2831"/>
      <c r="F1727" s="2831"/>
      <c r="G1727" s="2661" t="s">
        <v>4045</v>
      </c>
      <c r="H1727" s="2661"/>
      <c r="I1727" s="2661"/>
      <c r="J1727" s="2661"/>
      <c r="K1727" s="2661"/>
      <c r="L1727" s="2661"/>
      <c r="M1727" s="2661"/>
      <c r="N1727" s="2661"/>
      <c r="O1727" s="2831" t="s">
        <v>3686</v>
      </c>
      <c r="P1727" s="2831"/>
      <c r="Q1727" s="1156"/>
      <c r="R1727" s="2724" t="s">
        <v>2851</v>
      </c>
      <c r="S1727" s="1156"/>
      <c r="T1727" s="2724" t="str">
        <f>'Part I-Project Information'!$J$39</f>
        <v>Hall</v>
      </c>
      <c r="U1727" s="2724"/>
      <c r="V1727" s="2724"/>
      <c r="W1727" s="2724"/>
      <c r="X1727" s="2724"/>
      <c r="Y1727" s="1156"/>
      <c r="Z1727" s="1156"/>
    </row>
    <row r="1728" spans="1:26">
      <c r="A1728" s="2700"/>
      <c r="B1728" s="478" t="s">
        <v>3856</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Gainesville</v>
      </c>
      <c r="U1728" s="2724"/>
      <c r="V1728" s="2724"/>
      <c r="W1728" s="2724"/>
      <c r="X1728" s="2724"/>
      <c r="Y1728" s="1156"/>
      <c r="Z1728" s="1156"/>
    </row>
    <row r="1729" spans="1:26" ht="12.75" customHeight="1">
      <c r="A1729" s="2700"/>
      <c r="B1729" s="2626" t="s">
        <v>4044</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3889</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3890</v>
      </c>
      <c r="C1731" s="1156"/>
      <c r="D1731" s="1156"/>
      <c r="E1731" s="2835"/>
      <c r="F1731" s="2835"/>
      <c r="G1731" s="2835"/>
      <c r="H1731" s="1156"/>
      <c r="I1731" s="2835">
        <f>'Part IX A-Scoring Criteria'!I177</f>
        <v>9000</v>
      </c>
      <c r="J1731" s="2835">
        <f>'Part IX A-Scoring Criteria'!J177</f>
        <v>0</v>
      </c>
      <c r="K1731" s="1156"/>
      <c r="L1731" s="1156"/>
      <c r="M1731" s="1156"/>
      <c r="N1731" s="1156"/>
      <c r="O1731" s="1156"/>
      <c r="P1731" s="1156"/>
      <c r="Q1731" s="1156"/>
      <c r="R1731" s="1156" t="s">
        <v>3651</v>
      </c>
      <c r="S1731" s="1156"/>
      <c r="T1731" s="2724" t="str">
        <f>'Part I-Project Information'!$K$40</f>
        <v>Urban</v>
      </c>
      <c r="U1731" s="2724"/>
      <c r="V1731" s="2724"/>
      <c r="W1731" s="2724"/>
      <c r="X1731" s="2724"/>
      <c r="Y1731" s="1156"/>
      <c r="Z1731" s="1156"/>
    </row>
    <row r="1732" spans="1:26" ht="13.5">
      <c r="A1732" s="2725"/>
      <c r="B1732" s="2735" t="s">
        <v>3650</v>
      </c>
      <c r="C1732" s="1156"/>
      <c r="D1732" s="1156"/>
      <c r="E1732" s="1156"/>
      <c r="F1732" s="1156"/>
      <c r="G1732" s="1156"/>
      <c r="H1732" s="2836" t="str">
        <f>IF(I1732&lt;I1731,"Threshold not met!","")</f>
        <v/>
      </c>
      <c r="I1732" s="2835">
        <f>'Part IX A-Scoring Criteria'!I178</f>
        <v>28252</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4219</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4047</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3913</v>
      </c>
      <c r="D1736" s="2824"/>
      <c r="E1736" s="2824"/>
      <c r="F1736" s="2824"/>
      <c r="G1736" s="2813"/>
      <c r="H1736" s="1156"/>
      <c r="I1736" s="2717">
        <f>'Part IX A-Scoring Criteria'!I182</f>
        <v>2.1391111111111112</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3779</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213.75">
      <c r="A1739" s="2661" t="str">
        <f>'Part IX A-Scoring Criteria'!A185</f>
        <v>Gainesville High School is the only high school in the City of Gainesville and scores for points.  Also, Gainesville has abundent jobs that help maximize points for the jobs criteria.</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4053</v>
      </c>
      <c r="C1743" s="2765"/>
      <c r="D1743" s="2766"/>
      <c r="E1743" s="2766"/>
      <c r="F1743" s="2765"/>
      <c r="G1743" s="2765"/>
      <c r="H1743" s="2598" t="s">
        <v>4054</v>
      </c>
      <c r="I1743" s="2839"/>
      <c r="J1743" s="2839"/>
      <c r="K1743" s="2659"/>
      <c r="L1743" s="2659"/>
      <c r="M1743" s="2562">
        <v>7</v>
      </c>
      <c r="N1743" s="2553"/>
      <c r="O1743" s="2746">
        <f>'Part IX A-Scoring Criteria'!O189</f>
        <v>5</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4818</v>
      </c>
      <c r="C1745" s="2569"/>
      <c r="D1745" s="2569"/>
      <c r="E1745" s="2356" t="s">
        <v>4230</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4182</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87 of 172</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4819</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7 of 172</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88 of 172</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4058</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107 OF 172</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4227</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4048</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88 of 172</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t="str">
        <f>'Part IX A-Scoring Criteria'!K200</f>
        <v>Yes</v>
      </c>
      <c r="L1754" s="2667">
        <f>'Part IX A-Scoring Criteria'!L200</f>
        <v>0</v>
      </c>
      <c r="M1754" s="2841" t="str">
        <f>'Part IX A-Scoring Criteria'!M200</f>
        <v>107 of 172</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4049</v>
      </c>
      <c r="D1755" s="2686"/>
      <c r="E1755" s="2686"/>
      <c r="F1755" s="2686"/>
      <c r="G1755" s="2678"/>
      <c r="H1755" s="2678"/>
      <c r="I1755" s="2678"/>
      <c r="J1755" s="2712" t="s">
        <v>2472</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4050</v>
      </c>
      <c r="E1756" s="2686"/>
      <c r="F1756" s="2843">
        <f>'Part IX A-Scoring Criteria'!F202</f>
        <v>41765</v>
      </c>
      <c r="G1756" s="2843">
        <f>'Part IX A-Scoring Criteria'!G202</f>
        <v>0</v>
      </c>
      <c r="H1756" s="2678"/>
      <c r="I1756" s="2686" t="s">
        <v>4051</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4820</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60">
      <c r="B1759" s="2694" t="s">
        <v>4183</v>
      </c>
      <c r="E1759" s="2354"/>
      <c r="G1759" s="2809" t="str">
        <f>'Part IX A-Scoring Criteria'!G205</f>
        <v>https://www.gainesville.org/hud-consolidated-plan</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4052</v>
      </c>
      <c r="M1761" s="2553">
        <v>5</v>
      </c>
      <c r="N1761" s="2700" t="s">
        <v>1999</v>
      </c>
      <c r="O1761" s="2844">
        <f>'Part IX A-Scoring Criteria'!O207</f>
        <v>5</v>
      </c>
      <c r="P1761" s="2844">
        <f>'Part IX A-Scoring Criteria'!P207</f>
        <v>0</v>
      </c>
      <c r="Q1761" s="2406"/>
      <c r="X1761" s="2551"/>
      <c r="Y1761" s="2702"/>
    </row>
    <row r="1762" spans="1:26" ht="12.75" customHeight="1">
      <c r="A1762" s="2700"/>
      <c r="B1762" s="2823" t="s">
        <v>2002</v>
      </c>
      <c r="C1762" s="2661" t="s">
        <v>4821</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4822</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2</v>
      </c>
      <c r="P1763" s="2785">
        <f>'Part IX A-Scoring Criteria'!P209</f>
        <v>0</v>
      </c>
      <c r="Q1763" s="2786" t="str">
        <f>IF(OR($O1763=$M1763,$O1763=0,$O1763=""),"","*CHECK!*")</f>
        <v/>
      </c>
      <c r="R1763" s="2351" t="s">
        <v>2724</v>
      </c>
    </row>
    <row r="1764" spans="1:26">
      <c r="A1764" s="2700"/>
      <c r="B1764" s="2735"/>
      <c r="C1764" s="2735" t="s">
        <v>3805</v>
      </c>
      <c r="E1764" s="2735" t="str">
        <f>'Part I-Project Information'!$N$39</f>
        <v>Yes</v>
      </c>
      <c r="G1764" s="2735" t="s">
        <v>3599</v>
      </c>
      <c r="I1764" s="2845" t="str">
        <f>'Part I-Project Information'!$O$38</f>
        <v>23580-13-139-0008.00</v>
      </c>
      <c r="J1764" s="2845"/>
      <c r="K1764" s="2597" t="s">
        <v>3396</v>
      </c>
      <c r="M1764" s="2597" t="str">
        <f>'Part IV-A-Uses of Funds'!$H$152</f>
        <v>DDA/QCT</v>
      </c>
    </row>
    <row r="1765" spans="1:26">
      <c r="A1765" s="2700"/>
      <c r="B1765" s="2735"/>
      <c r="D1765" s="2711"/>
      <c r="E1765" s="2735"/>
      <c r="G1765" s="2597"/>
      <c r="K1765" s="2597"/>
      <c r="L1765" s="2597"/>
    </row>
    <row r="1766" spans="1:26">
      <c r="A1766" s="2580" t="s">
        <v>2001</v>
      </c>
      <c r="B1766" s="2569" t="s">
        <v>4055</v>
      </c>
      <c r="D1766" s="2354"/>
      <c r="K1766" s="2585"/>
      <c r="L1766" s="2710" t="str">
        <f>IF(OR($O1766=$M1766,$O1766=0,$O1766=""),"","* * Check Score! * *")</f>
        <v/>
      </c>
      <c r="M1766" s="2553">
        <v>2</v>
      </c>
      <c r="N1766" s="2700" t="s">
        <v>2001</v>
      </c>
      <c r="O1766" s="2746">
        <f>'Part IX A-Scoring Criteria'!O212</f>
        <v>0</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3886</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3887</v>
      </c>
      <c r="C1769" s="2747"/>
      <c r="D1769" s="2747"/>
      <c r="E1769" s="2747"/>
      <c r="F1769" s="2747"/>
      <c r="G1769" s="2747"/>
      <c r="H1769" s="2747"/>
      <c r="I1769" s="2836" t="str">
        <f>IF($J$215="Government", "Additional documentation required - see QAP.","")</f>
        <v/>
      </c>
      <c r="J1769" s="2724">
        <f>'Part IX A-Scoring Criteria'!J215</f>
        <v>0</v>
      </c>
      <c r="K1769" s="2724">
        <f>'Part IX A-Scoring Criteria'!K215</f>
        <v>0</v>
      </c>
      <c r="L1769" s="2724">
        <f>'Part IX A-Scoring Criteria'!L215</f>
        <v>0</v>
      </c>
      <c r="M1769" s="2686" t="s">
        <v>3649</v>
      </c>
      <c r="N1769" s="2747"/>
      <c r="O1769" s="2747"/>
      <c r="P1769" s="2747"/>
      <c r="Q1769" s="2747"/>
      <c r="R1769" s="2747"/>
      <c r="S1769" s="2747"/>
      <c r="T1769" s="2747"/>
      <c r="U1769" s="2747"/>
      <c r="V1769" s="2814"/>
      <c r="W1769" s="2814"/>
      <c r="X1769" s="2747"/>
      <c r="Y1769" s="2747"/>
      <c r="Z1769" s="2747"/>
    </row>
    <row r="1770" spans="1:26" ht="18.75">
      <c r="A1770" s="2640"/>
      <c r="B1770" s="2735" t="s">
        <v>4244</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3816</v>
      </c>
      <c r="G1771" s="2686"/>
      <c r="J1771" s="2847">
        <f>'Part IX A-Scoring Criteria'!J217</f>
        <v>0</v>
      </c>
      <c r="K1771" s="2848" t="s">
        <v>3815</v>
      </c>
      <c r="L1771" s="2678"/>
      <c r="N1771" s="2549"/>
      <c r="O1771" s="2551"/>
      <c r="P1771" s="2551"/>
      <c r="V1771" s="2814"/>
      <c r="W1771" s="2814"/>
    </row>
    <row r="1772" spans="1:26" ht="18.75" customHeight="1">
      <c r="A1772" s="2849" t="s">
        <v>4224</v>
      </c>
      <c r="B1772" s="2661" t="s">
        <v>4221</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4222</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4223</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2646</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4547</v>
      </c>
      <c r="D1776" s="2664"/>
      <c r="E1776" s="2747"/>
      <c r="F1776" s="2747"/>
      <c r="G1776" s="2851">
        <f>'Part IV-A-Uses of Funds'!$G$132</f>
        <v>13541444</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3779</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393.75">
      <c r="A1778" s="2661" t="str">
        <f>'Part IX A-Scoring Criteria'!A224</f>
        <v>The 2014 Action Plan which includes a timeline through 2018 has seen tremendous success in improving the targeted areas.  As noted in our letters from the Greater Hall Chamber of Commerce and Gateway Domestic Abuse Shelter, among others, have been actively working over the years to make the 2014 Action Plan a reality.</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4056</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4059</v>
      </c>
      <c r="C1783" s="2747"/>
      <c r="D1783" s="1156" t="s">
        <v>4060</v>
      </c>
      <c r="E1783" s="2747"/>
      <c r="F1783" s="2747"/>
      <c r="G1783" s="2747"/>
      <c r="H1783" s="2747"/>
      <c r="I1783" s="2747"/>
      <c r="J1783" s="2747"/>
      <c r="K1783" s="2844">
        <f>'Part IX A-Scoring Criteria'!K229</f>
        <v>5</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4061</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4062</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4063</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4064</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4823</v>
      </c>
      <c r="D1789" s="2354"/>
      <c r="G1789" s="2735" t="s">
        <v>3811</v>
      </c>
      <c r="Q1789" s="2406"/>
    </row>
    <row r="1790" spans="1:26">
      <c r="A1790" s="2700"/>
      <c r="B1790" s="478" t="s">
        <v>3891</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4065</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4824</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4067</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4069</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4068</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4069</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4070</v>
      </c>
      <c r="D1799" s="2686"/>
      <c r="E1799" s="2686"/>
      <c r="F1799" s="2686"/>
      <c r="G1799" s="2735" t="s">
        <v>3811</v>
      </c>
      <c r="H1799" s="2686"/>
      <c r="I1799" s="2686"/>
      <c r="J1799" s="2686"/>
      <c r="K1799" s="2686"/>
      <c r="L1799" s="2686"/>
      <c r="M1799" s="2686"/>
      <c r="N1799" s="2686"/>
      <c r="O1799" s="2659" t="s">
        <v>2527</v>
      </c>
      <c r="P1799" s="2659" t="s">
        <v>2527</v>
      </c>
      <c r="Q1799" s="2686"/>
    </row>
    <row r="1800" spans="1:26" ht="18.75" customHeight="1">
      <c r="A1800" s="2700"/>
      <c r="B1800" s="2854"/>
      <c r="C1800" s="2661" t="s">
        <v>4825</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4186</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4184</v>
      </c>
      <c r="D1805" s="2664"/>
      <c r="E1805" s="2664"/>
      <c r="F1805" s="2664"/>
      <c r="G1805" s="2664"/>
      <c r="H1805" s="2664"/>
      <c r="I1805" s="2664"/>
      <c r="J1805" s="2664"/>
      <c r="K1805" s="2664"/>
      <c r="L1805" s="2661" t="s">
        <v>4188</v>
      </c>
      <c r="M1805" s="2661"/>
      <c r="N1805" s="2686" t="s">
        <v>4189</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4071</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4075</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3814</v>
      </c>
      <c r="D1811" s="2354"/>
      <c r="Q1811" s="2553"/>
    </row>
    <row r="1812" spans="1:26" ht="18.75" customHeight="1">
      <c r="A1812" s="2700"/>
      <c r="B1812" s="2855"/>
      <c r="C1812" s="2661" t="s">
        <v>4077</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4078</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4079</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4826</v>
      </c>
      <c r="D1816" s="2354"/>
      <c r="G1816" s="2735" t="s">
        <v>3811</v>
      </c>
      <c r="O1816" s="2659" t="s">
        <v>2527</v>
      </c>
      <c r="P1816" s="2659" t="s">
        <v>2527</v>
      </c>
      <c r="Q1816" s="2406"/>
    </row>
    <row r="1817" spans="1:26" ht="18.75" customHeight="1">
      <c r="A1817" s="2700"/>
      <c r="B1817" s="2823" t="s">
        <v>2002</v>
      </c>
      <c r="C1817" s="2661" t="s">
        <v>4073</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4074</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3779</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51">
      <c r="A1820" s="2432" t="str">
        <f>'Part IX A-Scoring Criteria'!A266</f>
        <v>Applicant is not requesting points in this section.</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4232</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3625</v>
      </c>
      <c r="B1826" s="2569" t="s">
        <v>3623</v>
      </c>
      <c r="C1826" s="2765"/>
      <c r="D1826" s="2766"/>
      <c r="E1826" s="2766"/>
      <c r="F1826" s="2765"/>
      <c r="G1826" s="2765"/>
      <c r="H1826" s="2356"/>
      <c r="I1826" s="2765"/>
      <c r="J1826" s="2765"/>
      <c r="K1826" s="2765"/>
      <c r="L1826" s="2765"/>
      <c r="M1826" s="2553">
        <v>3</v>
      </c>
      <c r="N1826" s="2809" t="s">
        <v>4083</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Flexible</v>
      </c>
      <c r="N1827" s="2809"/>
      <c r="O1827" s="2711" t="s">
        <v>2527</v>
      </c>
      <c r="P1827" s="2711" t="s">
        <v>2527</v>
      </c>
    </row>
    <row r="1828" spans="1:26" ht="12.75" customHeight="1">
      <c r="A1828" s="2859"/>
      <c r="B1828" s="2818" t="s">
        <v>2002</v>
      </c>
      <c r="C1828" s="1156" t="s">
        <v>2702</v>
      </c>
      <c r="M1828" s="2549"/>
      <c r="N1828" s="2809"/>
      <c r="O1828" s="2667">
        <f>'Part IX A-Scoring Criteria'!O274</f>
        <v>0</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t="str">
        <f>'Part IX A-Scoring Criteria'!H275</f>
        <v>&lt; Select &gt;</v>
      </c>
      <c r="I1829" s="1156" t="s">
        <v>2758</v>
      </c>
      <c r="L1829" s="478" t="s">
        <v>2756</v>
      </c>
      <c r="M1829" s="2658" t="str">
        <f>IF(O1829&gt;H1829,"CHECK ACTUAL PERCENT!!!","")</f>
        <v/>
      </c>
      <c r="N1829" s="2784" t="s">
        <v>2004</v>
      </c>
      <c r="O1829" s="2862">
        <f>'Part IX A-Scoring Criteria'!O275</f>
        <v>0</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&lt;Select&gt;</v>
      </c>
      <c r="P1830" s="2659" t="str">
        <f>'Part IX A-Scoring Criteria'!P276</f>
        <v>&lt;Select&gt;</v>
      </c>
      <c r="Q1830" s="2860"/>
      <c r="R1830" s="2860"/>
    </row>
    <row r="1831" spans="1:26" ht="12.75" customHeight="1">
      <c r="A1831" s="2678"/>
      <c r="B1831" s="2823" t="s">
        <v>1236</v>
      </c>
      <c r="C1831" s="2661" t="s">
        <v>4827</v>
      </c>
      <c r="D1831" s="2661"/>
      <c r="E1831" s="2661"/>
      <c r="F1831" s="2661"/>
      <c r="G1831" s="2661"/>
      <c r="H1831" s="2661"/>
      <c r="I1831" s="2661"/>
      <c r="J1831" s="2863" t="s">
        <v>4082</v>
      </c>
      <c r="K1831" s="2863" t="s">
        <v>4080</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4145</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3624</v>
      </c>
      <c r="C1834" s="1156"/>
      <c r="G1834" s="1156"/>
      <c r="M1834" s="2553">
        <v>2</v>
      </c>
      <c r="N1834" s="2583" t="s">
        <v>757</v>
      </c>
      <c r="O1834" s="2565">
        <f>'Part IX A-Scoring Criteria'!O280</f>
        <v>0</v>
      </c>
      <c r="P1834" s="2565">
        <f>'Part IX A-Scoring Criteria'!P280</f>
        <v>0</v>
      </c>
    </row>
    <row r="1835" spans="1:26">
      <c r="A1835" s="2604"/>
      <c r="B1835" s="2724" t="s">
        <v>3628</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3626</v>
      </c>
      <c r="C1836" s="1156"/>
      <c r="G1836" s="2735" t="s">
        <v>3627</v>
      </c>
      <c r="H1836" s="2869">
        <f>'Part VI-Revenues &amp; Expenses'!$O$59</f>
        <v>12</v>
      </c>
      <c r="I1836" s="2711" t="s">
        <v>3630</v>
      </c>
      <c r="J1836" s="2869">
        <f>'Part VI-Revenues &amp; Expenses'!$O$62</f>
        <v>76</v>
      </c>
      <c r="K1836" s="2711" t="s">
        <v>3631</v>
      </c>
      <c r="L1836" s="2870">
        <f>IF(J1836=0,0,H1836/J1836)</f>
        <v>0.15789473684210525</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4084</v>
      </c>
      <c r="C1840" s="2765"/>
      <c r="D1840" s="2766"/>
      <c r="E1840" s="2766"/>
      <c r="F1840" s="2765"/>
      <c r="G1840" s="2765"/>
      <c r="H1840" s="2356"/>
      <c r="I1840" s="2871" t="s">
        <v>3827</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3818</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f>'Part IX A-Scoring Criteria'!O287</f>
        <v>0</v>
      </c>
      <c r="P1841" s="2667">
        <f>'Part IX A-Scoring Criteria'!P287</f>
        <v>0</v>
      </c>
      <c r="U1841" s="2711">
        <f>IF(L1841="Yes",1,0)</f>
        <v>0</v>
      </c>
    </row>
    <row r="1842" spans="1:26">
      <c r="A1842" s="2561" t="s">
        <v>2001</v>
      </c>
      <c r="B1842" s="2872" t="s">
        <v>3819</v>
      </c>
      <c r="D1842" s="2721"/>
      <c r="L1842" s="2721"/>
      <c r="M1842" s="2873"/>
      <c r="N1842" s="2702" t="s">
        <v>2001</v>
      </c>
      <c r="O1842" s="2667">
        <f>'Part IX A-Scoring Criteria'!O288</f>
        <v>0</v>
      </c>
      <c r="P1842" s="2667">
        <f>'Part IX A-Scoring Criteria'!P288</f>
        <v>0</v>
      </c>
      <c r="U1842" s="2711">
        <f>IF(L1842="Yes",1,0)</f>
        <v>0</v>
      </c>
    </row>
    <row r="1843" spans="1:26" ht="15">
      <c r="A1843" s="2354"/>
      <c r="B1843" s="2766" t="s">
        <v>3779</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56.25">
      <c r="A1844" s="2661" t="str">
        <f>'Part IX A-Scoring Criteria'!A290</f>
        <v>Applicant is not requesting points in this section.</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3412</v>
      </c>
      <c r="I1848" s="2747"/>
      <c r="J1848" s="2658" t="s">
        <v>2812</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4828</v>
      </c>
      <c r="D1849" s="2354"/>
      <c r="E1849" s="2354"/>
      <c r="F1849" s="2354"/>
      <c r="H1849" s="2658" t="s">
        <v>3708</v>
      </c>
      <c r="I1849" s="1156"/>
      <c r="J1849" s="2658" t="str">
        <f>'Part I-Project Information'!$O$34</f>
        <v>Yes - no Master Plan</v>
      </c>
      <c r="K1849" s="2658"/>
      <c r="L1849" s="2813" t="str">
        <f>'Part I-Project Information'!$O$35</f>
        <v>12-057</v>
      </c>
      <c r="M1849" s="2553">
        <v>3</v>
      </c>
      <c r="N1849" s="2702" t="s">
        <v>1999</v>
      </c>
      <c r="O1849" s="2746">
        <f>'Part IX A-Scoring Criteria'!O295</f>
        <v>3</v>
      </c>
      <c r="P1849" s="2746">
        <f>'Part IX A-Scoring Criteria'!P295</f>
        <v>0</v>
      </c>
      <c r="Q1849" s="2786" t="str">
        <f>IF(OR($O1849=$M1849,$O1849=0,$O1849=""),"","*CHECK!*")</f>
        <v/>
      </c>
      <c r="R1849" s="2830" t="s">
        <v>2724</v>
      </c>
    </row>
    <row r="1850" spans="1:26" ht="12.75" customHeight="1">
      <c r="A1850" s="1156"/>
      <c r="B1850" s="2823" t="s">
        <v>2002</v>
      </c>
      <c r="C1850" s="2661" t="s">
        <v>4245</v>
      </c>
      <c r="D1850" s="2661"/>
      <c r="E1850" s="2661"/>
      <c r="F1850" s="2661"/>
      <c r="G1850" s="2661"/>
      <c r="H1850" s="2661"/>
      <c r="I1850" s="2661"/>
      <c r="J1850" s="2661"/>
      <c r="K1850" s="2661"/>
      <c r="L1850" s="2661"/>
      <c r="M1850" s="2661"/>
      <c r="N1850" s="2773" t="s">
        <v>2002</v>
      </c>
      <c r="O1850" s="2713" t="str">
        <f>'Part IX A-Scoring Criteria'!O296</f>
        <v>Yes</v>
      </c>
      <c r="P1850" s="2713">
        <f>'Part IX A-Scoring Criteria'!P296</f>
        <v>0</v>
      </c>
      <c r="Q1850" s="2661" t="s">
        <v>4829</v>
      </c>
      <c r="R1850" s="2661"/>
      <c r="S1850" s="2661"/>
      <c r="T1850" s="2661"/>
      <c r="U1850" s="2661"/>
      <c r="V1850" s="2661"/>
      <c r="W1850" s="2661"/>
      <c r="X1850" s="2661"/>
      <c r="Y1850" s="2661"/>
      <c r="Z1850" s="2661"/>
    </row>
    <row r="1851" spans="1:26">
      <c r="A1851" s="478"/>
      <c r="B1851" s="2818"/>
      <c r="C1851" s="478" t="s">
        <v>3833</v>
      </c>
      <c r="D1851" s="478"/>
      <c r="E1851" s="478"/>
      <c r="F1851" s="478"/>
      <c r="G1851" s="478"/>
      <c r="H1851" s="2597" t="s">
        <v>2600</v>
      </c>
      <c r="I1851" s="2811" t="str">
        <f>'Part IX A-Scoring Criteria'!I297</f>
        <v>12-057</v>
      </c>
      <c r="J1851" s="2597" t="s">
        <v>2317</v>
      </c>
      <c r="K1851" s="478" t="str">
        <f>'Part IX A-Scoring Criteria'!K297</f>
        <v>Myrtle Terraces Phase 1</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3888</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t="str">
        <f>'Part IX A-Scoring Criteria'!O299</f>
        <v>Yes</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t="str">
        <f>'Part IX A-Scoring Criteria'!O300</f>
        <v>No</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t="str">
        <f>'Part IX A-Scoring Criteria'!O301</f>
        <v>Yes</v>
      </c>
      <c r="P1855" s="2667">
        <f>'Part IX A-Scoring Criteria'!P301</f>
        <v>0</v>
      </c>
      <c r="Q1855" s="478"/>
      <c r="R1855" s="478"/>
      <c r="S1855" s="478"/>
      <c r="T1855" s="478"/>
      <c r="U1855" s="478"/>
      <c r="V1855" s="478"/>
      <c r="W1855" s="478"/>
      <c r="X1855" s="478"/>
      <c r="Y1855" s="478"/>
      <c r="Z1855" s="478"/>
    </row>
    <row r="1856" spans="1:26">
      <c r="A1856" s="2561" t="s">
        <v>2001</v>
      </c>
      <c r="B1856" s="2569" t="s">
        <v>4830</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3632</v>
      </c>
      <c r="C1857" s="2354"/>
      <c r="D1857" s="2354"/>
      <c r="E1857" s="2354"/>
      <c r="F1857" s="2354"/>
      <c r="G1857" s="2354"/>
      <c r="H1857" s="2796"/>
      <c r="I1857" s="2354"/>
      <c r="J1857" s="2354"/>
      <c r="K1857" s="2354"/>
      <c r="L1857" s="2354"/>
      <c r="M1857" s="2553">
        <v>3</v>
      </c>
      <c r="N1857" s="2702" t="s">
        <v>2001</v>
      </c>
      <c r="O1857" s="2746">
        <f>'Part IX A-Scoring Criteria'!O303</f>
        <v>2</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4831</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0</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4832</v>
      </c>
      <c r="D1859" s="2354"/>
      <c r="E1859" s="2354"/>
      <c r="F1859" s="2354"/>
      <c r="G1859" s="2597"/>
      <c r="H1859" s="2796"/>
      <c r="I1859" s="2597"/>
      <c r="L1859" s="2710" t="str">
        <f>IF(OR($O1859=$M1859,$O1859=0,$O1859=""),"","* * Check Score! * *")</f>
        <v/>
      </c>
      <c r="M1859" s="2549">
        <v>2</v>
      </c>
      <c r="N1859" s="2816" t="s">
        <v>2004</v>
      </c>
      <c r="O1859" s="2746">
        <f>'Part IX A-Scoring Criteria'!O305</f>
        <v>2</v>
      </c>
      <c r="P1859" s="2746">
        <f>'Part IX A-Scoring Criteria'!P305</f>
        <v>0</v>
      </c>
      <c r="Q1859" s="2786" t="str">
        <f>IF(OR($O1859=$M1859,$O1859=0,$O1859=""),"","*CHECK!*")</f>
        <v/>
      </c>
      <c r="R1859" s="2830" t="s">
        <v>2724</v>
      </c>
    </row>
    <row r="1860" spans="1:26">
      <c r="A1860" s="2561" t="s">
        <v>757</v>
      </c>
      <c r="B1860" s="2569" t="s">
        <v>4833</v>
      </c>
      <c r="C1860" s="2354"/>
      <c r="D1860" s="2354"/>
      <c r="E1860" s="2354"/>
      <c r="F1860" s="2354"/>
      <c r="G1860" s="2354"/>
      <c r="H1860" s="2796" t="s">
        <v>4090</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3635</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3634</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4834</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IF(OR($O1863=$M1863,$O1863=0,$O1863=""),"","*CHECK!*")</f>
        <v/>
      </c>
      <c r="R1863" s="2830" t="s">
        <v>2724</v>
      </c>
    </row>
    <row r="1864" spans="1:26">
      <c r="A1864" s="2667" t="s">
        <v>1365</v>
      </c>
      <c r="B1864" s="2823" t="s">
        <v>2551</v>
      </c>
      <c r="C1864" s="2718" t="s">
        <v>4835</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IF(OR($O1864=$M1864,$O1864=0,$O1864=""),"","*CHECK!*")</f>
        <v/>
      </c>
      <c r="R1864" s="2830" t="s">
        <v>2724</v>
      </c>
    </row>
    <row r="1865" spans="1:26" ht="15">
      <c r="A1865" s="2354"/>
      <c r="B1865" s="2766" t="s">
        <v>3779</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371.25">
      <c r="A1866" s="2661" t="str">
        <f>'Part IX A-Scoring Criteria'!A312</f>
        <v>Applicant has noted that we are noting that this is the second phase of a phased development, eligible for 3 points and notes that on our original application submitted we noted on a site plan a future phase.  As a back-up applicant also notes that there has not been a funded tax credit deal within 1 mile over the last 4 years either.</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4091</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4092</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4093</v>
      </c>
      <c r="C1879" s="2619"/>
      <c r="D1879" s="2724"/>
      <c r="E1879" s="478"/>
      <c r="F1879" s="2747"/>
      <c r="G1879" s="2606" t="str">
        <f>'Part IX A-Scoring Criteria'!G325</f>
        <v>Beverly J. Searles Foundation</v>
      </c>
      <c r="H1879" s="2747"/>
      <c r="I1879" s="2747"/>
      <c r="J1879" s="2597" t="s">
        <v>2703</v>
      </c>
      <c r="K1879" s="2747"/>
      <c r="L1879" s="478"/>
      <c r="M1879" s="2747"/>
      <c r="N1879" s="2747"/>
      <c r="O1879" s="2556" t="str">
        <f>'Part I-Project Information'!$H$96</f>
        <v>Yes</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3482</v>
      </c>
      <c r="D1880" s="2354"/>
      <c r="E1880" s="2765"/>
      <c r="F1880" s="2765"/>
      <c r="G1880" s="2765"/>
      <c r="H1880" s="2765"/>
      <c r="I1880" s="2765"/>
      <c r="J1880" s="2765"/>
      <c r="K1880" s="2765"/>
      <c r="L1880" s="2765"/>
      <c r="M1880" s="2765"/>
      <c r="N1880" s="2816" t="s">
        <v>2002</v>
      </c>
      <c r="O1880" s="2667" t="str">
        <f>'Part IX A-Scoring Criteria'!O326</f>
        <v>Yes</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4112</v>
      </c>
      <c r="D1881" s="2354"/>
      <c r="E1881" s="2765"/>
      <c r="F1881" s="2765"/>
      <c r="G1881" s="2765"/>
      <c r="H1881" s="2765"/>
      <c r="I1881" s="2765"/>
      <c r="J1881" s="2765"/>
      <c r="K1881" s="2765"/>
      <c r="L1881" s="2765"/>
      <c r="M1881" s="2765"/>
      <c r="N1881" s="2816" t="s">
        <v>2004</v>
      </c>
      <c r="O1881" s="2667" t="str">
        <f>'Part IX A-Scoring Criteria'!O327</f>
        <v>Yes</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4111</v>
      </c>
      <c r="D1882" s="2354"/>
      <c r="E1882" s="2765"/>
      <c r="F1882" s="2765"/>
      <c r="G1882" s="2765"/>
      <c r="H1882" s="2765"/>
      <c r="I1882" s="2765"/>
      <c r="J1882" s="2765"/>
      <c r="K1882" s="2765"/>
      <c r="L1882" s="2765"/>
      <c r="M1882" s="2765"/>
      <c r="N1882" s="2816" t="s">
        <v>2551</v>
      </c>
      <c r="O1882" s="2667" t="str">
        <f>'Part IX A-Scoring Criteria'!O328</f>
        <v>Yes</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4113</v>
      </c>
      <c r="D1883" s="2354"/>
      <c r="E1883" s="2765"/>
      <c r="F1883" s="2765"/>
      <c r="G1883" s="2765"/>
      <c r="H1883" s="2765"/>
      <c r="I1883" s="2765"/>
      <c r="J1883" s="2765"/>
      <c r="K1883" s="2765"/>
      <c r="L1883" s="2765"/>
      <c r="M1883" s="2765"/>
      <c r="N1883" s="2816" t="s">
        <v>1236</v>
      </c>
      <c r="O1883" s="2667" t="str">
        <f>'Part IX A-Scoring Criteria'!O329</f>
        <v>Yes</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4094</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3482</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4125</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4113</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4095</v>
      </c>
      <c r="C1891" s="2807"/>
      <c r="D1891" s="2807"/>
      <c r="E1891" s="2807"/>
      <c r="F1891" s="2807"/>
      <c r="G1891" s="2807"/>
      <c r="H1891" s="478" t="s">
        <v>3600</v>
      </c>
      <c r="I1891" s="2694" t="str">
        <f>'Part I-Project Information'!$H$100</f>
        <v>Flexible</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4836</v>
      </c>
      <c r="B1892" s="2661"/>
      <c r="C1892" s="2661"/>
      <c r="D1892" s="2661"/>
      <c r="E1892" s="2661"/>
      <c r="F1892" s="2661"/>
      <c r="G1892" s="2661"/>
      <c r="H1892" s="2661"/>
      <c r="I1892" s="2686" t="s">
        <v>4194</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BJS Hamilton Mill</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3779</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67.5">
      <c r="A1896" s="2661" t="str">
        <f>'Part IX A-Scoring Criteria'!A342</f>
        <v>We have selected Myrtle 2 to get our priority point.</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4149</v>
      </c>
      <c r="B1900" s="2749" t="s">
        <v>1685</v>
      </c>
      <c r="C1900" s="2747"/>
      <c r="D1900" s="2619"/>
      <c r="E1900" s="2619"/>
      <c r="F1900" s="2747"/>
      <c r="G1900" s="478"/>
      <c r="H1900" s="478"/>
      <c r="I1900" s="478"/>
      <c r="J1900" s="2747"/>
      <c r="K1900" s="2659"/>
      <c r="L1900" s="2710"/>
      <c r="M1900" s="2562">
        <v>2</v>
      </c>
      <c r="N1900" s="2808"/>
      <c r="O1900" s="2746">
        <f>'Part IX A-Scoring Criteria'!O346</f>
        <v>1</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3639</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4099</v>
      </c>
      <c r="C1902" s="2747"/>
      <c r="D1902" s="2765"/>
      <c r="E1902" s="2619"/>
      <c r="F1902" s="478"/>
      <c r="G1902" s="478"/>
      <c r="H1902" s="478" t="str">
        <f>'Part IX A-Scoring Criteria'!H348</f>
        <v>Gainesville</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4096</v>
      </c>
      <c r="D1903" s="478"/>
      <c r="E1903" s="478"/>
      <c r="F1903" s="478"/>
      <c r="G1903" s="478"/>
      <c r="H1903" s="478"/>
      <c r="I1903" s="478"/>
      <c r="J1903" s="478"/>
      <c r="K1903" s="478"/>
      <c r="L1903" s="478"/>
      <c r="M1903" s="478"/>
      <c r="N1903" s="2816" t="s">
        <v>2002</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4097</v>
      </c>
      <c r="D1904" s="478"/>
      <c r="E1904" s="478"/>
      <c r="F1904" s="478"/>
      <c r="G1904" s="478"/>
      <c r="H1904" s="478"/>
      <c r="I1904" s="478"/>
      <c r="J1904" s="478"/>
      <c r="K1904" s="478"/>
      <c r="L1904" s="478"/>
      <c r="M1904" s="478"/>
      <c r="N1904" s="2816" t="s">
        <v>2004</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4098</v>
      </c>
      <c r="D1905" s="478"/>
      <c r="E1905" s="478"/>
      <c r="F1905" s="478"/>
      <c r="G1905" s="478"/>
      <c r="H1905" s="478"/>
      <c r="I1905" s="478"/>
      <c r="J1905" s="478"/>
      <c r="K1905" s="478"/>
      <c r="L1905" s="478"/>
      <c r="M1905" s="478"/>
      <c r="N1905" s="2816" t="s">
        <v>2551</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3640</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3508</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3642</v>
      </c>
      <c r="C1910" s="478" t="str">
        <f>'Part I-Project Information'!$F$38</f>
        <v>Gainesville</v>
      </c>
      <c r="D1910" s="2354"/>
      <c r="E1910" s="478" t="s">
        <v>3507</v>
      </c>
      <c r="F1910" s="478" t="str">
        <f>'Part I-Project Information'!$J$39</f>
        <v>Hall</v>
      </c>
      <c r="G1910" s="2354"/>
      <c r="H1910" s="2597" t="s">
        <v>455</v>
      </c>
      <c r="I1910" s="2597" t="str">
        <f>'Part I-Project Information'!$N$39</f>
        <v>Yes</v>
      </c>
      <c r="J1910" s="2354"/>
      <c r="K1910" s="2597" t="s">
        <v>3641</v>
      </c>
      <c r="L1910" s="2845" t="str">
        <f>'Part I-Project Information'!$O$38</f>
        <v>23580-13-139-0008.00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3779</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78.75">
      <c r="A1912" s="2661" t="str">
        <f>'Part IX A-Scoring Criteria'!A358</f>
        <v>Our GICH letter has been executed by the mayor of Gainesville.</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4150</v>
      </c>
      <c r="B1916" s="2749" t="s">
        <v>4102</v>
      </c>
      <c r="C1916" s="2747"/>
      <c r="D1916" s="2619"/>
      <c r="E1916" s="2619"/>
      <c r="F1916" s="478"/>
      <c r="G1916" s="478"/>
      <c r="H1916" s="2569" t="s">
        <v>2812</v>
      </c>
      <c r="I1916" s="2747"/>
      <c r="J1916" s="2569" t="str">
        <f>'Part I-Project Information'!$H$100</f>
        <v>Flexible</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3836</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3835</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4103</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4104</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4105</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3646</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3483</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3644</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4548</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3645</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3647</v>
      </c>
      <c r="C1934" s="478" t="s">
        <v>4187</v>
      </c>
      <c r="I1934" s="2702" t="s">
        <v>3647</v>
      </c>
      <c r="J1934" s="2614">
        <f>'Part IX A-Scoring Criteria'!J380</f>
        <v>0</v>
      </c>
      <c r="K1934" s="2614">
        <f>'Part IX A-Scoring Criteria'!K380</f>
        <v>0</v>
      </c>
      <c r="L1934" s="2702" t="s">
        <v>3647</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4837</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13541444</v>
      </c>
      <c r="K1937" s="2614"/>
      <c r="M1937" s="2347"/>
      <c r="N1937" s="2347"/>
      <c r="P1937" s="2347"/>
    </row>
    <row r="1938" spans="1:26" ht="12.75" customHeight="1">
      <c r="A1938" s="2652" t="s">
        <v>4838</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4298</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3648</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4106</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3828</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4107</v>
      </c>
      <c r="N1944" s="2702" t="s">
        <v>2453</v>
      </c>
      <c r="O1944" s="2667">
        <f>'Part IX A-Scoring Criteria'!O390</f>
        <v>0</v>
      </c>
      <c r="P1944" s="2667">
        <f>'Part IX A-Scoring Criteria'!P390</f>
        <v>0</v>
      </c>
    </row>
    <row r="1945" spans="1:26">
      <c r="B1945" s="2766" t="s">
        <v>3779</v>
      </c>
      <c r="N1945" s="2549"/>
      <c r="O1945" s="2551"/>
      <c r="P1945" s="2551"/>
    </row>
    <row r="1946" spans="1:26" ht="56.25">
      <c r="A1946" s="2661" t="str">
        <f>'Part IX A-Scoring Criteria'!A392</f>
        <v>Applicant is not requesting points in this section.</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4148</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3674</v>
      </c>
      <c r="C1951" s="2747"/>
      <c r="D1951" s="2354"/>
      <c r="E1951" s="2354"/>
      <c r="F1951" s="2354"/>
      <c r="G1951" s="2747"/>
      <c r="H1951" s="2747"/>
      <c r="I1951" s="2747"/>
      <c r="J1951" s="2597" t="s">
        <v>3839</v>
      </c>
      <c r="K1951" s="2747"/>
      <c r="L1951" s="2634">
        <f>'Part VI-Revenues &amp; Expenses'!$O$62*0.1</f>
        <v>7.6000000000000005</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3838</v>
      </c>
      <c r="D1952" s="2661"/>
      <c r="E1952" s="2661"/>
      <c r="F1952" s="2661"/>
      <c r="G1952" s="2661"/>
      <c r="H1952" s="2661"/>
      <c r="I1952" s="2661"/>
      <c r="J1952" s="2597" t="s">
        <v>3841</v>
      </c>
      <c r="K1952" s="2747"/>
      <c r="L1952" s="2634">
        <f>'Part VI-Revenues &amp; Expenses'!$O$58</f>
        <v>64</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3842</v>
      </c>
      <c r="K1953" s="2798"/>
      <c r="L1953" s="2634">
        <f>L1952*0.1</f>
        <v>6.4</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3843</v>
      </c>
      <c r="K1954" s="2798"/>
      <c r="L1954" s="2634">
        <f>'Part VI-Revenues &amp; Expenses'!$K$58</f>
        <v>38</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3415</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3840</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3837</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3860</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3679</v>
      </c>
      <c r="D1961" s="2664"/>
      <c r="E1961" s="2664"/>
      <c r="F1961" s="2664"/>
      <c r="G1961" s="2432">
        <f>'Part IX A-Scoring Criteria'!G407</f>
        <v>0</v>
      </c>
      <c r="H1961" s="2432">
        <f>'Part IX A-Scoring Criteria'!H407</f>
        <v>0</v>
      </c>
      <c r="I1961" s="2432">
        <f>'Part IX A-Scoring Criteria'!I407</f>
        <v>0</v>
      </c>
      <c r="J1961" s="2882" t="s">
        <v>3680</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3416</v>
      </c>
      <c r="D1962" s="2686"/>
      <c r="E1962" s="2686"/>
      <c r="F1962" s="2686"/>
      <c r="G1962" s="2686"/>
      <c r="H1962" s="2686"/>
      <c r="I1962" s="2686"/>
      <c r="J1962" s="2686" t="s">
        <v>3678</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3779</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202.5">
      <c r="A1964" s="2661" t="str">
        <f>'Part IX A-Scoring Criteria'!A410</f>
        <v>The applicant agrees to accept Section 811 PBRA or other DCA-offerd RA for up to 10% of the units for the purpose of providing Integrated Supportive Housing opportunities</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4151</v>
      </c>
      <c r="B1968" s="2749" t="s">
        <v>2739</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4839</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4247</v>
      </c>
      <c r="C1973" s="2626"/>
      <c r="D1973" s="2626"/>
      <c r="E1973" s="2626"/>
      <c r="F1973" s="2626"/>
      <c r="G1973" s="2626"/>
      <c r="H1973" s="2626"/>
      <c r="I1973" s="2626"/>
      <c r="J1973" s="2626"/>
      <c r="K1973" s="2626"/>
      <c r="L1973" s="2626"/>
      <c r="M1973" s="2661" t="s">
        <v>4840</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76</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Applicant is not requesting points in this section.</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4841</v>
      </c>
      <c r="B1979" s="2657" t="s">
        <v>3378</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4248</v>
      </c>
      <c r="C1980" s="2661"/>
      <c r="D1980" s="2661"/>
      <c r="E1980" s="2661"/>
      <c r="F1980" s="2661"/>
      <c r="G1980" s="2661"/>
      <c r="H1980" s="2661"/>
      <c r="I1980" s="2661"/>
      <c r="J1980" s="2661"/>
      <c r="K1980" s="2661"/>
      <c r="L1980" s="2661"/>
      <c r="M1980" s="2721" t="s">
        <v>2847</v>
      </c>
      <c r="N1980" s="2800"/>
      <c r="O1980" s="2886">
        <f>'Part VI-Revenues &amp; Expenses'!$O$62</f>
        <v>76</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3779</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56.25">
      <c r="A1983" s="2661" t="str">
        <f>'Part IX A-Scoring Criteria'!A429</f>
        <v>Applicant is not requesting points in this section.</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4152</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3682</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3683</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3684</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57</v>
      </c>
      <c r="P1995" s="2891">
        <f>P1562+P1597+P1611+P1621+P1648+P1665+P1707+P1743+P1782+P1824+P1840+P1848+P1870+P1878+P1891+P1900+P1916+P1950+P1968+P1987</f>
        <v>20</v>
      </c>
      <c r="Q1995" s="2354"/>
      <c r="R1995" s="2602">
        <f>'Part IX A-Scoring Criteria'!O441</f>
        <v>57</v>
      </c>
      <c r="S1995" s="2354"/>
      <c r="T1995" s="2354"/>
      <c r="U1995" s="2354"/>
      <c r="V1995" s="2354"/>
      <c r="W1995" s="2354"/>
      <c r="X1995" s="2354"/>
      <c r="Y1995" s="2354"/>
      <c r="Z1995" s="2354"/>
    </row>
    <row r="1996" spans="1:26" ht="15.75">
      <c r="A1996" s="2747"/>
      <c r="B1996" s="2889"/>
      <c r="C1996" s="2747"/>
      <c r="F1996" s="2745"/>
      <c r="G1996" s="2745"/>
      <c r="H1996" s="2569" t="s">
        <v>4242</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4243</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4251</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3714</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15.75">
      <c r="A2001" s="2661">
        <f>'Part IX A-Scoring Criteria'!A447</f>
        <v>0</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4255</v>
      </c>
    </row>
    <row r="2010" spans="1:26" ht="16.5">
      <c r="A2010" s="2894" t="str">
        <f>'Part I-Project Information'!$F$34</f>
        <v>Myrtle Terraces Phase 2</v>
      </c>
    </row>
    <row r="2011" spans="1:26" ht="16.5">
      <c r="A2011" s="2894" t="str">
        <f>CONCATENATE('Part I-Project Information'!$F$38,", ", 'Part I-Project Information'!$J$39," County")</f>
        <v>Gainesville, Hall County</v>
      </c>
    </row>
    <row r="2013" spans="1:26" ht="12.75" customHeight="1">
      <c r="A2013" s="2346" t="str">
        <f>'Pt IX B-Healthy Housg Init Narr'!A5</f>
        <v xml:space="preserve">In response to the community health needs identified across multiple sources our Healthy Housing Initative (HHI) will provide residents with monthly on-site, no/low cost services that address several health issues facing the local community, particularly the seniors who will be served by this development. Services will be provided by faculty and students from Brenau University’s Colleges of Health Sciences and the College of Fine Arts and Humanities, who are committed to serving the health needs of older adults in the community and have done so successfully through collaboration with the Searles Foundation at other properties through our onsite Resident Services Directors. Four of the priority issues are noted below, and partnering with Brenau provides us with a range of potential service options that can be tailored over time in response to needs of future residents. The healthy eating component of our HHI will leverage an onsite community garden with educational materials from the University of Georgia’s Expanded Food and Nutrition Education Program (EFNEP) to further enhance resident opportunities for wellness.
Behavioral health issues were identified as a top concern across multiple data sources, including Northeast Georgia Medical Center’s 2016 CHNA, which noted mental/behavioral health as a significant issue, indicating growing concern around this topic in the community. According to the 2016 CHNA, access to mental health services and counseling in the county is a serious need, and suicide is a leading cause of premature death. For the D.5 Demographic Cluster in which Myrtle Terraces Phase 2 is located, DPH data identify suicide as the second leading cause. CHR data identify a lack of social associations as a concern in Hall Count. The suicide death rate is noted in the PSA (area where site is located) as 10% compared to the Georgia average 5.43%. The Hall County CHA notes that a paucity of support services and mental health care for older adults in the county puts seniors at risk. By providing regular access to education on healthy behaviors and opportunities for on-site mental health screenings and counseling, the HHI will help mitigate this increased risk and advance community partnerships to address behavioral health issues before they become severe mental health problems over time.
Chronic Disease prevention and control are key health care concerns identified for this community and are particularly important for senior populations. DPH data show chronic diseases like heart disease and cancer are well represented among the leading causes of premature death in both the county and the D.5 Cluster. The Northeast Georgia Medical Center CHNA also cites these data and recognizes the importance of early detection to mitigate the large burden of disease represented by conditions like diabetes, COPD, and others.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Injuries were another top concern that arose in multiple data sources. According the CHNA, accidents (unintentional injuries) were a leading cause of emergency room visit for residents of Hall County. The CHNA goes on to note that, for older adults, falls are the leading cause of injury or death. The strong partnership with Brenau’s Occupational Therapy program ensures that our HHI will provide the older adults at Myrtle Terraces Phase 2 with the support needed to prevent falls and increase chances of recovery when falls do occur through classes such as the Matter Of Balance and in-home assessments directly related to fall prevention.
Finally, healthy aging is an issue identified in the Northeast Georgia Medical Center CHNA  that is particularly relevant for the HHI at Myrtle Terraces Phase 2. Though Hall County’s population is generally younger than the state, there is still a large and growing need for aging-related services as we see more and more migration to this retirement destination area. According to the Real Property Research Group market study completed for this project Senior Households (55+) are expected to increase nearly twice as fast as total households in the Myrtle Terraces Market Area on a percentage basis over the next two years; senior household growth includes both net migration and aging in place. The Myrtle Terraces Market Area had 9,920 households with householder age 55 and older as of the 2010 Census count with 236 households with householder age 55 and older being added each year from 2010 to 2018. Strong growth is expected to continue with the annual addition of 230 senior households (55+) from 2018 to 2020. The market area is expected to reach 12, 264 households with householder aged 55+ by 2020. The CHNA notes the increasing health care needs associated with an aging population, including the need to manage co-existing chronic conditions, physical and cognitive changes that can make it more difficult to cope with activities of daily living, and social isolation that can lead to depression. The HHI at Myrtle Terraces Phase 2 will address all of these potential needs for our residents through a proven partnership with Brenau’s faculty and students.
The Searles Foundation and Brenau University see our partnership as an opportunity to emphasize a comprehensive approach to healthy living for the older adults who will live at Myrtle Terraces Phase 2.  We currently provide these services through Brenau University at our sister property, Myrtle Terraces. Faculty and Students work with residents each semester in the schools of Occupational Therapy and Psychology in both large group settings as well as one-on-one settings. In addition to services offered by Brenau, our on-site garden and nutrition education components based on the EFNEP from UGA Extension (http://extension.uga.edu/county-offices/hall.html ) will further enhance this comprehensive approach by providing environmental and educational support. Historically, Brenau has interacted with residents at Myrtle Terraces in regard to gardening for Seniors and will be expected to continue this practice with our next Phase 2 community.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WftwKw5FWcslMEWRXZp80ttql7zlmtTmcS8us6Ohxwpxza76rOKrTcVCZODspmECXmaBIWu1wp0eG+XmmjSE4Q==" saltValue="WLbAD6Vfvmbx9UunmD7Q1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2018-037 Myrtle Terraces Phase 2, Gainesville, Hall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4516</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4313</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4" t="s">
        <v>4605</v>
      </c>
      <c r="I5" s="3515"/>
      <c r="J5" s="3515"/>
      <c r="K5" s="3515"/>
      <c r="L5" s="3515"/>
      <c r="M5" s="3515"/>
      <c r="N5" s="3516"/>
      <c r="O5" s="1559" t="s">
        <v>2005</v>
      </c>
      <c r="P5" s="1559"/>
      <c r="Q5" s="3514" t="s">
        <v>4551</v>
      </c>
      <c r="R5" s="3515"/>
      <c r="S5" s="3516"/>
      <c r="Y5" s="1163"/>
      <c r="Z5" s="1164"/>
      <c r="AA5" s="1570"/>
    </row>
    <row r="6" spans="1:27" s="305" customFormat="1" ht="11.25" customHeight="1">
      <c r="D6" s="348"/>
      <c r="E6" s="310" t="s">
        <v>1031</v>
      </c>
      <c r="F6" s="318"/>
      <c r="H6" s="3514" t="s">
        <v>4550</v>
      </c>
      <c r="I6" s="3515"/>
      <c r="J6" s="3515"/>
      <c r="K6" s="3515"/>
      <c r="L6" s="3515"/>
      <c r="M6" s="3515"/>
      <c r="N6" s="3516"/>
      <c r="O6" s="1559" t="s">
        <v>1760</v>
      </c>
      <c r="Q6" s="3514" t="s">
        <v>4552</v>
      </c>
      <c r="R6" s="3515"/>
      <c r="S6" s="3516"/>
      <c r="V6" s="1163"/>
      <c r="W6" s="1163"/>
      <c r="X6" s="1163"/>
      <c r="Y6" s="1163"/>
      <c r="Z6" s="1164"/>
      <c r="AA6" s="1570"/>
    </row>
    <row r="7" spans="1:27" s="305" customFormat="1" ht="11.25" customHeight="1">
      <c r="D7" s="348"/>
      <c r="E7" s="310" t="s">
        <v>624</v>
      </c>
      <c r="H7" s="3514" t="s">
        <v>823</v>
      </c>
      <c r="I7" s="3515"/>
      <c r="J7" s="3516"/>
      <c r="K7" s="3517" t="s">
        <v>770</v>
      </c>
      <c r="L7" s="3514"/>
      <c r="M7" s="3515"/>
      <c r="N7" s="3516"/>
      <c r="O7" s="1559" t="s">
        <v>1734</v>
      </c>
      <c r="Q7" s="3518"/>
      <c r="R7" s="3519"/>
      <c r="S7" s="3520"/>
    </row>
    <row r="8" spans="1:27" s="305" customFormat="1" ht="11.25" customHeight="1">
      <c r="D8" s="348"/>
      <c r="E8" s="310" t="s">
        <v>1812</v>
      </c>
      <c r="H8" s="3521" t="s">
        <v>856</v>
      </c>
      <c r="I8" s="1562" t="s">
        <v>2245</v>
      </c>
      <c r="J8" s="3522">
        <v>303501116</v>
      </c>
      <c r="K8" s="3516"/>
      <c r="L8" s="305" t="s">
        <v>3713</v>
      </c>
      <c r="M8" s="3523"/>
      <c r="N8" s="3524"/>
      <c r="O8" s="1559" t="s">
        <v>1995</v>
      </c>
      <c r="Q8" s="3518">
        <v>6784676861</v>
      </c>
      <c r="R8" s="3519"/>
      <c r="S8" s="3520"/>
    </row>
    <row r="9" spans="1:27" s="305" customFormat="1" ht="11.25" customHeight="1">
      <c r="D9" s="348"/>
      <c r="E9" s="310" t="s">
        <v>4314</v>
      </c>
      <c r="H9" s="3518">
        <v>6784676861</v>
      </c>
      <c r="I9" s="3520"/>
      <c r="J9" s="3525"/>
      <c r="K9" s="1571" t="s">
        <v>2000</v>
      </c>
      <c r="L9" s="3526" t="s">
        <v>4553</v>
      </c>
      <c r="M9" s="3527"/>
      <c r="N9" s="3527"/>
      <c r="O9" s="3527"/>
      <c r="P9" s="3527"/>
      <c r="Q9" s="3527"/>
      <c r="R9" s="3527"/>
      <c r="S9" s="3528"/>
    </row>
    <row r="10" spans="1:27" s="305" customFormat="1" ht="11.25" customHeight="1">
      <c r="D10" s="348"/>
      <c r="E10" s="1417" t="s">
        <v>4313</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9" t="s">
        <v>1296</v>
      </c>
      <c r="W12" s="3529"/>
      <c r="X12" s="3529"/>
      <c r="Y12" s="3529"/>
      <c r="Z12" s="3529"/>
    </row>
    <row r="13" spans="1:27" s="305" customFormat="1" ht="11.25" customHeight="1">
      <c r="C13" s="350" t="s">
        <v>2002</v>
      </c>
      <c r="D13" s="347" t="s">
        <v>2003</v>
      </c>
      <c r="H13" s="1570"/>
      <c r="I13" s="1570"/>
      <c r="J13" s="1570"/>
      <c r="N13" s="1165"/>
      <c r="W13" s="3530"/>
      <c r="X13" s="3530"/>
      <c r="Y13" s="3530"/>
      <c r="Z13" s="3530"/>
    </row>
    <row r="14" spans="1:27" s="305" customFormat="1" ht="11.25" customHeight="1">
      <c r="D14" s="307" t="s">
        <v>2132</v>
      </c>
      <c r="E14" s="305" t="s">
        <v>1870</v>
      </c>
      <c r="H14" s="3531" t="s">
        <v>4606</v>
      </c>
      <c r="I14" s="3532"/>
      <c r="J14" s="3532"/>
      <c r="K14" s="3532"/>
      <c r="L14" s="3532"/>
      <c r="M14" s="3532"/>
      <c r="N14" s="3533"/>
      <c r="O14" s="1559" t="s">
        <v>2005</v>
      </c>
      <c r="P14" s="1559"/>
      <c r="Q14" s="3531" t="s">
        <v>4551</v>
      </c>
      <c r="R14" s="3532"/>
      <c r="S14" s="3533"/>
    </row>
    <row r="15" spans="1:27" s="305" customFormat="1" ht="11.25" customHeight="1">
      <c r="D15" s="348"/>
      <c r="E15" s="310" t="s">
        <v>1031</v>
      </c>
      <c r="F15" s="318"/>
      <c r="H15" s="3531" t="s">
        <v>4550</v>
      </c>
      <c r="I15" s="3532"/>
      <c r="J15" s="3532"/>
      <c r="K15" s="3532"/>
      <c r="L15" s="3532"/>
      <c r="M15" s="3532"/>
      <c r="N15" s="3533"/>
      <c r="O15" s="1559" t="s">
        <v>1760</v>
      </c>
      <c r="Q15" s="3531" t="s">
        <v>4552</v>
      </c>
      <c r="R15" s="3532"/>
      <c r="S15" s="3533"/>
    </row>
    <row r="16" spans="1:27" s="305" customFormat="1" ht="11.25" customHeight="1">
      <c r="D16" s="348"/>
      <c r="E16" s="310" t="s">
        <v>624</v>
      </c>
      <c r="H16" s="3531" t="s">
        <v>823</v>
      </c>
      <c r="I16" s="3532"/>
      <c r="J16" s="3533"/>
      <c r="K16" s="1561" t="s">
        <v>2722</v>
      </c>
      <c r="L16" s="3531" t="s">
        <v>4554</v>
      </c>
      <c r="M16" s="3532"/>
      <c r="N16" s="3533"/>
      <c r="O16" s="1559" t="s">
        <v>1734</v>
      </c>
      <c r="Q16" s="3534"/>
      <c r="R16" s="3535"/>
      <c r="S16" s="3536"/>
    </row>
    <row r="17" spans="3:19" s="305" customFormat="1" ht="11.25" customHeight="1">
      <c r="D17" s="307"/>
      <c r="E17" s="310" t="s">
        <v>1812</v>
      </c>
      <c r="H17" s="3537" t="s">
        <v>856</v>
      </c>
      <c r="K17" s="1562" t="s">
        <v>2245</v>
      </c>
      <c r="L17" s="3538">
        <v>303501116</v>
      </c>
      <c r="M17" s="3539"/>
      <c r="O17" s="1559" t="s">
        <v>1995</v>
      </c>
      <c r="Q17" s="3534">
        <v>6784676861</v>
      </c>
      <c r="R17" s="3535"/>
      <c r="S17" s="3536"/>
    </row>
    <row r="18" spans="3:19" s="305" customFormat="1" ht="11.25" customHeight="1">
      <c r="D18" s="348"/>
      <c r="E18" s="310" t="s">
        <v>4314</v>
      </c>
      <c r="H18" s="3534"/>
      <c r="I18" s="3536"/>
      <c r="J18" s="3540"/>
      <c r="K18" s="1571" t="s">
        <v>2000</v>
      </c>
      <c r="L18" s="3526" t="s">
        <v>4553</v>
      </c>
      <c r="M18" s="3527"/>
      <c r="N18" s="3527"/>
      <c r="O18" s="3527"/>
      <c r="P18" s="3527"/>
      <c r="Q18" s="3527"/>
      <c r="R18" s="3527"/>
      <c r="S18" s="3528"/>
    </row>
    <row r="19" spans="3:19" ht="4.1500000000000004" customHeight="1">
      <c r="D19" s="333"/>
      <c r="H19" s="3541"/>
      <c r="I19" s="3541"/>
      <c r="J19" s="3541"/>
      <c r="K19" s="1571"/>
      <c r="L19" s="3541"/>
      <c r="M19" s="3541"/>
      <c r="N19" s="1558"/>
      <c r="O19" s="1613"/>
      <c r="P19" s="1613"/>
      <c r="Q19" s="1571"/>
      <c r="R19" s="1613"/>
      <c r="S19" s="1613"/>
    </row>
    <row r="20" spans="3:19" s="305" customFormat="1" ht="11.25" customHeight="1">
      <c r="D20" s="307" t="s">
        <v>2133</v>
      </c>
      <c r="E20" s="305" t="s">
        <v>1871</v>
      </c>
      <c r="F20" s="1570"/>
      <c r="H20" s="3531"/>
      <c r="I20" s="3532"/>
      <c r="J20" s="3532"/>
      <c r="K20" s="3532"/>
      <c r="L20" s="3532"/>
      <c r="M20" s="3532"/>
      <c r="N20" s="3533"/>
      <c r="O20" s="1559" t="s">
        <v>2005</v>
      </c>
      <c r="P20" s="1559"/>
      <c r="Q20" s="3531"/>
      <c r="R20" s="3532"/>
      <c r="S20" s="3533"/>
    </row>
    <row r="21" spans="3:19" s="305" customFormat="1" ht="11.25" customHeight="1">
      <c r="D21" s="348"/>
      <c r="E21" s="310" t="s">
        <v>1031</v>
      </c>
      <c r="F21" s="318"/>
      <c r="H21" s="3531"/>
      <c r="I21" s="3532"/>
      <c r="J21" s="3532"/>
      <c r="K21" s="3532"/>
      <c r="L21" s="3532"/>
      <c r="M21" s="3532"/>
      <c r="N21" s="3533"/>
      <c r="O21" s="1559" t="s">
        <v>1760</v>
      </c>
      <c r="Q21" s="3531"/>
      <c r="R21" s="3532"/>
      <c r="S21" s="3533"/>
    </row>
    <row r="22" spans="3:19" s="305" customFormat="1" ht="11.25" customHeight="1">
      <c r="D22" s="348"/>
      <c r="E22" s="310" t="s">
        <v>624</v>
      </c>
      <c r="H22" s="3531"/>
      <c r="I22" s="3532"/>
      <c r="J22" s="3533"/>
      <c r="K22" s="1561" t="s">
        <v>2722</v>
      </c>
      <c r="L22" s="3531"/>
      <c r="M22" s="3532"/>
      <c r="N22" s="3533"/>
      <c r="O22" s="1559" t="s">
        <v>1734</v>
      </c>
      <c r="Q22" s="3534"/>
      <c r="R22" s="3535"/>
      <c r="S22" s="3536"/>
    </row>
    <row r="23" spans="3:19" s="305" customFormat="1" ht="11.25" customHeight="1">
      <c r="E23" s="310" t="s">
        <v>1812</v>
      </c>
      <c r="H23" s="3537"/>
      <c r="K23" s="1562" t="s">
        <v>2245</v>
      </c>
      <c r="L23" s="3538"/>
      <c r="M23" s="3539"/>
      <c r="O23" s="1559" t="s">
        <v>1995</v>
      </c>
      <c r="Q23" s="3534"/>
      <c r="R23" s="3535"/>
      <c r="S23" s="3536"/>
    </row>
    <row r="24" spans="3:19" s="305" customFormat="1" ht="11.25" customHeight="1">
      <c r="D24" s="348"/>
      <c r="E24" s="310" t="s">
        <v>4314</v>
      </c>
      <c r="H24" s="3534"/>
      <c r="I24" s="3536"/>
      <c r="J24" s="3540"/>
      <c r="K24" s="1571" t="s">
        <v>2000</v>
      </c>
      <c r="L24" s="3526"/>
      <c r="M24" s="3527"/>
      <c r="N24" s="3527"/>
      <c r="O24" s="3527"/>
      <c r="P24" s="3527"/>
      <c r="Q24" s="3527"/>
      <c r="R24" s="3527"/>
      <c r="S24" s="3528"/>
    </row>
    <row r="25" spans="3:19" s="305" customFormat="1" ht="4.1500000000000004" customHeight="1">
      <c r="D25" s="348"/>
      <c r="E25" s="1570"/>
      <c r="F25" s="1570"/>
      <c r="G25" s="1559"/>
      <c r="H25" s="3541"/>
      <c r="I25" s="3541"/>
      <c r="J25" s="3541"/>
      <c r="K25" s="1571"/>
      <c r="L25" s="3541"/>
      <c r="M25" s="3541"/>
      <c r="N25" s="1558"/>
      <c r="O25" s="1613"/>
      <c r="P25" s="1613"/>
      <c r="Q25" s="1571"/>
      <c r="R25" s="1613"/>
      <c r="S25" s="1613"/>
    </row>
    <row r="26" spans="3:19" s="305" customFormat="1" ht="11.25" customHeight="1">
      <c r="D26" s="307" t="s">
        <v>1747</v>
      </c>
      <c r="E26" s="305" t="s">
        <v>1871</v>
      </c>
      <c r="F26" s="1570"/>
      <c r="H26" s="3531"/>
      <c r="I26" s="3532"/>
      <c r="J26" s="3532"/>
      <c r="K26" s="3532"/>
      <c r="L26" s="3532"/>
      <c r="M26" s="3532"/>
      <c r="N26" s="3533"/>
      <c r="O26" s="1559" t="s">
        <v>2005</v>
      </c>
      <c r="P26" s="1559"/>
      <c r="Q26" s="3531"/>
      <c r="R26" s="3532"/>
      <c r="S26" s="3533"/>
    </row>
    <row r="27" spans="3:19" s="305" customFormat="1" ht="11.25" customHeight="1">
      <c r="D27" s="348"/>
      <c r="E27" s="310" t="s">
        <v>1031</v>
      </c>
      <c r="F27" s="318"/>
      <c r="H27" s="3531"/>
      <c r="I27" s="3532"/>
      <c r="J27" s="3532"/>
      <c r="K27" s="3532"/>
      <c r="L27" s="3532"/>
      <c r="M27" s="3532"/>
      <c r="N27" s="3533"/>
      <c r="O27" s="1559" t="s">
        <v>1760</v>
      </c>
      <c r="Q27" s="3531"/>
      <c r="R27" s="3532"/>
      <c r="S27" s="3533"/>
    </row>
    <row r="28" spans="3:19" s="305" customFormat="1" ht="11.25" customHeight="1">
      <c r="D28" s="348"/>
      <c r="E28" s="310" t="s">
        <v>624</v>
      </c>
      <c r="H28" s="3531"/>
      <c r="I28" s="3532"/>
      <c r="J28" s="3533"/>
      <c r="K28" s="1561" t="s">
        <v>2722</v>
      </c>
      <c r="L28" s="3531"/>
      <c r="M28" s="3532"/>
      <c r="N28" s="3533"/>
      <c r="O28" s="1559" t="s">
        <v>1734</v>
      </c>
      <c r="Q28" s="3534"/>
      <c r="R28" s="3535"/>
      <c r="S28" s="3536"/>
    </row>
    <row r="29" spans="3:19" s="305" customFormat="1" ht="11.25" customHeight="1">
      <c r="E29" s="310" t="s">
        <v>1812</v>
      </c>
      <c r="H29" s="3537"/>
      <c r="K29" s="1562" t="s">
        <v>2245</v>
      </c>
      <c r="L29" s="3538"/>
      <c r="M29" s="3539"/>
      <c r="O29" s="1559" t="s">
        <v>1995</v>
      </c>
      <c r="Q29" s="3534"/>
      <c r="R29" s="3535"/>
      <c r="S29" s="3536"/>
    </row>
    <row r="30" spans="3:19" s="305" customFormat="1" ht="11.25" customHeight="1">
      <c r="D30" s="348"/>
      <c r="E30" s="310" t="s">
        <v>4314</v>
      </c>
      <c r="H30" s="3534"/>
      <c r="I30" s="3536"/>
      <c r="J30" s="3540"/>
      <c r="K30" s="1571" t="s">
        <v>2000</v>
      </c>
      <c r="L30" s="3526"/>
      <c r="M30" s="3527"/>
      <c r="N30" s="3527"/>
      <c r="O30" s="3527"/>
      <c r="P30" s="3527"/>
      <c r="Q30" s="3527"/>
      <c r="R30" s="3527"/>
      <c r="S30" s="3528"/>
    </row>
    <row r="31" spans="3:19" ht="4.1500000000000004" customHeight="1"/>
    <row r="32" spans="3:19" s="305" customFormat="1" ht="11.25" customHeight="1">
      <c r="C32" s="350" t="s">
        <v>2004</v>
      </c>
      <c r="D32" s="347" t="s">
        <v>1873</v>
      </c>
      <c r="H32" s="1570"/>
      <c r="I32" s="1570"/>
      <c r="J32" s="1570"/>
      <c r="K32" s="1417" t="s">
        <v>4313</v>
      </c>
      <c r="L32" s="1570"/>
      <c r="M32" s="1570"/>
    </row>
    <row r="33" spans="3:19" s="305" customFormat="1" ht="11.25" customHeight="1">
      <c r="D33" s="307" t="s">
        <v>2132</v>
      </c>
      <c r="E33" s="305" t="s">
        <v>758</v>
      </c>
      <c r="H33" s="3531" t="s">
        <v>4555</v>
      </c>
      <c r="I33" s="3532"/>
      <c r="J33" s="3532"/>
      <c r="K33" s="3532"/>
      <c r="L33" s="3532"/>
      <c r="M33" s="3532"/>
      <c r="N33" s="3533"/>
      <c r="O33" s="1559" t="s">
        <v>2005</v>
      </c>
      <c r="P33" s="1559"/>
      <c r="Q33" s="3531" t="s">
        <v>4556</v>
      </c>
      <c r="R33" s="3532"/>
      <c r="S33" s="3533"/>
    </row>
    <row r="34" spans="3:19" s="305" customFormat="1" ht="11.25" customHeight="1">
      <c r="D34" s="348"/>
      <c r="E34" s="310" t="s">
        <v>1031</v>
      </c>
      <c r="F34" s="318"/>
      <c r="H34" s="3531" t="s">
        <v>4558</v>
      </c>
      <c r="I34" s="3532"/>
      <c r="J34" s="3532"/>
      <c r="K34" s="3532"/>
      <c r="L34" s="3532"/>
      <c r="M34" s="3532"/>
      <c r="N34" s="3533"/>
      <c r="O34" s="1559" t="s">
        <v>1760</v>
      </c>
      <c r="Q34" s="3531" t="s">
        <v>4557</v>
      </c>
      <c r="R34" s="3532"/>
      <c r="S34" s="3533"/>
    </row>
    <row r="35" spans="3:19" s="305" customFormat="1" ht="11.25" customHeight="1">
      <c r="D35" s="348"/>
      <c r="E35" s="310" t="s">
        <v>624</v>
      </c>
      <c r="H35" s="3531" t="s">
        <v>2545</v>
      </c>
      <c r="I35" s="3532"/>
      <c r="J35" s="3533"/>
      <c r="K35" s="1561" t="s">
        <v>2722</v>
      </c>
      <c r="L35" s="3531"/>
      <c r="M35" s="3532"/>
      <c r="N35" s="3533"/>
      <c r="O35" s="1559" t="s">
        <v>1734</v>
      </c>
      <c r="Q35" s="3534">
        <v>5734432021</v>
      </c>
      <c r="R35" s="3535"/>
      <c r="S35" s="3536"/>
    </row>
    <row r="36" spans="3:19" s="305" customFormat="1" ht="11.25" customHeight="1">
      <c r="E36" s="310" t="s">
        <v>1812</v>
      </c>
      <c r="H36" s="3537" t="s">
        <v>1353</v>
      </c>
      <c r="K36" s="1562" t="s">
        <v>2245</v>
      </c>
      <c r="L36" s="3538">
        <v>652034905</v>
      </c>
      <c r="M36" s="3539"/>
      <c r="O36" s="1559" t="s">
        <v>1995</v>
      </c>
      <c r="Q36" s="3534">
        <v>5734248811</v>
      </c>
      <c r="R36" s="3535"/>
      <c r="S36" s="3536"/>
    </row>
    <row r="37" spans="3:19" s="305" customFormat="1" ht="11.25" customHeight="1">
      <c r="D37" s="348"/>
      <c r="E37" s="310" t="s">
        <v>4314</v>
      </c>
      <c r="H37" s="3534">
        <v>5734432021</v>
      </c>
      <c r="I37" s="3536"/>
      <c r="J37" s="3540"/>
      <c r="K37" s="1571" t="s">
        <v>2000</v>
      </c>
      <c r="L37" s="3526" t="s">
        <v>4559</v>
      </c>
      <c r="M37" s="3527"/>
      <c r="N37" s="3527"/>
      <c r="O37" s="3527"/>
      <c r="P37" s="3527"/>
      <c r="Q37" s="3527"/>
      <c r="R37" s="3527"/>
      <c r="S37" s="3528"/>
    </row>
    <row r="38" spans="3:19" ht="4.1500000000000004" customHeight="1">
      <c r="H38" s="3541"/>
      <c r="I38" s="3541"/>
      <c r="J38" s="3541"/>
      <c r="K38" s="1571"/>
      <c r="L38" s="3541"/>
      <c r="M38" s="3541"/>
      <c r="N38" s="1558"/>
      <c r="O38" s="1613"/>
      <c r="P38" s="1613"/>
      <c r="Q38" s="1571"/>
      <c r="R38" s="1613"/>
      <c r="S38" s="1613"/>
    </row>
    <row r="39" spans="3:19" s="305" customFormat="1" ht="11.25" customHeight="1">
      <c r="D39" s="307" t="s">
        <v>2133</v>
      </c>
      <c r="E39" s="305" t="s">
        <v>759</v>
      </c>
      <c r="F39" s="307"/>
      <c r="H39" s="3531" t="s">
        <v>4555</v>
      </c>
      <c r="I39" s="3532"/>
      <c r="J39" s="3532"/>
      <c r="K39" s="3532"/>
      <c r="L39" s="3532"/>
      <c r="M39" s="3532"/>
      <c r="N39" s="3533"/>
      <c r="O39" s="1559" t="s">
        <v>2005</v>
      </c>
      <c r="P39" s="1559"/>
      <c r="Q39" s="3531" t="s">
        <v>4556</v>
      </c>
      <c r="R39" s="3532"/>
      <c r="S39" s="3533"/>
    </row>
    <row r="40" spans="3:19" s="305" customFormat="1" ht="11.25" customHeight="1">
      <c r="D40" s="348"/>
      <c r="E40" s="310" t="s">
        <v>1031</v>
      </c>
      <c r="F40" s="318"/>
      <c r="H40" s="3531" t="s">
        <v>4558</v>
      </c>
      <c r="I40" s="3532"/>
      <c r="J40" s="3532"/>
      <c r="K40" s="3532"/>
      <c r="L40" s="3532"/>
      <c r="M40" s="3532"/>
      <c r="N40" s="3533"/>
      <c r="O40" s="1559" t="s">
        <v>1760</v>
      </c>
      <c r="Q40" s="3531" t="s">
        <v>4557</v>
      </c>
      <c r="R40" s="3532"/>
      <c r="S40" s="3533"/>
    </row>
    <row r="41" spans="3:19" s="305" customFormat="1" ht="11.25" customHeight="1">
      <c r="D41" s="348"/>
      <c r="E41" s="310" t="s">
        <v>624</v>
      </c>
      <c r="H41" s="3531" t="s">
        <v>2545</v>
      </c>
      <c r="I41" s="3532"/>
      <c r="J41" s="3533"/>
      <c r="K41" s="1561" t="s">
        <v>2722</v>
      </c>
      <c r="L41" s="3531"/>
      <c r="M41" s="3532"/>
      <c r="N41" s="3533"/>
      <c r="O41" s="1559" t="s">
        <v>1734</v>
      </c>
      <c r="Q41" s="3534">
        <v>5734432021</v>
      </c>
      <c r="R41" s="3535"/>
      <c r="S41" s="3536"/>
    </row>
    <row r="42" spans="3:19" s="305" customFormat="1" ht="11.25" customHeight="1">
      <c r="D42" s="307"/>
      <c r="E42" s="310" t="s">
        <v>1812</v>
      </c>
      <c r="H42" s="3537" t="s">
        <v>1353</v>
      </c>
      <c r="K42" s="1562" t="s">
        <v>2245</v>
      </c>
      <c r="L42" s="3538">
        <v>652034905</v>
      </c>
      <c r="M42" s="3539"/>
      <c r="O42" s="1559" t="s">
        <v>1995</v>
      </c>
      <c r="Q42" s="3534">
        <v>5734248811</v>
      </c>
      <c r="R42" s="3535"/>
      <c r="S42" s="3536"/>
    </row>
    <row r="43" spans="3:19" s="305" customFormat="1" ht="11.25" customHeight="1">
      <c r="D43" s="348"/>
      <c r="E43" s="310" t="s">
        <v>4314</v>
      </c>
      <c r="H43" s="3534">
        <v>5734432021</v>
      </c>
      <c r="I43" s="3536"/>
      <c r="J43" s="3540"/>
      <c r="K43" s="1571" t="s">
        <v>2000</v>
      </c>
      <c r="L43" s="3526" t="s">
        <v>4706</v>
      </c>
      <c r="M43" s="3527"/>
      <c r="N43" s="3527"/>
      <c r="O43" s="3527"/>
      <c r="P43" s="3527"/>
      <c r="Q43" s="3527"/>
      <c r="R43" s="3527"/>
      <c r="S43" s="3528"/>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4313</v>
      </c>
      <c r="L45" s="1570"/>
      <c r="M45" s="1570"/>
    </row>
    <row r="46" spans="3:19" s="305" customFormat="1" ht="11.25" customHeight="1">
      <c r="E46" s="305" t="s">
        <v>93</v>
      </c>
      <c r="H46" s="3531" t="s">
        <v>4560</v>
      </c>
      <c r="I46" s="3532"/>
      <c r="J46" s="3532"/>
      <c r="K46" s="3532"/>
      <c r="L46" s="3532"/>
      <c r="M46" s="3532"/>
      <c r="N46" s="3533"/>
      <c r="O46" s="1559" t="s">
        <v>2005</v>
      </c>
      <c r="P46" s="1559"/>
      <c r="Q46" s="3531" t="s">
        <v>4583</v>
      </c>
      <c r="R46" s="3532"/>
      <c r="S46" s="3533"/>
    </row>
    <row r="47" spans="3:19" s="305" customFormat="1" ht="11.25" customHeight="1">
      <c r="D47" s="348"/>
      <c r="E47" s="310" t="s">
        <v>1031</v>
      </c>
      <c r="F47" s="318"/>
      <c r="H47" s="3531" t="s">
        <v>4562</v>
      </c>
      <c r="I47" s="3532"/>
      <c r="J47" s="3532"/>
      <c r="K47" s="3532"/>
      <c r="L47" s="3532"/>
      <c r="M47" s="3532"/>
      <c r="N47" s="3533"/>
      <c r="O47" s="1559" t="s">
        <v>1760</v>
      </c>
      <c r="Q47" s="3531" t="s">
        <v>4584</v>
      </c>
      <c r="R47" s="3532"/>
      <c r="S47" s="3533"/>
    </row>
    <row r="48" spans="3:19" s="305" customFormat="1" ht="11.25" customHeight="1">
      <c r="D48" s="348"/>
      <c r="E48" s="310" t="s">
        <v>624</v>
      </c>
      <c r="H48" s="3531" t="s">
        <v>2180</v>
      </c>
      <c r="I48" s="3532"/>
      <c r="J48" s="3533"/>
      <c r="K48" s="1561" t="s">
        <v>2722</v>
      </c>
      <c r="L48" s="3531" t="s">
        <v>4554</v>
      </c>
      <c r="M48" s="3532"/>
      <c r="N48" s="3533"/>
      <c r="O48" s="1559" t="s">
        <v>1734</v>
      </c>
      <c r="Q48" s="3534"/>
      <c r="R48" s="3535"/>
      <c r="S48" s="3536"/>
    </row>
    <row r="49" spans="1:19" s="305" customFormat="1" ht="11.25" customHeight="1">
      <c r="E49" s="310" t="s">
        <v>1812</v>
      </c>
      <c r="H49" s="3537" t="s">
        <v>856</v>
      </c>
      <c r="K49" s="1562" t="s">
        <v>2245</v>
      </c>
      <c r="L49" s="3538">
        <v>300751950</v>
      </c>
      <c r="M49" s="3539"/>
      <c r="O49" s="1559" t="s">
        <v>1995</v>
      </c>
      <c r="Q49" s="3534">
        <v>4044065219</v>
      </c>
      <c r="R49" s="3535"/>
      <c r="S49" s="3536"/>
    </row>
    <row r="50" spans="1:19" s="305" customFormat="1" ht="11.25" customHeight="1">
      <c r="D50" s="348"/>
      <c r="E50" s="310" t="s">
        <v>4314</v>
      </c>
      <c r="H50" s="3534"/>
      <c r="I50" s="3536"/>
      <c r="J50" s="3540"/>
      <c r="K50" s="1571" t="s">
        <v>2000</v>
      </c>
      <c r="L50" s="3526" t="s">
        <v>4585</v>
      </c>
      <c r="M50" s="3527"/>
      <c r="N50" s="3527"/>
      <c r="O50" s="3527"/>
      <c r="P50" s="3527"/>
      <c r="Q50" s="3527"/>
      <c r="R50" s="3527"/>
      <c r="S50" s="3528"/>
    </row>
    <row r="51" spans="1:19" ht="6.75" customHeight="1"/>
    <row r="52" spans="1:19" s="305" customFormat="1" ht="13.15" customHeight="1">
      <c r="A52" s="307" t="s">
        <v>748</v>
      </c>
      <c r="B52" s="307" t="s">
        <v>658</v>
      </c>
      <c r="F52" s="307"/>
      <c r="G52" s="1571"/>
      <c r="H52" s="1571"/>
      <c r="I52" s="1571"/>
      <c r="J52" s="1570"/>
      <c r="K52" s="1417" t="s">
        <v>4313</v>
      </c>
      <c r="L52" s="1570"/>
      <c r="M52" s="1570"/>
      <c r="N52" s="1570"/>
      <c r="O52" s="1570"/>
      <c r="P52" s="1570"/>
      <c r="Q52" s="1570"/>
      <c r="R52" s="1570"/>
      <c r="S52" s="1570"/>
    </row>
    <row r="53" spans="1:19" s="305" customFormat="1" ht="3" customHeight="1">
      <c r="A53" s="307"/>
      <c r="B53" s="307"/>
      <c r="F53" s="307"/>
      <c r="G53" s="1571"/>
      <c r="H53" s="3542"/>
      <c r="I53" s="3542"/>
      <c r="J53" s="3542"/>
      <c r="K53" s="1558"/>
      <c r="L53" s="3542"/>
      <c r="M53" s="3542"/>
      <c r="N53" s="1558"/>
      <c r="O53" s="1613"/>
      <c r="P53" s="1613"/>
      <c r="Q53" s="1571"/>
      <c r="R53" s="1613"/>
      <c r="S53" s="1613"/>
    </row>
    <row r="54" spans="1:19" s="305" customFormat="1" ht="11.25" customHeight="1">
      <c r="B54" s="307" t="s">
        <v>1999</v>
      </c>
      <c r="C54" s="307" t="s">
        <v>284</v>
      </c>
      <c r="H54" s="3531" t="s">
        <v>4560</v>
      </c>
      <c r="I54" s="3532"/>
      <c r="J54" s="3532"/>
      <c r="K54" s="3532"/>
      <c r="L54" s="3532"/>
      <c r="M54" s="3532"/>
      <c r="N54" s="3533"/>
      <c r="O54" s="1559" t="s">
        <v>2005</v>
      </c>
      <c r="P54" s="1559"/>
      <c r="Q54" s="3531" t="s">
        <v>4551</v>
      </c>
      <c r="R54" s="3532"/>
      <c r="S54" s="3533"/>
    </row>
    <row r="55" spans="1:19" s="305" customFormat="1" ht="11.25" customHeight="1">
      <c r="D55" s="348"/>
      <c r="E55" s="310" t="s">
        <v>1031</v>
      </c>
      <c r="F55" s="318"/>
      <c r="H55" s="3531" t="s">
        <v>4562</v>
      </c>
      <c r="I55" s="3532"/>
      <c r="J55" s="3532"/>
      <c r="K55" s="3532"/>
      <c r="L55" s="3532"/>
      <c r="M55" s="3532"/>
      <c r="N55" s="3533"/>
      <c r="O55" s="1559" t="s">
        <v>1760</v>
      </c>
      <c r="Q55" s="3531" t="s">
        <v>4561</v>
      </c>
      <c r="R55" s="3532"/>
      <c r="S55" s="3533"/>
    </row>
    <row r="56" spans="1:19" s="305" customFormat="1" ht="11.25" customHeight="1">
      <c r="D56" s="348"/>
      <c r="E56" s="310" t="s">
        <v>624</v>
      </c>
      <c r="H56" s="3531" t="s">
        <v>2180</v>
      </c>
      <c r="I56" s="3532"/>
      <c r="J56" s="3533"/>
      <c r="K56" s="1561" t="s">
        <v>2722</v>
      </c>
      <c r="L56" s="3531" t="s">
        <v>4554</v>
      </c>
      <c r="M56" s="3532"/>
      <c r="N56" s="3533"/>
      <c r="O56" s="1559" t="s">
        <v>1734</v>
      </c>
      <c r="Q56" s="3534"/>
      <c r="R56" s="3535"/>
      <c r="S56" s="3536"/>
    </row>
    <row r="57" spans="1:19" s="305" customFormat="1" ht="11.25" customHeight="1">
      <c r="E57" s="310" t="s">
        <v>1812</v>
      </c>
      <c r="H57" s="3537" t="s">
        <v>856</v>
      </c>
      <c r="K57" s="1562" t="s">
        <v>2245</v>
      </c>
      <c r="L57" s="3538">
        <v>300751950</v>
      </c>
      <c r="M57" s="3539"/>
      <c r="O57" s="1559" t="s">
        <v>1995</v>
      </c>
      <c r="Q57" s="3534">
        <v>6784676861</v>
      </c>
      <c r="R57" s="3535"/>
      <c r="S57" s="3536"/>
    </row>
    <row r="58" spans="1:19" s="305" customFormat="1" ht="11.25" customHeight="1">
      <c r="D58" s="348"/>
      <c r="E58" s="310" t="s">
        <v>4314</v>
      </c>
      <c r="H58" s="3534"/>
      <c r="I58" s="3536"/>
      <c r="J58" s="3540"/>
      <c r="K58" s="1571" t="s">
        <v>2000</v>
      </c>
      <c r="L58" s="3526" t="s">
        <v>4553</v>
      </c>
      <c r="M58" s="3527"/>
      <c r="N58" s="3527"/>
      <c r="O58" s="3527"/>
      <c r="P58" s="3527"/>
      <c r="Q58" s="3527"/>
      <c r="R58" s="3527"/>
      <c r="S58" s="3528"/>
    </row>
    <row r="59" spans="1:19" s="305" customFormat="1" ht="6.6" customHeight="1">
      <c r="D59" s="348"/>
      <c r="E59" s="1570"/>
      <c r="F59" s="1570"/>
      <c r="G59" s="1559"/>
      <c r="H59" s="3541"/>
      <c r="I59" s="3541"/>
      <c r="J59" s="3541"/>
      <c r="K59" s="1571"/>
      <c r="L59" s="3541"/>
      <c r="M59" s="3541"/>
      <c r="N59" s="1558"/>
      <c r="O59" s="1613"/>
      <c r="P59" s="1613"/>
      <c r="Q59" s="1571"/>
      <c r="R59" s="1613"/>
      <c r="S59" s="1613"/>
    </row>
    <row r="60" spans="1:19" s="305" customFormat="1" ht="11.25" customHeight="1">
      <c r="B60" s="307" t="s">
        <v>2001</v>
      </c>
      <c r="C60" s="307" t="s">
        <v>285</v>
      </c>
      <c r="H60" s="3531"/>
      <c r="I60" s="3532"/>
      <c r="J60" s="3532"/>
      <c r="K60" s="3532"/>
      <c r="L60" s="3532"/>
      <c r="M60" s="3532"/>
      <c r="N60" s="3533"/>
      <c r="O60" s="1559" t="s">
        <v>2005</v>
      </c>
      <c r="P60" s="1559"/>
      <c r="Q60" s="3531"/>
      <c r="R60" s="3532"/>
      <c r="S60" s="3533"/>
    </row>
    <row r="61" spans="1:19" s="305" customFormat="1" ht="11.25" customHeight="1">
      <c r="D61" s="348"/>
      <c r="E61" s="310" t="s">
        <v>1031</v>
      </c>
      <c r="F61" s="318"/>
      <c r="H61" s="3531"/>
      <c r="I61" s="3532"/>
      <c r="J61" s="3532"/>
      <c r="K61" s="3532"/>
      <c r="L61" s="3532"/>
      <c r="M61" s="3532"/>
      <c r="N61" s="3533"/>
      <c r="O61" s="1559" t="s">
        <v>1760</v>
      </c>
      <c r="Q61" s="3531"/>
      <c r="R61" s="3532"/>
      <c r="S61" s="3533"/>
    </row>
    <row r="62" spans="1:19" s="305" customFormat="1" ht="11.25" customHeight="1">
      <c r="D62" s="348"/>
      <c r="E62" s="310" t="s">
        <v>624</v>
      </c>
      <c r="H62" s="3531"/>
      <c r="I62" s="3532"/>
      <c r="J62" s="3533"/>
      <c r="K62" s="1561" t="s">
        <v>2722</v>
      </c>
      <c r="L62" s="3531"/>
      <c r="M62" s="3532"/>
      <c r="N62" s="3533"/>
      <c r="O62" s="1559" t="s">
        <v>1734</v>
      </c>
      <c r="Q62" s="3534"/>
      <c r="R62" s="3535"/>
      <c r="S62" s="3536"/>
    </row>
    <row r="63" spans="1:19" s="305" customFormat="1" ht="11.25" customHeight="1">
      <c r="E63" s="310" t="s">
        <v>1812</v>
      </c>
      <c r="H63" s="3537"/>
      <c r="K63" s="1562" t="s">
        <v>2245</v>
      </c>
      <c r="L63" s="3538"/>
      <c r="M63" s="3539"/>
      <c r="O63" s="1559" t="s">
        <v>1995</v>
      </c>
      <c r="Q63" s="3534"/>
      <c r="R63" s="3535"/>
      <c r="S63" s="3536"/>
    </row>
    <row r="64" spans="1:19" s="305" customFormat="1" ht="11.25" customHeight="1">
      <c r="D64" s="348"/>
      <c r="E64" s="310" t="s">
        <v>4314</v>
      </c>
      <c r="H64" s="3534"/>
      <c r="I64" s="3536"/>
      <c r="J64" s="3540"/>
      <c r="K64" s="1571" t="s">
        <v>2000</v>
      </c>
      <c r="L64" s="3526"/>
      <c r="M64" s="3527"/>
      <c r="N64" s="3527"/>
      <c r="O64" s="3527"/>
      <c r="P64" s="3527"/>
      <c r="Q64" s="3527"/>
      <c r="R64" s="3527"/>
      <c r="S64" s="3528"/>
    </row>
    <row r="65" spans="1:19" s="305" customFormat="1" ht="6.6" customHeight="1">
      <c r="D65" s="348"/>
      <c r="E65" s="1570"/>
      <c r="F65" s="1570"/>
      <c r="G65" s="1559"/>
      <c r="H65" s="3541"/>
      <c r="I65" s="3541"/>
      <c r="J65" s="3541"/>
      <c r="K65" s="1571"/>
      <c r="L65" s="3541"/>
      <c r="M65" s="3541"/>
      <c r="N65" s="1558"/>
      <c r="O65" s="1613"/>
      <c r="P65" s="1613"/>
      <c r="Q65" s="1571"/>
      <c r="R65" s="1613"/>
      <c r="S65" s="1613"/>
    </row>
    <row r="66" spans="1:19" s="305" customFormat="1" ht="11.25" customHeight="1">
      <c r="B66" s="307" t="s">
        <v>757</v>
      </c>
      <c r="C66" s="307" t="s">
        <v>1540</v>
      </c>
      <c r="H66" s="3531"/>
      <c r="I66" s="3532"/>
      <c r="J66" s="3532"/>
      <c r="K66" s="3532"/>
      <c r="L66" s="3532"/>
      <c r="M66" s="3532"/>
      <c r="N66" s="3533"/>
      <c r="O66" s="1559" t="s">
        <v>2005</v>
      </c>
      <c r="P66" s="1559"/>
      <c r="Q66" s="3531"/>
      <c r="R66" s="3532"/>
      <c r="S66" s="3533"/>
    </row>
    <row r="67" spans="1:19" s="305" customFormat="1" ht="11.25" customHeight="1">
      <c r="D67" s="348"/>
      <c r="E67" s="310" t="s">
        <v>1031</v>
      </c>
      <c r="F67" s="318"/>
      <c r="H67" s="3531"/>
      <c r="I67" s="3532"/>
      <c r="J67" s="3532"/>
      <c r="K67" s="3532"/>
      <c r="L67" s="3532"/>
      <c r="M67" s="3532"/>
      <c r="N67" s="3533"/>
      <c r="O67" s="1559" t="s">
        <v>1760</v>
      </c>
      <c r="Q67" s="3531"/>
      <c r="R67" s="3532"/>
      <c r="S67" s="3533"/>
    </row>
    <row r="68" spans="1:19" s="305" customFormat="1" ht="11.25" customHeight="1">
      <c r="D68" s="348"/>
      <c r="E68" s="310" t="s">
        <v>624</v>
      </c>
      <c r="H68" s="3531"/>
      <c r="I68" s="3532"/>
      <c r="J68" s="3533"/>
      <c r="K68" s="1561" t="s">
        <v>2722</v>
      </c>
      <c r="L68" s="3531"/>
      <c r="M68" s="3532"/>
      <c r="N68" s="3533"/>
      <c r="O68" s="1559" t="s">
        <v>1734</v>
      </c>
      <c r="Q68" s="3534"/>
      <c r="R68" s="3535"/>
      <c r="S68" s="3536"/>
    </row>
    <row r="69" spans="1:19" s="305" customFormat="1" ht="11.25" customHeight="1">
      <c r="E69" s="310" t="s">
        <v>1812</v>
      </c>
      <c r="H69" s="3537"/>
      <c r="K69" s="1562" t="s">
        <v>2245</v>
      </c>
      <c r="L69" s="3538"/>
      <c r="M69" s="3539"/>
      <c r="O69" s="1559" t="s">
        <v>1995</v>
      </c>
      <c r="Q69" s="3534"/>
      <c r="R69" s="3535"/>
      <c r="S69" s="3536"/>
    </row>
    <row r="70" spans="1:19" s="305" customFormat="1" ht="11.25" customHeight="1">
      <c r="D70" s="348"/>
      <c r="E70" s="310" t="s">
        <v>4314</v>
      </c>
      <c r="H70" s="3534"/>
      <c r="I70" s="3536"/>
      <c r="J70" s="3540"/>
      <c r="K70" s="1571" t="s">
        <v>2000</v>
      </c>
      <c r="L70" s="3526"/>
      <c r="M70" s="3527"/>
      <c r="N70" s="3527"/>
      <c r="O70" s="3527"/>
      <c r="P70" s="3527"/>
      <c r="Q70" s="3527"/>
      <c r="R70" s="3527"/>
      <c r="S70" s="3528"/>
    </row>
    <row r="71" spans="1:19" ht="6.6" customHeight="1">
      <c r="H71" s="3541"/>
      <c r="I71" s="3541"/>
      <c r="J71" s="3541"/>
      <c r="K71" s="1571"/>
      <c r="L71" s="3541"/>
      <c r="M71" s="3541"/>
      <c r="N71" s="1558"/>
      <c r="O71" s="1613"/>
      <c r="P71" s="1613"/>
      <c r="Q71" s="1571"/>
      <c r="R71" s="1613"/>
      <c r="S71" s="1613"/>
    </row>
    <row r="72" spans="1:19" s="305" customFormat="1" ht="11.25" customHeight="1">
      <c r="B72" s="307" t="s">
        <v>2131</v>
      </c>
      <c r="C72" s="307" t="s">
        <v>286</v>
      </c>
      <c r="H72" s="3531"/>
      <c r="I72" s="3532"/>
      <c r="J72" s="3532"/>
      <c r="K72" s="3532"/>
      <c r="L72" s="3532"/>
      <c r="M72" s="3532"/>
      <c r="N72" s="3533"/>
      <c r="O72" s="1559" t="s">
        <v>2005</v>
      </c>
      <c r="P72" s="1559"/>
      <c r="Q72" s="3531"/>
      <c r="R72" s="3532"/>
      <c r="S72" s="3533"/>
    </row>
    <row r="73" spans="1:19" s="305" customFormat="1" ht="11.25" customHeight="1">
      <c r="D73" s="348"/>
      <c r="E73" s="310" t="s">
        <v>1031</v>
      </c>
      <c r="F73" s="318"/>
      <c r="H73" s="3531"/>
      <c r="I73" s="3532"/>
      <c r="J73" s="3532"/>
      <c r="K73" s="3532"/>
      <c r="L73" s="3532"/>
      <c r="M73" s="3532"/>
      <c r="N73" s="3533"/>
      <c r="O73" s="1559" t="s">
        <v>1760</v>
      </c>
      <c r="Q73" s="3531"/>
      <c r="R73" s="3532"/>
      <c r="S73" s="3533"/>
    </row>
    <row r="74" spans="1:19" s="305" customFormat="1" ht="11.25" customHeight="1">
      <c r="D74" s="348"/>
      <c r="E74" s="310" t="s">
        <v>624</v>
      </c>
      <c r="H74" s="3531"/>
      <c r="I74" s="3532"/>
      <c r="J74" s="3533"/>
      <c r="K74" s="1561" t="s">
        <v>2722</v>
      </c>
      <c r="L74" s="3531"/>
      <c r="M74" s="3532"/>
      <c r="N74" s="3533"/>
      <c r="O74" s="1559" t="s">
        <v>1734</v>
      </c>
      <c r="Q74" s="3534"/>
      <c r="R74" s="3535"/>
      <c r="S74" s="3536"/>
    </row>
    <row r="75" spans="1:19" s="305" customFormat="1" ht="11.25" customHeight="1">
      <c r="E75" s="310" t="s">
        <v>1812</v>
      </c>
      <c r="H75" s="3537"/>
      <c r="K75" s="1562" t="s">
        <v>2245</v>
      </c>
      <c r="L75" s="3538"/>
      <c r="M75" s="3539"/>
      <c r="O75" s="1559" t="s">
        <v>1995</v>
      </c>
      <c r="Q75" s="3534"/>
      <c r="R75" s="3535"/>
      <c r="S75" s="3536"/>
    </row>
    <row r="76" spans="1:19" s="305" customFormat="1" ht="11.25" customHeight="1">
      <c r="D76" s="348"/>
      <c r="E76" s="310" t="s">
        <v>4314</v>
      </c>
      <c r="H76" s="3534"/>
      <c r="I76" s="3536"/>
      <c r="J76" s="3540"/>
      <c r="K76" s="1571" t="s">
        <v>2000</v>
      </c>
      <c r="L76" s="3526"/>
      <c r="M76" s="3527"/>
      <c r="N76" s="3527"/>
      <c r="O76" s="3527"/>
      <c r="P76" s="3527"/>
      <c r="Q76" s="3527"/>
      <c r="R76" s="3527"/>
      <c r="S76" s="3528"/>
    </row>
    <row r="77" spans="1:19" ht="6.75" customHeight="1"/>
    <row r="78" spans="1:19" s="310" customFormat="1" ht="13.15" customHeight="1">
      <c r="A78" s="311" t="s">
        <v>750</v>
      </c>
      <c r="B78" s="311" t="s">
        <v>287</v>
      </c>
      <c r="D78" s="311"/>
      <c r="E78" s="1559"/>
      <c r="F78" s="277"/>
      <c r="G78" s="277"/>
      <c r="H78" s="277"/>
      <c r="I78" s="277"/>
      <c r="J78" s="277"/>
      <c r="K78" s="1417" t="s">
        <v>4313</v>
      </c>
      <c r="L78" s="277"/>
      <c r="M78" s="277"/>
    </row>
    <row r="79" spans="1:19" s="310" customFormat="1" ht="3" customHeight="1">
      <c r="A79" s="311"/>
      <c r="B79" s="311"/>
      <c r="D79" s="311"/>
      <c r="E79" s="1559"/>
      <c r="F79" s="277"/>
      <c r="G79" s="277"/>
      <c r="H79" s="3542"/>
      <c r="I79" s="3542"/>
      <c r="J79" s="3542"/>
      <c r="K79" s="1558"/>
      <c r="L79" s="3542"/>
      <c r="M79" s="3542"/>
      <c r="N79" s="1558"/>
      <c r="O79" s="1613"/>
      <c r="P79" s="1613"/>
      <c r="Q79" s="1571"/>
      <c r="R79" s="1613"/>
      <c r="S79" s="1613"/>
    </row>
    <row r="80" spans="1:19" s="305" customFormat="1" ht="11.25" customHeight="1">
      <c r="B80" s="307" t="s">
        <v>1999</v>
      </c>
      <c r="C80" s="307" t="s">
        <v>288</v>
      </c>
      <c r="H80" s="3531"/>
      <c r="I80" s="3532"/>
      <c r="J80" s="3532"/>
      <c r="K80" s="3532"/>
      <c r="L80" s="3532"/>
      <c r="M80" s="3532"/>
      <c r="N80" s="3533"/>
      <c r="O80" s="1559" t="s">
        <v>2005</v>
      </c>
      <c r="P80" s="1559"/>
      <c r="Q80" s="3531"/>
      <c r="R80" s="3532"/>
      <c r="S80" s="3533"/>
    </row>
    <row r="81" spans="2:19" s="305" customFormat="1" ht="11.25" customHeight="1">
      <c r="D81" s="348"/>
      <c r="E81" s="310" t="s">
        <v>1031</v>
      </c>
      <c r="F81" s="318"/>
      <c r="H81" s="3531"/>
      <c r="I81" s="3532"/>
      <c r="J81" s="3532"/>
      <c r="K81" s="3532"/>
      <c r="L81" s="3532"/>
      <c r="M81" s="3532"/>
      <c r="N81" s="3533"/>
      <c r="O81" s="1559" t="s">
        <v>1760</v>
      </c>
      <c r="Q81" s="3531"/>
      <c r="R81" s="3532"/>
      <c r="S81" s="3533"/>
    </row>
    <row r="82" spans="2:19" s="305" customFormat="1" ht="11.25" customHeight="1">
      <c r="D82" s="348"/>
      <c r="E82" s="310" t="s">
        <v>624</v>
      </c>
      <c r="H82" s="3531"/>
      <c r="I82" s="3532"/>
      <c r="J82" s="3533"/>
      <c r="K82" s="1561" t="s">
        <v>2722</v>
      </c>
      <c r="L82" s="3531"/>
      <c r="M82" s="3532"/>
      <c r="N82" s="3533"/>
      <c r="O82" s="1559" t="s">
        <v>1734</v>
      </c>
      <c r="Q82" s="3534"/>
      <c r="R82" s="3535"/>
      <c r="S82" s="3536"/>
    </row>
    <row r="83" spans="2:19" s="305" customFormat="1" ht="11.25" customHeight="1">
      <c r="E83" s="310" t="s">
        <v>1812</v>
      </c>
      <c r="H83" s="3537"/>
      <c r="K83" s="1562" t="s">
        <v>2245</v>
      </c>
      <c r="L83" s="3538"/>
      <c r="M83" s="3539"/>
      <c r="O83" s="1559" t="s">
        <v>1995</v>
      </c>
      <c r="Q83" s="3534"/>
      <c r="R83" s="3535"/>
      <c r="S83" s="3536"/>
    </row>
    <row r="84" spans="2:19" s="305" customFormat="1" ht="11.25" customHeight="1">
      <c r="D84" s="348"/>
      <c r="E84" s="310" t="s">
        <v>4314</v>
      </c>
      <c r="H84" s="3534"/>
      <c r="I84" s="3536"/>
      <c r="J84" s="3540"/>
      <c r="K84" s="1571" t="s">
        <v>2000</v>
      </c>
      <c r="L84" s="3526"/>
      <c r="M84" s="3527"/>
      <c r="N84" s="3527"/>
      <c r="O84" s="3527"/>
      <c r="P84" s="3527"/>
      <c r="Q84" s="3527"/>
      <c r="R84" s="3527"/>
      <c r="S84" s="3528"/>
    </row>
    <row r="85" spans="2:19" ht="6.6" customHeight="1">
      <c r="H85" s="3541"/>
      <c r="I85" s="3541"/>
      <c r="J85" s="3541"/>
      <c r="K85" s="1571"/>
      <c r="L85" s="3541"/>
      <c r="M85" s="3541"/>
      <c r="N85" s="1558"/>
      <c r="O85" s="1613"/>
      <c r="P85" s="1613"/>
      <c r="Q85" s="1571"/>
      <c r="R85" s="1613"/>
      <c r="S85" s="1613"/>
    </row>
    <row r="86" spans="2:19" s="305" customFormat="1" ht="11.25" customHeight="1">
      <c r="B86" s="307" t="s">
        <v>2001</v>
      </c>
      <c r="C86" s="307" t="s">
        <v>289</v>
      </c>
      <c r="H86" s="3531" t="s">
        <v>4563</v>
      </c>
      <c r="I86" s="3532"/>
      <c r="J86" s="3532"/>
      <c r="K86" s="3532"/>
      <c r="L86" s="3532"/>
      <c r="M86" s="3532"/>
      <c r="N86" s="3533"/>
      <c r="O86" s="1559" t="s">
        <v>2005</v>
      </c>
      <c r="P86" s="1559"/>
      <c r="Q86" s="3531" t="s">
        <v>4564</v>
      </c>
      <c r="R86" s="3532"/>
      <c r="S86" s="3533"/>
    </row>
    <row r="87" spans="2:19" s="305" customFormat="1" ht="11.25" customHeight="1">
      <c r="D87" s="348"/>
      <c r="E87" s="310" t="s">
        <v>1031</v>
      </c>
      <c r="F87" s="318"/>
      <c r="H87" s="3531" t="s">
        <v>4568</v>
      </c>
      <c r="I87" s="3532"/>
      <c r="J87" s="3532"/>
      <c r="K87" s="3532"/>
      <c r="L87" s="3532"/>
      <c r="M87" s="3532"/>
      <c r="N87" s="3533"/>
      <c r="O87" s="1559" t="s">
        <v>1760</v>
      </c>
      <c r="Q87" s="3531" t="s">
        <v>4565</v>
      </c>
      <c r="R87" s="3532"/>
      <c r="S87" s="3533"/>
    </row>
    <row r="88" spans="2:19" s="305" customFormat="1" ht="11.25" customHeight="1">
      <c r="D88" s="348"/>
      <c r="E88" s="310" t="s">
        <v>624</v>
      </c>
      <c r="H88" s="3531" t="s">
        <v>1217</v>
      </c>
      <c r="I88" s="3532"/>
      <c r="J88" s="3533"/>
      <c r="K88" s="1561" t="s">
        <v>2722</v>
      </c>
      <c r="L88" s="3531"/>
      <c r="M88" s="3532"/>
      <c r="N88" s="3533"/>
      <c r="O88" s="1559" t="s">
        <v>1734</v>
      </c>
      <c r="Q88" s="3534">
        <v>5734432021</v>
      </c>
      <c r="R88" s="3535"/>
      <c r="S88" s="3536"/>
    </row>
    <row r="89" spans="2:19" s="305" customFormat="1" ht="11.25" customHeight="1">
      <c r="E89" s="310" t="s">
        <v>1812</v>
      </c>
      <c r="H89" s="3537" t="s">
        <v>856</v>
      </c>
      <c r="K89" s="1562" t="s">
        <v>2245</v>
      </c>
      <c r="L89" s="3538">
        <v>303272216</v>
      </c>
      <c r="M89" s="3539"/>
      <c r="O89" s="1559" t="s">
        <v>1995</v>
      </c>
      <c r="Q89" s="3534"/>
      <c r="R89" s="3535"/>
      <c r="S89" s="3536"/>
    </row>
    <row r="90" spans="2:19" s="305" customFormat="1" ht="11.25" customHeight="1">
      <c r="D90" s="348"/>
      <c r="E90" s="310" t="s">
        <v>4314</v>
      </c>
      <c r="H90" s="3534">
        <v>5734432021</v>
      </c>
      <c r="I90" s="3536"/>
      <c r="J90" s="3540"/>
      <c r="K90" s="1571" t="s">
        <v>2000</v>
      </c>
      <c r="L90" s="3526" t="s">
        <v>4582</v>
      </c>
      <c r="M90" s="3527"/>
      <c r="N90" s="3527"/>
      <c r="O90" s="3527"/>
      <c r="P90" s="3527"/>
      <c r="Q90" s="3527"/>
      <c r="R90" s="3527"/>
      <c r="S90" s="3528"/>
    </row>
    <row r="91" spans="2:19" ht="6.6" customHeight="1">
      <c r="H91" s="3541"/>
      <c r="I91" s="3541"/>
      <c r="J91" s="3541"/>
      <c r="K91" s="1571"/>
      <c r="L91" s="3541"/>
      <c r="M91" s="3541"/>
      <c r="N91" s="1558"/>
      <c r="O91" s="1613"/>
      <c r="P91" s="1613"/>
      <c r="Q91" s="1571"/>
      <c r="R91" s="1613"/>
      <c r="S91" s="1613"/>
    </row>
    <row r="92" spans="2:19" s="305" customFormat="1" ht="11.25" customHeight="1">
      <c r="B92" s="307" t="s">
        <v>757</v>
      </c>
      <c r="C92" s="307" t="s">
        <v>290</v>
      </c>
      <c r="F92" s="324"/>
      <c r="H92" s="3531" t="s">
        <v>4569</v>
      </c>
      <c r="I92" s="3532"/>
      <c r="J92" s="3532"/>
      <c r="K92" s="3532"/>
      <c r="L92" s="3532"/>
      <c r="M92" s="3532"/>
      <c r="N92" s="3533"/>
      <c r="O92" s="1559" t="s">
        <v>2005</v>
      </c>
      <c r="P92" s="1559"/>
      <c r="Q92" s="3531" t="s">
        <v>4566</v>
      </c>
      <c r="R92" s="3532"/>
      <c r="S92" s="3533"/>
    </row>
    <row r="93" spans="2:19" s="305" customFormat="1" ht="11.25" customHeight="1">
      <c r="D93" s="348"/>
      <c r="E93" s="310" t="s">
        <v>1031</v>
      </c>
      <c r="F93" s="318"/>
      <c r="H93" s="3531" t="s">
        <v>4568</v>
      </c>
      <c r="I93" s="3532"/>
      <c r="J93" s="3532"/>
      <c r="K93" s="3532"/>
      <c r="L93" s="3532"/>
      <c r="M93" s="3532"/>
      <c r="N93" s="3533"/>
      <c r="O93" s="1559" t="s">
        <v>1760</v>
      </c>
      <c r="Q93" s="3531" t="s">
        <v>4567</v>
      </c>
      <c r="R93" s="3532"/>
      <c r="S93" s="3533"/>
    </row>
    <row r="94" spans="2:19" s="305" customFormat="1" ht="11.25" customHeight="1">
      <c r="D94" s="348"/>
      <c r="E94" s="310" t="s">
        <v>624</v>
      </c>
      <c r="H94" s="3531" t="s">
        <v>1217</v>
      </c>
      <c r="I94" s="3532"/>
      <c r="J94" s="3533"/>
      <c r="K94" s="1561" t="s">
        <v>2722</v>
      </c>
      <c r="L94" s="3531"/>
      <c r="M94" s="3532"/>
      <c r="N94" s="3533"/>
      <c r="O94" s="1559" t="s">
        <v>1734</v>
      </c>
      <c r="Q94" s="3534">
        <v>5734432021</v>
      </c>
      <c r="R94" s="3535"/>
      <c r="S94" s="3536"/>
    </row>
    <row r="95" spans="2:19" s="305" customFormat="1" ht="11.25" customHeight="1">
      <c r="D95" s="348"/>
      <c r="E95" s="310" t="s">
        <v>1812</v>
      </c>
      <c r="H95" s="3537" t="s">
        <v>856</v>
      </c>
      <c r="K95" s="1562" t="s">
        <v>2245</v>
      </c>
      <c r="L95" s="3538">
        <v>303272216</v>
      </c>
      <c r="M95" s="3539"/>
      <c r="O95" s="1559" t="s">
        <v>1995</v>
      </c>
      <c r="Q95" s="3534">
        <v>5732683474</v>
      </c>
      <c r="R95" s="3535"/>
      <c r="S95" s="3536"/>
    </row>
    <row r="96" spans="2:19" s="305" customFormat="1" ht="11.25" customHeight="1">
      <c r="D96" s="348"/>
      <c r="E96" s="310" t="s">
        <v>4314</v>
      </c>
      <c r="H96" s="3534">
        <v>5734432021</v>
      </c>
      <c r="I96" s="3536"/>
      <c r="J96" s="3540"/>
      <c r="K96" s="1571" t="s">
        <v>2000</v>
      </c>
      <c r="L96" s="3526" t="s">
        <v>4581</v>
      </c>
      <c r="M96" s="3527"/>
      <c r="N96" s="3527"/>
      <c r="O96" s="3527"/>
      <c r="P96" s="3527"/>
      <c r="Q96" s="3527"/>
      <c r="R96" s="3527"/>
      <c r="S96" s="3528"/>
    </row>
    <row r="97" spans="2:19" ht="6.6" customHeight="1">
      <c r="H97" s="3541"/>
      <c r="I97" s="3541"/>
      <c r="J97" s="3541"/>
      <c r="K97" s="1571"/>
      <c r="L97" s="3541"/>
      <c r="M97" s="3541"/>
      <c r="N97" s="1558"/>
      <c r="O97" s="1613"/>
      <c r="P97" s="1613"/>
      <c r="Q97" s="1571"/>
      <c r="R97" s="1613"/>
      <c r="S97" s="1613"/>
    </row>
    <row r="98" spans="2:19" s="305" customFormat="1" ht="11.25" customHeight="1">
      <c r="B98" s="307" t="s">
        <v>2131</v>
      </c>
      <c r="C98" s="307" t="s">
        <v>291</v>
      </c>
      <c r="H98" s="3531" t="s">
        <v>4672</v>
      </c>
      <c r="I98" s="3532"/>
      <c r="J98" s="3532"/>
      <c r="K98" s="3532"/>
      <c r="L98" s="3532"/>
      <c r="M98" s="3532"/>
      <c r="N98" s="3533"/>
      <c r="O98" s="1559" t="s">
        <v>2005</v>
      </c>
      <c r="P98" s="1559"/>
      <c r="Q98" s="1571" t="s">
        <v>4673</v>
      </c>
      <c r="R98" s="1613"/>
      <c r="S98" s="1613"/>
    </row>
    <row r="99" spans="2:19" s="305" customFormat="1" ht="11.25" customHeight="1">
      <c r="D99" s="348"/>
      <c r="E99" s="310" t="s">
        <v>1031</v>
      </c>
      <c r="F99" s="318"/>
      <c r="H99" s="3531" t="s">
        <v>4674</v>
      </c>
      <c r="I99" s="3532"/>
      <c r="J99" s="3532"/>
      <c r="K99" s="3532"/>
      <c r="L99" s="3532"/>
      <c r="M99" s="3532"/>
      <c r="N99" s="3533"/>
      <c r="O99" s="1559" t="s">
        <v>1760</v>
      </c>
      <c r="Q99" s="3531" t="s">
        <v>4571</v>
      </c>
      <c r="R99" s="3532"/>
      <c r="S99" s="3533"/>
    </row>
    <row r="100" spans="2:19" s="305" customFormat="1" ht="11.25" customHeight="1">
      <c r="D100" s="348"/>
      <c r="E100" s="310" t="s">
        <v>624</v>
      </c>
      <c r="H100" s="3531" t="s">
        <v>1709</v>
      </c>
      <c r="I100" s="3532"/>
      <c r="J100" s="3533"/>
      <c r="K100" s="1561" t="s">
        <v>2722</v>
      </c>
      <c r="L100" s="3531" t="s">
        <v>4676</v>
      </c>
      <c r="M100" s="3532"/>
      <c r="N100" s="3533"/>
      <c r="O100" s="1559" t="s">
        <v>1734</v>
      </c>
      <c r="Q100" s="3534">
        <v>2296718260</v>
      </c>
      <c r="R100" s="3535"/>
      <c r="S100" s="3536"/>
    </row>
    <row r="101" spans="2:19" s="305" customFormat="1" ht="11.25" customHeight="1">
      <c r="D101" s="348"/>
      <c r="E101" s="310" t="s">
        <v>1812</v>
      </c>
      <c r="H101" s="3537" t="s">
        <v>856</v>
      </c>
      <c r="K101" s="1562" t="s">
        <v>2245</v>
      </c>
      <c r="L101" s="3538">
        <v>316010000</v>
      </c>
      <c r="M101" s="3539"/>
      <c r="O101" s="1559" t="s">
        <v>1995</v>
      </c>
      <c r="Q101" s="3534"/>
      <c r="R101" s="3535"/>
      <c r="S101" s="3536"/>
    </row>
    <row r="102" spans="2:19" ht="11.25" customHeight="1">
      <c r="E102" s="310" t="s">
        <v>4314</v>
      </c>
      <c r="F102" s="305"/>
      <c r="G102" s="305"/>
      <c r="H102" s="3534">
        <v>2296718260</v>
      </c>
      <c r="I102" s="3536"/>
      <c r="J102" s="3540"/>
      <c r="K102" s="1571" t="s">
        <v>2000</v>
      </c>
      <c r="L102" s="3526" t="s">
        <v>4675</v>
      </c>
      <c r="M102" s="3527"/>
      <c r="N102" s="3527"/>
      <c r="O102" s="3527"/>
      <c r="P102" s="3527"/>
      <c r="Q102" s="3527"/>
      <c r="R102" s="3527"/>
      <c r="S102" s="3528"/>
    </row>
    <row r="103" spans="2:19" ht="6" customHeight="1">
      <c r="E103" s="310"/>
      <c r="F103" s="305"/>
      <c r="G103" s="1570"/>
      <c r="H103" s="3542"/>
      <c r="I103" s="3542"/>
      <c r="J103" s="3542"/>
      <c r="K103" s="1558"/>
      <c r="L103" s="3542"/>
      <c r="M103" s="3542"/>
      <c r="N103" s="1558"/>
      <c r="O103" s="1613"/>
      <c r="P103" s="1613"/>
      <c r="Q103" s="1571"/>
      <c r="R103" s="1613"/>
      <c r="S103" s="1613"/>
    </row>
    <row r="104" spans="2:19" s="305" customFormat="1" ht="11.25" customHeight="1">
      <c r="B104" s="307" t="s">
        <v>1748</v>
      </c>
      <c r="C104" s="307" t="s">
        <v>292</v>
      </c>
      <c r="H104" s="3531" t="s">
        <v>4572</v>
      </c>
      <c r="I104" s="3532"/>
      <c r="J104" s="3532"/>
      <c r="K104" s="3532"/>
      <c r="L104" s="3532"/>
      <c r="M104" s="3532"/>
      <c r="N104" s="3533"/>
      <c r="O104" s="1559" t="s">
        <v>2005</v>
      </c>
      <c r="P104" s="1559"/>
      <c r="Q104" s="3531" t="s">
        <v>4570</v>
      </c>
      <c r="R104" s="3532"/>
      <c r="S104" s="3533"/>
    </row>
    <row r="105" spans="2:19" s="305" customFormat="1" ht="11.25" customHeight="1">
      <c r="D105" s="348"/>
      <c r="E105" s="310" t="s">
        <v>1031</v>
      </c>
      <c r="F105" s="318"/>
      <c r="H105" s="3531" t="s">
        <v>4573</v>
      </c>
      <c r="I105" s="3532"/>
      <c r="J105" s="3532"/>
      <c r="K105" s="3532"/>
      <c r="L105" s="3532"/>
      <c r="M105" s="3532"/>
      <c r="N105" s="3533"/>
      <c r="O105" s="1559" t="s">
        <v>1760</v>
      </c>
      <c r="Q105" s="3531" t="s">
        <v>4571</v>
      </c>
      <c r="R105" s="3532"/>
      <c r="S105" s="3533"/>
    </row>
    <row r="106" spans="2:19" s="305" customFormat="1" ht="11.25" customHeight="1">
      <c r="D106" s="348"/>
      <c r="E106" s="310" t="s">
        <v>624</v>
      </c>
      <c r="H106" s="3531" t="s">
        <v>1217</v>
      </c>
      <c r="I106" s="3532"/>
      <c r="J106" s="3533"/>
      <c r="K106" s="1561" t="s">
        <v>2722</v>
      </c>
      <c r="L106" s="3531" t="s">
        <v>4574</v>
      </c>
      <c r="M106" s="3532"/>
      <c r="N106" s="3533"/>
      <c r="O106" s="1559" t="s">
        <v>1734</v>
      </c>
      <c r="Q106" s="3534">
        <v>7703513271</v>
      </c>
      <c r="R106" s="3535"/>
      <c r="S106" s="3536"/>
    </row>
    <row r="107" spans="2:19" s="305" customFormat="1" ht="11.25" customHeight="1">
      <c r="D107" s="348"/>
      <c r="E107" s="310" t="s">
        <v>1812</v>
      </c>
      <c r="H107" s="3537" t="s">
        <v>856</v>
      </c>
      <c r="K107" s="1562" t="s">
        <v>2245</v>
      </c>
      <c r="L107" s="3538">
        <v>303286132</v>
      </c>
      <c r="M107" s="3539"/>
      <c r="O107" s="1559" t="s">
        <v>1995</v>
      </c>
      <c r="Q107" s="3534">
        <v>4043142857</v>
      </c>
      <c r="R107" s="3535"/>
      <c r="S107" s="3536"/>
    </row>
    <row r="108" spans="2:19" ht="11.25" customHeight="1">
      <c r="E108" s="310" t="s">
        <v>4314</v>
      </c>
      <c r="F108" s="305"/>
      <c r="G108" s="305"/>
      <c r="H108" s="3534">
        <v>7703537115</v>
      </c>
      <c r="I108" s="3536"/>
      <c r="J108" s="3540"/>
      <c r="K108" s="1571" t="s">
        <v>2000</v>
      </c>
      <c r="L108" s="3526" t="s">
        <v>4575</v>
      </c>
      <c r="M108" s="3527"/>
      <c r="N108" s="3527"/>
      <c r="O108" s="3527"/>
      <c r="P108" s="3527"/>
      <c r="Q108" s="3527"/>
      <c r="R108" s="3527"/>
      <c r="S108" s="3528"/>
    </row>
    <row r="109" spans="2:19" ht="6.6" customHeight="1">
      <c r="E109" s="310"/>
      <c r="F109" s="305"/>
      <c r="G109" s="1570"/>
      <c r="H109" s="3541"/>
      <c r="I109" s="3541"/>
      <c r="J109" s="3541"/>
      <c r="K109" s="1571"/>
      <c r="L109" s="3541"/>
      <c r="M109" s="3541"/>
      <c r="N109" s="1558"/>
      <c r="O109" s="1613"/>
      <c r="P109" s="1613"/>
      <c r="Q109" s="1571"/>
      <c r="R109" s="1613"/>
      <c r="S109" s="1613"/>
    </row>
    <row r="110" spans="2:19" s="305" customFormat="1" ht="11.25" customHeight="1">
      <c r="B110" s="307" t="s">
        <v>1749</v>
      </c>
      <c r="C110" s="307" t="s">
        <v>293</v>
      </c>
      <c r="H110" s="3531" t="s">
        <v>4576</v>
      </c>
      <c r="I110" s="3532"/>
      <c r="J110" s="3532"/>
      <c r="K110" s="3532"/>
      <c r="L110" s="3532"/>
      <c r="M110" s="3532"/>
      <c r="N110" s="3533"/>
      <c r="O110" s="1559" t="s">
        <v>2005</v>
      </c>
      <c r="P110" s="1559"/>
      <c r="Q110" s="3531" t="s">
        <v>4579</v>
      </c>
      <c r="R110" s="3532"/>
      <c r="S110" s="3533"/>
    </row>
    <row r="111" spans="2:19" s="305" customFormat="1" ht="11.25" customHeight="1">
      <c r="D111" s="348"/>
      <c r="E111" s="310" t="s">
        <v>1031</v>
      </c>
      <c r="F111" s="318"/>
      <c r="H111" s="3531" t="s">
        <v>4577</v>
      </c>
      <c r="I111" s="3532"/>
      <c r="J111" s="3532"/>
      <c r="K111" s="3532"/>
      <c r="L111" s="3532"/>
      <c r="M111" s="3532"/>
      <c r="N111" s="3533"/>
      <c r="O111" s="1559" t="s">
        <v>1760</v>
      </c>
      <c r="Q111" s="3531" t="s">
        <v>2490</v>
      </c>
      <c r="R111" s="3532"/>
      <c r="S111" s="3533"/>
    </row>
    <row r="112" spans="2:19" s="305" customFormat="1" ht="11.25" customHeight="1">
      <c r="D112" s="348"/>
      <c r="E112" s="310" t="s">
        <v>624</v>
      </c>
      <c r="H112" s="3531" t="s">
        <v>198</v>
      </c>
      <c r="I112" s="3532"/>
      <c r="J112" s="3533"/>
      <c r="K112" s="1561" t="s">
        <v>2722</v>
      </c>
      <c r="L112" s="3531" t="s">
        <v>4578</v>
      </c>
      <c r="M112" s="3532"/>
      <c r="N112" s="3533"/>
      <c r="O112" s="1559" t="s">
        <v>1734</v>
      </c>
      <c r="Q112" s="3534">
        <v>4043732800</v>
      </c>
      <c r="R112" s="3535"/>
      <c r="S112" s="3536"/>
    </row>
    <row r="113" spans="1:22" s="305" customFormat="1" ht="11.25" customHeight="1">
      <c r="D113" s="352"/>
      <c r="E113" s="310" t="s">
        <v>1812</v>
      </c>
      <c r="H113" s="3537" t="s">
        <v>856</v>
      </c>
      <c r="K113" s="1562" t="s">
        <v>2245</v>
      </c>
      <c r="L113" s="3538">
        <v>300303330</v>
      </c>
      <c r="M113" s="3539"/>
      <c r="O113" s="1559" t="s">
        <v>1995</v>
      </c>
      <c r="Q113" s="3534"/>
      <c r="R113" s="3535"/>
      <c r="S113" s="3536"/>
    </row>
    <row r="114" spans="1:22" s="305" customFormat="1" ht="11.25" customHeight="1">
      <c r="D114" s="352"/>
      <c r="E114" s="310" t="s">
        <v>4314</v>
      </c>
      <c r="H114" s="3534">
        <v>4043732800</v>
      </c>
      <c r="I114" s="3536"/>
      <c r="J114" s="3540"/>
      <c r="K114" s="1571" t="s">
        <v>2000</v>
      </c>
      <c r="L114" s="3526" t="s">
        <v>4580</v>
      </c>
      <c r="M114" s="3527"/>
      <c r="N114" s="3527"/>
      <c r="O114" s="3527"/>
      <c r="P114" s="3527"/>
      <c r="Q114" s="3527"/>
      <c r="R114" s="3527"/>
      <c r="S114" s="352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3514" t="s">
        <v>4560</v>
      </c>
      <c r="I117" s="3543"/>
      <c r="J117" s="3544"/>
      <c r="K117" s="1571" t="s">
        <v>2490</v>
      </c>
      <c r="L117" s="3531" t="s">
        <v>4583</v>
      </c>
      <c r="M117" s="3532"/>
      <c r="N117" s="3533"/>
      <c r="O117" s="310" t="s">
        <v>3602</v>
      </c>
      <c r="Q117" s="3531" t="s">
        <v>4607</v>
      </c>
      <c r="R117" s="3532"/>
      <c r="S117" s="3533"/>
    </row>
    <row r="118" spans="1:22" s="305" customFormat="1" ht="11.25" customHeight="1">
      <c r="D118" s="348"/>
      <c r="E118" s="310" t="s">
        <v>1031</v>
      </c>
      <c r="F118" s="318"/>
      <c r="H118" s="3531" t="s">
        <v>4562</v>
      </c>
      <c r="I118" s="3532"/>
      <c r="J118" s="3532"/>
      <c r="K118" s="3532"/>
      <c r="L118" s="3532"/>
      <c r="M118" s="3532"/>
      <c r="N118" s="3533"/>
      <c r="O118" s="310" t="s">
        <v>624</v>
      </c>
      <c r="Q118" s="3531" t="s">
        <v>2180</v>
      </c>
      <c r="R118" s="3532"/>
      <c r="S118" s="3533"/>
    </row>
    <row r="119" spans="1:22" s="305" customFormat="1" ht="11.25" customHeight="1">
      <c r="D119" s="348"/>
      <c r="E119" s="310" t="s">
        <v>1812</v>
      </c>
      <c r="H119" s="3537" t="s">
        <v>856</v>
      </c>
      <c r="I119" s="1562" t="s">
        <v>2245</v>
      </c>
      <c r="J119" s="3545">
        <v>300751950</v>
      </c>
      <c r="K119" s="3533"/>
      <c r="L119" s="1571" t="s">
        <v>2000</v>
      </c>
      <c r="M119" s="3526" t="s">
        <v>4585</v>
      </c>
      <c r="N119" s="3527"/>
      <c r="O119" s="3527"/>
      <c r="P119" s="3527"/>
      <c r="Q119" s="3527"/>
      <c r="R119" s="3527"/>
      <c r="S119" s="3528"/>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3910</v>
      </c>
      <c r="B121" s="1690"/>
      <c r="C121" s="1690"/>
      <c r="D121" s="1690"/>
      <c r="E121" s="1691"/>
      <c r="F121" s="3546" t="s">
        <v>2527</v>
      </c>
      <c r="G121" s="3547" t="s">
        <v>3501</v>
      </c>
      <c r="H121" s="3548"/>
      <c r="I121" s="3548"/>
      <c r="J121" s="3548"/>
      <c r="K121" s="3548"/>
      <c r="L121" s="3548"/>
      <c r="M121" s="3548"/>
      <c r="N121" s="3548"/>
      <c r="O121" s="3548"/>
      <c r="P121" s="3548"/>
      <c r="Q121" s="3548"/>
      <c r="R121" s="3548"/>
      <c r="S121" s="3549"/>
    </row>
    <row r="122" spans="1:22" s="305" customFormat="1" ht="31.5" customHeight="1">
      <c r="B122" s="521"/>
      <c r="C122" s="1195" t="s">
        <v>2002</v>
      </c>
      <c r="D122" s="1660" t="s">
        <v>2854</v>
      </c>
      <c r="E122" s="1692"/>
      <c r="F122" s="3550" t="s">
        <v>3013</v>
      </c>
      <c r="G122" s="3047"/>
      <c r="H122" s="3048"/>
      <c r="I122" s="3048"/>
      <c r="J122" s="3048"/>
      <c r="K122" s="3048"/>
      <c r="L122" s="3048"/>
      <c r="M122" s="3048"/>
      <c r="N122" s="3048"/>
      <c r="O122" s="3048"/>
      <c r="P122" s="3048"/>
      <c r="Q122" s="3048"/>
      <c r="R122" s="3048"/>
      <c r="S122" s="3049"/>
      <c r="U122" s="1696" t="s">
        <v>2047</v>
      </c>
      <c r="V122" s="1696"/>
    </row>
    <row r="123" spans="1:22" s="305" customFormat="1" ht="31.5" customHeight="1">
      <c r="B123" s="521"/>
      <c r="C123" s="647" t="s">
        <v>2004</v>
      </c>
      <c r="D123" s="1631" t="s">
        <v>2920</v>
      </c>
      <c r="E123" s="1689"/>
      <c r="F123" s="3551" t="s">
        <v>3010</v>
      </c>
      <c r="G123" s="3050" t="s">
        <v>4697</v>
      </c>
      <c r="H123" s="3051"/>
      <c r="I123" s="3051"/>
      <c r="J123" s="3051"/>
      <c r="K123" s="3051"/>
      <c r="L123" s="3051"/>
      <c r="M123" s="3051"/>
      <c r="N123" s="3051"/>
      <c r="O123" s="3051"/>
      <c r="P123" s="3051"/>
      <c r="Q123" s="3051"/>
      <c r="R123" s="3051"/>
      <c r="S123" s="3052"/>
      <c r="U123" s="1696"/>
      <c r="V123" s="1696"/>
    </row>
    <row r="124" spans="1:22" s="305" customFormat="1" ht="31.5" customHeight="1">
      <c r="B124" s="521"/>
      <c r="C124" s="647" t="s">
        <v>2551</v>
      </c>
      <c r="D124" s="1631" t="s">
        <v>2896</v>
      </c>
      <c r="E124" s="1689"/>
      <c r="F124" s="3551" t="s">
        <v>3013</v>
      </c>
      <c r="G124" s="3050"/>
      <c r="H124" s="3051"/>
      <c r="I124" s="3051"/>
      <c r="J124" s="3051"/>
      <c r="K124" s="3051"/>
      <c r="L124" s="3051"/>
      <c r="M124" s="3051"/>
      <c r="N124" s="3051"/>
      <c r="O124" s="3051"/>
      <c r="P124" s="3051"/>
      <c r="Q124" s="3051"/>
      <c r="R124" s="3051"/>
      <c r="S124" s="3052"/>
      <c r="U124" s="1696"/>
      <c r="V124" s="1696"/>
    </row>
    <row r="125" spans="1:22" s="305" customFormat="1" ht="31.5" customHeight="1">
      <c r="B125" s="521"/>
      <c r="C125" s="647" t="s">
        <v>1236</v>
      </c>
      <c r="D125" s="1631" t="s">
        <v>2855</v>
      </c>
      <c r="E125" s="1689"/>
      <c r="F125" s="3551" t="s">
        <v>3013</v>
      </c>
      <c r="G125" s="3050"/>
      <c r="H125" s="3051"/>
      <c r="I125" s="3051"/>
      <c r="J125" s="3051"/>
      <c r="K125" s="3051"/>
      <c r="L125" s="3051"/>
      <c r="M125" s="3051"/>
      <c r="N125" s="3051"/>
      <c r="O125" s="3051"/>
      <c r="P125" s="3051"/>
      <c r="Q125" s="3051"/>
      <c r="R125" s="3051"/>
      <c r="S125" s="3052"/>
      <c r="U125" s="1696"/>
      <c r="V125" s="1696"/>
    </row>
    <row r="126" spans="1:22" s="305" customFormat="1" ht="31.5" customHeight="1">
      <c r="B126" s="521"/>
      <c r="C126" s="647" t="s">
        <v>1237</v>
      </c>
      <c r="D126" s="1631" t="s">
        <v>3488</v>
      </c>
      <c r="E126" s="1689"/>
      <c r="F126" s="3551" t="s">
        <v>3013</v>
      </c>
      <c r="G126" s="3050"/>
      <c r="H126" s="3051"/>
      <c r="I126" s="3051"/>
      <c r="J126" s="3051"/>
      <c r="K126" s="3051"/>
      <c r="L126" s="3051"/>
      <c r="M126" s="3051"/>
      <c r="N126" s="3051"/>
      <c r="O126" s="3051"/>
      <c r="P126" s="3051"/>
      <c r="Q126" s="3051"/>
      <c r="R126" s="3051"/>
      <c r="S126" s="3052"/>
      <c r="U126" s="1696"/>
      <c r="V126" s="1696"/>
    </row>
    <row r="127" spans="1:22" s="305" customFormat="1" ht="31.5" customHeight="1">
      <c r="B127" s="521"/>
      <c r="C127" s="647" t="s">
        <v>1896</v>
      </c>
      <c r="D127" s="1631" t="s">
        <v>3489</v>
      </c>
      <c r="E127" s="1689"/>
      <c r="F127" s="3551" t="s">
        <v>3010</v>
      </c>
      <c r="G127" s="3050" t="s">
        <v>4608</v>
      </c>
      <c r="H127" s="3051"/>
      <c r="I127" s="3051"/>
      <c r="J127" s="3051"/>
      <c r="K127" s="3051"/>
      <c r="L127" s="3051"/>
      <c r="M127" s="3051"/>
      <c r="N127" s="3051"/>
      <c r="O127" s="3051"/>
      <c r="P127" s="3051"/>
      <c r="Q127" s="3051"/>
      <c r="R127" s="3051"/>
      <c r="S127" s="3052"/>
      <c r="U127" s="1696"/>
      <c r="V127" s="1696"/>
    </row>
    <row r="128" spans="1:22" s="305" customFormat="1" ht="31.5" customHeight="1">
      <c r="B128" s="521"/>
      <c r="C128" s="647" t="s">
        <v>508</v>
      </c>
      <c r="D128" s="1631" t="s">
        <v>2856</v>
      </c>
      <c r="E128" s="1689"/>
      <c r="F128" s="3551" t="s">
        <v>3013</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2" t="s">
        <v>4610</v>
      </c>
      <c r="E129" s="3553"/>
      <c r="F129" s="3554" t="s">
        <v>3010</v>
      </c>
      <c r="G129" s="3053" t="s">
        <v>4611</v>
      </c>
      <c r="H129" s="3054"/>
      <c r="I129" s="3054"/>
      <c r="J129" s="3054"/>
      <c r="K129" s="3054"/>
      <c r="L129" s="3054"/>
      <c r="M129" s="3054"/>
      <c r="N129" s="3054"/>
      <c r="O129" s="3054"/>
      <c r="P129" s="3054"/>
      <c r="Q129" s="3054"/>
      <c r="R129" s="3054"/>
      <c r="S129" s="3055"/>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3744</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2926</v>
      </c>
      <c r="O137" s="1636"/>
      <c r="P137" s="1636"/>
      <c r="Q137" s="1636"/>
      <c r="R137" s="1636"/>
      <c r="S137" s="1688"/>
    </row>
    <row r="138" spans="1:22" s="305" customFormat="1" ht="24" customHeight="1">
      <c r="A138" s="1656" t="s">
        <v>3464</v>
      </c>
      <c r="B138" s="1657"/>
      <c r="C138" s="1657"/>
      <c r="D138" s="1658"/>
      <c r="E138" s="3047"/>
      <c r="F138" s="3048"/>
      <c r="G138" s="3048"/>
      <c r="H138" s="3048"/>
      <c r="I138" s="3555" t="s">
        <v>3013</v>
      </c>
      <c r="J138" s="3550" t="s">
        <v>3013</v>
      </c>
      <c r="K138" s="3556" t="s">
        <v>4609</v>
      </c>
      <c r="L138" s="3557">
        <v>1E-4</v>
      </c>
      <c r="M138" s="3558" t="s">
        <v>3013</v>
      </c>
      <c r="N138" s="3559"/>
      <c r="O138" s="3048"/>
      <c r="P138" s="3048"/>
      <c r="Q138" s="3048"/>
      <c r="R138" s="3048"/>
      <c r="S138" s="3049"/>
    </row>
    <row r="139" spans="1:22" s="305" customFormat="1" ht="24" customHeight="1">
      <c r="A139" s="1650" t="s">
        <v>3465</v>
      </c>
      <c r="B139" s="1651"/>
      <c r="C139" s="1651"/>
      <c r="D139" s="1652"/>
      <c r="E139" s="3050"/>
      <c r="F139" s="3051"/>
      <c r="G139" s="3051"/>
      <c r="H139" s="3051"/>
      <c r="I139" s="3560"/>
      <c r="J139" s="3551"/>
      <c r="K139" s="3561"/>
      <c r="L139" s="3562"/>
      <c r="M139" s="3563"/>
      <c r="N139" s="3564"/>
      <c r="O139" s="3051"/>
      <c r="P139" s="3051"/>
      <c r="Q139" s="3051"/>
      <c r="R139" s="3051"/>
      <c r="S139" s="3052"/>
      <c r="U139" s="1696" t="s">
        <v>2047</v>
      </c>
      <c r="V139" s="1696"/>
    </row>
    <row r="140" spans="1:22" s="305" customFormat="1" ht="24" customHeight="1">
      <c r="A140" s="1650" t="s">
        <v>3466</v>
      </c>
      <c r="B140" s="1651"/>
      <c r="C140" s="1651"/>
      <c r="D140" s="1652"/>
      <c r="E140" s="3050"/>
      <c r="F140" s="3051"/>
      <c r="G140" s="3051"/>
      <c r="H140" s="3051"/>
      <c r="I140" s="3560"/>
      <c r="J140" s="3551"/>
      <c r="K140" s="3561"/>
      <c r="L140" s="3562"/>
      <c r="M140" s="3563"/>
      <c r="N140" s="3564"/>
      <c r="O140" s="3051"/>
      <c r="P140" s="3051"/>
      <c r="Q140" s="3051"/>
      <c r="R140" s="3051"/>
      <c r="S140" s="3052"/>
      <c r="U140" s="1696"/>
      <c r="V140" s="1696"/>
    </row>
    <row r="141" spans="1:22" s="305" customFormat="1" ht="24" customHeight="1">
      <c r="A141" s="1650" t="s">
        <v>3467</v>
      </c>
      <c r="B141" s="1651"/>
      <c r="C141" s="1651"/>
      <c r="D141" s="1652"/>
      <c r="E141" s="3050"/>
      <c r="F141" s="3051"/>
      <c r="G141" s="3051"/>
      <c r="H141" s="3051"/>
      <c r="I141" s="3560" t="s">
        <v>3013</v>
      </c>
      <c r="J141" s="3551" t="s">
        <v>3013</v>
      </c>
      <c r="K141" s="3561" t="s">
        <v>4609</v>
      </c>
      <c r="L141" s="3562">
        <v>0.9899</v>
      </c>
      <c r="M141" s="3563" t="s">
        <v>3013</v>
      </c>
      <c r="N141" s="3564"/>
      <c r="O141" s="3051"/>
      <c r="P141" s="3051"/>
      <c r="Q141" s="3051"/>
      <c r="R141" s="3051"/>
      <c r="S141" s="3052"/>
      <c r="U141" s="1696"/>
      <c r="V141" s="1696"/>
    </row>
    <row r="142" spans="1:22" s="305" customFormat="1" ht="24" customHeight="1">
      <c r="A142" s="1650" t="s">
        <v>3468</v>
      </c>
      <c r="B142" s="1651"/>
      <c r="C142" s="1651"/>
      <c r="D142" s="1652"/>
      <c r="E142" s="3050"/>
      <c r="F142" s="3051"/>
      <c r="G142" s="3051"/>
      <c r="H142" s="3051"/>
      <c r="I142" s="3560" t="s">
        <v>3013</v>
      </c>
      <c r="J142" s="3551" t="s">
        <v>3013</v>
      </c>
      <c r="K142" s="3561" t="s">
        <v>4609</v>
      </c>
      <c r="L142" s="3562">
        <v>0.01</v>
      </c>
      <c r="M142" s="3563" t="s">
        <v>3013</v>
      </c>
      <c r="N142" s="3564"/>
      <c r="O142" s="3051"/>
      <c r="P142" s="3051"/>
      <c r="Q142" s="3051"/>
      <c r="R142" s="3051"/>
      <c r="S142" s="3052"/>
      <c r="U142" s="1696"/>
      <c r="V142" s="1696"/>
    </row>
    <row r="143" spans="1:22" s="305" customFormat="1" ht="24" customHeight="1">
      <c r="A143" s="1650" t="s">
        <v>2913</v>
      </c>
      <c r="B143" s="1651"/>
      <c r="C143" s="1651"/>
      <c r="D143" s="1652"/>
      <c r="E143" s="3050"/>
      <c r="F143" s="3051"/>
      <c r="G143" s="3051"/>
      <c r="H143" s="3051"/>
      <c r="I143" s="3560" t="s">
        <v>3013</v>
      </c>
      <c r="J143" s="3551" t="s">
        <v>3013</v>
      </c>
      <c r="K143" s="3561" t="s">
        <v>2617</v>
      </c>
      <c r="L143" s="3562"/>
      <c r="M143" s="3563" t="s">
        <v>3013</v>
      </c>
      <c r="N143" s="3564"/>
      <c r="O143" s="3051"/>
      <c r="P143" s="3051"/>
      <c r="Q143" s="3051"/>
      <c r="R143" s="3051"/>
      <c r="S143" s="3052"/>
      <c r="U143" s="1696"/>
      <c r="V143" s="1696"/>
    </row>
    <row r="144" spans="1:22" s="305" customFormat="1" ht="24" customHeight="1">
      <c r="A144" s="1650" t="s">
        <v>659</v>
      </c>
      <c r="B144" s="1651"/>
      <c r="C144" s="1651"/>
      <c r="D144" s="1652"/>
      <c r="E144" s="3050"/>
      <c r="F144" s="3051"/>
      <c r="G144" s="3051"/>
      <c r="H144" s="3051"/>
      <c r="I144" s="3560" t="s">
        <v>3013</v>
      </c>
      <c r="J144" s="3551" t="s">
        <v>3013</v>
      </c>
      <c r="K144" s="3561" t="s">
        <v>2617</v>
      </c>
      <c r="L144" s="3562"/>
      <c r="M144" s="3563" t="s">
        <v>3013</v>
      </c>
      <c r="N144" s="3564"/>
      <c r="O144" s="3051"/>
      <c r="P144" s="3051"/>
      <c r="Q144" s="3051"/>
      <c r="R144" s="3051"/>
      <c r="S144" s="3052"/>
      <c r="U144" s="1696"/>
      <c r="V144" s="1696"/>
    </row>
    <row r="145" spans="1:24" s="305" customFormat="1" ht="24" customHeight="1">
      <c r="A145" s="1650" t="s">
        <v>2914</v>
      </c>
      <c r="B145" s="1651"/>
      <c r="C145" s="1651"/>
      <c r="D145" s="1652"/>
      <c r="E145" s="3050"/>
      <c r="F145" s="3051"/>
      <c r="G145" s="3051"/>
      <c r="H145" s="3051"/>
      <c r="I145" s="3560"/>
      <c r="J145" s="3551"/>
      <c r="K145" s="3561"/>
      <c r="L145" s="3562"/>
      <c r="M145" s="3563"/>
      <c r="N145" s="3564"/>
      <c r="O145" s="3051"/>
      <c r="P145" s="3051"/>
      <c r="Q145" s="3051"/>
      <c r="R145" s="3051"/>
      <c r="S145" s="3052"/>
    </row>
    <row r="146" spans="1:24" s="305" customFormat="1" ht="24" customHeight="1">
      <c r="A146" s="1650" t="s">
        <v>2915</v>
      </c>
      <c r="B146" s="1651"/>
      <c r="C146" s="1651"/>
      <c r="D146" s="1652"/>
      <c r="E146" s="3050"/>
      <c r="F146" s="3051"/>
      <c r="G146" s="3051"/>
      <c r="H146" s="3051"/>
      <c r="I146" s="3560"/>
      <c r="J146" s="3551"/>
      <c r="K146" s="3561"/>
      <c r="L146" s="3562"/>
      <c r="M146" s="3563"/>
      <c r="N146" s="3564"/>
      <c r="O146" s="3051"/>
      <c r="P146" s="3051"/>
      <c r="Q146" s="3051"/>
      <c r="R146" s="3051"/>
      <c r="S146" s="3052"/>
    </row>
    <row r="147" spans="1:24" s="305" customFormat="1" ht="24" customHeight="1">
      <c r="A147" s="1650" t="s">
        <v>2917</v>
      </c>
      <c r="B147" s="1651"/>
      <c r="C147" s="1651"/>
      <c r="D147" s="1652"/>
      <c r="E147" s="3050"/>
      <c r="F147" s="3051"/>
      <c r="G147" s="3051"/>
      <c r="H147" s="3051"/>
      <c r="I147" s="3560"/>
      <c r="J147" s="3551"/>
      <c r="K147" s="3561"/>
      <c r="L147" s="3562"/>
      <c r="M147" s="3563"/>
      <c r="N147" s="3564"/>
      <c r="O147" s="3051"/>
      <c r="P147" s="3051"/>
      <c r="Q147" s="3051"/>
      <c r="R147" s="3051"/>
      <c r="S147" s="3052"/>
    </row>
    <row r="148" spans="1:24" s="305" customFormat="1" ht="24" customHeight="1">
      <c r="A148" s="1650" t="s">
        <v>2916</v>
      </c>
      <c r="B148" s="1651"/>
      <c r="C148" s="1651"/>
      <c r="D148" s="1652"/>
      <c r="E148" s="3050"/>
      <c r="F148" s="3051"/>
      <c r="G148" s="3051"/>
      <c r="H148" s="3051"/>
      <c r="I148" s="3560"/>
      <c r="J148" s="3551"/>
      <c r="K148" s="3561"/>
      <c r="L148" s="3562"/>
      <c r="M148" s="3563"/>
      <c r="N148" s="3564"/>
      <c r="O148" s="3051"/>
      <c r="P148" s="3051"/>
      <c r="Q148" s="3051"/>
      <c r="R148" s="3051"/>
      <c r="S148" s="3052"/>
    </row>
    <row r="149" spans="1:24" s="305" customFormat="1" ht="24" customHeight="1">
      <c r="A149" s="1650" t="s">
        <v>1541</v>
      </c>
      <c r="B149" s="1651"/>
      <c r="C149" s="1651"/>
      <c r="D149" s="1652"/>
      <c r="E149" s="3050"/>
      <c r="F149" s="3051"/>
      <c r="G149" s="3051"/>
      <c r="H149" s="3051"/>
      <c r="I149" s="3560" t="s">
        <v>3013</v>
      </c>
      <c r="J149" s="3551" t="s">
        <v>3013</v>
      </c>
      <c r="K149" s="3561" t="s">
        <v>4609</v>
      </c>
      <c r="L149" s="3562"/>
      <c r="M149" s="3563" t="s">
        <v>3013</v>
      </c>
      <c r="N149" s="3564"/>
      <c r="O149" s="3051"/>
      <c r="P149" s="3051"/>
      <c r="Q149" s="3051"/>
      <c r="R149" s="3051"/>
      <c r="S149" s="3052"/>
    </row>
    <row r="150" spans="1:24" s="305" customFormat="1" ht="24" customHeight="1">
      <c r="A150" s="1653" t="s">
        <v>2918</v>
      </c>
      <c r="B150" s="1654"/>
      <c r="C150" s="1654"/>
      <c r="D150" s="1655"/>
      <c r="E150" s="3053"/>
      <c r="F150" s="3054"/>
      <c r="G150" s="3054"/>
      <c r="H150" s="3054"/>
      <c r="I150" s="3565" t="s">
        <v>3013</v>
      </c>
      <c r="J150" s="3554" t="s">
        <v>3013</v>
      </c>
      <c r="K150" s="3566" t="s">
        <v>4609</v>
      </c>
      <c r="L150" s="3567"/>
      <c r="M150" s="3568" t="s">
        <v>3013</v>
      </c>
      <c r="N150" s="3569"/>
      <c r="O150" s="3054"/>
      <c r="P150" s="3054"/>
      <c r="Q150" s="3054"/>
      <c r="R150" s="3054"/>
      <c r="S150" s="305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2"/>
      <c r="B153" s="3570"/>
      <c r="C153" s="3570"/>
      <c r="D153" s="3570"/>
      <c r="E153" s="3570"/>
      <c r="F153" s="3570"/>
      <c r="G153" s="3570"/>
      <c r="H153" s="3570"/>
      <c r="I153" s="3570"/>
      <c r="J153" s="3570"/>
      <c r="K153" s="3570"/>
      <c r="L153" s="3570"/>
      <c r="M153" s="3571"/>
      <c r="N153" s="3572"/>
      <c r="O153" s="3573"/>
      <c r="P153" s="3573"/>
      <c r="Q153" s="3573"/>
      <c r="R153" s="3573"/>
      <c r="S153" s="357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5"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6" t="s">
        <v>846</v>
      </c>
    </row>
    <row r="160" spans="1:24" s="305" customFormat="1" ht="12" customHeight="1">
      <c r="A160" s="348"/>
      <c r="B160" s="324"/>
      <c r="C160" s="324"/>
      <c r="D160" s="324"/>
      <c r="E160" s="324"/>
      <c r="F160" s="324"/>
      <c r="G160" s="324"/>
      <c r="H160" s="324"/>
      <c r="I160" s="324"/>
      <c r="J160" s="324"/>
      <c r="K160" s="324"/>
      <c r="L160" s="324"/>
      <c r="M160" s="324"/>
      <c r="N160" s="324"/>
      <c r="O160" s="324"/>
      <c r="P160" s="3576" t="s">
        <v>847</v>
      </c>
    </row>
    <row r="161" spans="1:16" s="305" customFormat="1" ht="12" customHeight="1">
      <c r="A161" s="348"/>
      <c r="B161" s="324"/>
      <c r="C161" s="324"/>
      <c r="D161" s="324"/>
      <c r="E161" s="324"/>
      <c r="F161" s="324"/>
      <c r="G161" s="324"/>
      <c r="H161" s="324"/>
      <c r="I161" s="324"/>
      <c r="J161" s="324"/>
      <c r="K161" s="324"/>
      <c r="L161" s="324"/>
      <c r="M161" s="324"/>
      <c r="N161" s="324"/>
      <c r="O161" s="324"/>
      <c r="P161" s="3576" t="s">
        <v>848</v>
      </c>
    </row>
    <row r="162" spans="1:16" s="305" customFormat="1" ht="12" customHeight="1">
      <c r="A162" s="501"/>
      <c r="B162" s="324"/>
      <c r="C162" s="324"/>
      <c r="D162" s="324"/>
      <c r="E162" s="324"/>
      <c r="F162" s="324"/>
      <c r="G162" s="324"/>
      <c r="H162" s="324"/>
      <c r="I162" s="324"/>
      <c r="J162" s="324"/>
      <c r="K162" s="324"/>
      <c r="L162" s="324"/>
      <c r="M162" s="324"/>
      <c r="N162" s="324"/>
      <c r="O162" s="324"/>
      <c r="P162" s="3576" t="s">
        <v>849</v>
      </c>
    </row>
    <row r="163" spans="1:16" s="305" customFormat="1" ht="12" customHeight="1">
      <c r="B163" s="324"/>
      <c r="C163" s="324"/>
      <c r="D163" s="324"/>
      <c r="E163" s="324"/>
      <c r="F163" s="324"/>
      <c r="G163" s="324"/>
      <c r="H163" s="324"/>
      <c r="I163" s="324"/>
      <c r="J163" s="324"/>
      <c r="K163" s="324"/>
      <c r="L163" s="324"/>
      <c r="M163" s="324"/>
      <c r="N163" s="324"/>
      <c r="O163" s="324"/>
      <c r="P163" s="3576" t="s">
        <v>850</v>
      </c>
    </row>
    <row r="164" spans="1:16" s="305" customFormat="1" ht="12" customHeight="1">
      <c r="B164" s="324"/>
      <c r="C164" s="324"/>
      <c r="D164" s="324"/>
      <c r="E164" s="324"/>
      <c r="F164" s="324"/>
      <c r="G164" s="324"/>
      <c r="H164" s="324"/>
      <c r="I164" s="324"/>
      <c r="J164" s="324"/>
      <c r="K164" s="324"/>
      <c r="L164" s="324"/>
      <c r="M164" s="324"/>
      <c r="N164" s="324"/>
      <c r="O164" s="324"/>
      <c r="P164" s="3576" t="s">
        <v>851</v>
      </c>
    </row>
    <row r="165" spans="1:16" s="305" customFormat="1" ht="12" customHeight="1">
      <c r="B165" s="324"/>
      <c r="C165" s="324"/>
      <c r="D165" s="324"/>
      <c r="E165" s="324"/>
      <c r="F165" s="324"/>
      <c r="G165" s="324"/>
      <c r="H165" s="324"/>
      <c r="I165" s="324"/>
      <c r="J165" s="324"/>
      <c r="K165" s="324"/>
      <c r="L165" s="324"/>
      <c r="M165" s="324"/>
      <c r="N165" s="324"/>
      <c r="O165" s="324"/>
      <c r="P165" s="3576" t="s">
        <v>852</v>
      </c>
    </row>
    <row r="166" spans="1:16" s="305" customFormat="1" ht="12" customHeight="1">
      <c r="B166" s="324"/>
      <c r="C166" s="324"/>
      <c r="D166" s="324"/>
      <c r="E166" s="324"/>
      <c r="F166" s="324"/>
      <c r="G166" s="324"/>
      <c r="H166" s="324"/>
      <c r="I166" s="324"/>
      <c r="J166" s="324"/>
      <c r="K166" s="324"/>
      <c r="L166" s="324"/>
      <c r="M166" s="324"/>
      <c r="N166" s="324"/>
      <c r="O166" s="324"/>
      <c r="P166" s="3576" t="s">
        <v>853</v>
      </c>
    </row>
    <row r="167" spans="1:16" ht="12" customHeight="1">
      <c r="P167" s="3576" t="s">
        <v>854</v>
      </c>
    </row>
    <row r="168" spans="1:16" ht="12" customHeight="1">
      <c r="A168" s="333"/>
      <c r="P168" s="3576" t="s">
        <v>855</v>
      </c>
    </row>
    <row r="169" spans="1:16" ht="12" customHeight="1">
      <c r="P169" s="3576" t="s">
        <v>856</v>
      </c>
    </row>
    <row r="170" spans="1:16" ht="12" customHeight="1">
      <c r="P170" s="3576" t="s">
        <v>857</v>
      </c>
    </row>
    <row r="171" spans="1:16" ht="12" customHeight="1">
      <c r="P171" s="3576" t="s">
        <v>858</v>
      </c>
    </row>
    <row r="172" spans="1:16" ht="12" customHeight="1">
      <c r="P172" s="3576" t="s">
        <v>859</v>
      </c>
    </row>
    <row r="173" spans="1:16" ht="12" customHeight="1">
      <c r="P173" s="3576" t="s">
        <v>860</v>
      </c>
    </row>
    <row r="174" spans="1:16" ht="12" customHeight="1">
      <c r="P174" s="3576" t="s">
        <v>861</v>
      </c>
    </row>
    <row r="175" spans="1:16" ht="12" customHeight="1">
      <c r="P175" s="3576" t="s">
        <v>862</v>
      </c>
    </row>
    <row r="176" spans="1:16" ht="12" customHeight="1">
      <c r="P176" s="3576" t="s">
        <v>863</v>
      </c>
    </row>
    <row r="177" spans="16:16" ht="12" customHeight="1">
      <c r="P177" s="3576" t="s">
        <v>864</v>
      </c>
    </row>
    <row r="178" spans="16:16" ht="12" customHeight="1">
      <c r="P178" s="3576" t="s">
        <v>865</v>
      </c>
    </row>
    <row r="179" spans="16:16" ht="12" customHeight="1">
      <c r="P179" s="3576" t="s">
        <v>866</v>
      </c>
    </row>
    <row r="180" spans="16:16" ht="12" customHeight="1">
      <c r="P180" s="3576" t="s">
        <v>867</v>
      </c>
    </row>
    <row r="181" spans="16:16" ht="12" customHeight="1">
      <c r="P181" s="3576" t="s">
        <v>868</v>
      </c>
    </row>
    <row r="182" spans="16:16" ht="12" customHeight="1">
      <c r="P182" s="3576" t="s">
        <v>869</v>
      </c>
    </row>
    <row r="183" spans="16:16" ht="12" customHeight="1">
      <c r="P183" s="3576" t="s">
        <v>870</v>
      </c>
    </row>
    <row r="184" spans="16:16" ht="12" customHeight="1">
      <c r="P184" s="3576" t="s">
        <v>1353</v>
      </c>
    </row>
    <row r="185" spans="16:16" ht="12" customHeight="1">
      <c r="P185" s="3576" t="s">
        <v>1354</v>
      </c>
    </row>
    <row r="186" spans="16:16" ht="12" customHeight="1">
      <c r="P186" s="3576" t="s">
        <v>1355</v>
      </c>
    </row>
    <row r="187" spans="16:16" ht="12" customHeight="1">
      <c r="P187" s="3576" t="s">
        <v>1356</v>
      </c>
    </row>
    <row r="188" spans="16:16" ht="12" customHeight="1">
      <c r="P188" s="3576" t="s">
        <v>1357</v>
      </c>
    </row>
    <row r="189" spans="16:16" ht="13.5">
      <c r="P189" s="3576" t="s">
        <v>1358</v>
      </c>
    </row>
    <row r="190" spans="16:16" ht="12" customHeight="1">
      <c r="P190" s="3576" t="s">
        <v>1359</v>
      </c>
    </row>
    <row r="191" spans="16:16" ht="12" customHeight="1">
      <c r="P191" s="3576" t="s">
        <v>1360</v>
      </c>
    </row>
    <row r="192" spans="16:16" ht="12" customHeight="1">
      <c r="P192" s="3576" t="s">
        <v>1361</v>
      </c>
    </row>
    <row r="193" spans="16:16" ht="12" customHeight="1">
      <c r="P193" s="3576" t="s">
        <v>1362</v>
      </c>
    </row>
    <row r="194" spans="16:16" ht="12" customHeight="1">
      <c r="P194" s="3576" t="s">
        <v>1363</v>
      </c>
    </row>
    <row r="195" spans="16:16" ht="12" customHeight="1">
      <c r="P195" s="3576" t="s">
        <v>1364</v>
      </c>
    </row>
    <row r="196" spans="16:16" ht="12" customHeight="1">
      <c r="P196" s="3576" t="s">
        <v>1365</v>
      </c>
    </row>
    <row r="197" spans="16:16" ht="12" customHeight="1">
      <c r="P197" s="3576" t="s">
        <v>1366</v>
      </c>
    </row>
    <row r="198" spans="16:16" ht="12" customHeight="1">
      <c r="P198" s="3576" t="s">
        <v>1367</v>
      </c>
    </row>
    <row r="199" spans="16:16" ht="12" customHeight="1">
      <c r="P199" s="3576" t="s">
        <v>1368</v>
      </c>
    </row>
    <row r="200" spans="16:16" ht="12" customHeight="1">
      <c r="P200" s="3576" t="s">
        <v>1369</v>
      </c>
    </row>
    <row r="201" spans="16:16" ht="12" customHeight="1">
      <c r="P201" s="3576" t="s">
        <v>1370</v>
      </c>
    </row>
    <row r="202" spans="16:16" ht="12" customHeight="1">
      <c r="P202" s="3576" t="s">
        <v>1371</v>
      </c>
    </row>
    <row r="203" spans="16:16" ht="12" customHeight="1">
      <c r="P203" s="3576" t="s">
        <v>1372</v>
      </c>
    </row>
    <row r="204" spans="16:16" ht="12" customHeight="1">
      <c r="P204" s="3576" t="s">
        <v>1373</v>
      </c>
    </row>
    <row r="205" spans="16:16" ht="12" customHeight="1">
      <c r="P205" s="3576" t="s">
        <v>1374</v>
      </c>
    </row>
    <row r="206" spans="16:16" ht="12" customHeight="1">
      <c r="P206" s="3576" t="s">
        <v>1375</v>
      </c>
    </row>
    <row r="207" spans="16:16" ht="12" customHeight="1">
      <c r="P207" s="3576" t="s">
        <v>1376</v>
      </c>
    </row>
    <row r="208" spans="16:16" ht="12" customHeight="1">
      <c r="P208" s="3576" t="s">
        <v>1377</v>
      </c>
    </row>
    <row r="209" spans="16:16" ht="12" customHeight="1">
      <c r="P209" s="3576" t="s">
        <v>1378</v>
      </c>
    </row>
  </sheetData>
  <sheetProtection algorithmName="SHA-512" hashValue="XoTJMKmElFHJUfJkDCieFWokTlYoJCurzxvKyG3u2D0/YxQyXAad6nhnUE6TNzP3nxRjUOJKDjXoRvjy3Idnww==" saltValue="StmWyDoO4vEVx6+k/lZ+aA==" spinCount="100000" sheet="1" objects="1" scenarios="1" formatRows="0"/>
  <mergeCells count="26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2018-037 Myrtle Terraces Phase 2, Gainesville, Hall County</v>
      </c>
      <c r="B1" s="1694"/>
      <c r="C1" s="1694"/>
      <c r="D1" s="1694"/>
      <c r="E1" s="1694"/>
      <c r="F1" s="1694"/>
      <c r="G1" s="1694"/>
      <c r="H1" s="1694"/>
      <c r="I1" s="1694"/>
      <c r="J1" s="1694"/>
      <c r="K1" s="1694"/>
      <c r="L1" s="1694"/>
      <c r="M1" s="1694"/>
      <c r="N1" s="1694"/>
      <c r="O1" s="1694"/>
      <c r="P1" s="1694"/>
      <c r="Q1" s="1695"/>
      <c r="S1" s="1736" t="str">
        <f>$A$1</f>
        <v>PART THREE - SOURCES OF FUNDS  -  2018-037 Myrtle Terraces Phase 2, Gainesville, Hall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4549</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4" t="s">
        <v>3010</v>
      </c>
      <c r="C5" s="1559" t="s">
        <v>2426</v>
      </c>
      <c r="D5" s="305"/>
      <c r="H5" s="3424"/>
      <c r="I5" s="1559" t="s">
        <v>1549</v>
      </c>
      <c r="L5" s="3424"/>
      <c r="M5" s="305" t="s">
        <v>3917</v>
      </c>
      <c r="S5" s="3425"/>
      <c r="T5" s="3426"/>
    </row>
    <row r="6" spans="1:20" s="278" customFormat="1" ht="16.5" customHeight="1">
      <c r="A6" s="501"/>
      <c r="B6" s="3427"/>
      <c r="C6" s="1559" t="s">
        <v>555</v>
      </c>
      <c r="D6" s="305"/>
      <c r="H6" s="3427"/>
      <c r="I6" s="1559" t="s">
        <v>554</v>
      </c>
      <c r="L6" s="3427"/>
      <c r="M6" s="1559" t="s">
        <v>2618</v>
      </c>
      <c r="S6" s="3428"/>
      <c r="T6" s="3429"/>
    </row>
    <row r="7" spans="1:20" s="278" customFormat="1" ht="16.5" customHeight="1">
      <c r="A7" s="305"/>
      <c r="B7" s="3427"/>
      <c r="C7" s="1559" t="s">
        <v>3914</v>
      </c>
      <c r="F7" s="3430"/>
      <c r="G7" s="3431"/>
      <c r="H7" s="3427"/>
      <c r="I7" s="1559" t="s">
        <v>3705</v>
      </c>
      <c r="L7" s="3427"/>
      <c r="M7" s="1559" t="s">
        <v>2619</v>
      </c>
      <c r="S7" s="3428"/>
      <c r="T7" s="3429"/>
    </row>
    <row r="8" spans="1:20" s="278" customFormat="1" ht="16.5" customHeight="1">
      <c r="A8" s="501"/>
      <c r="B8" s="3427"/>
      <c r="C8" s="1559" t="s">
        <v>1816</v>
      </c>
      <c r="D8" s="305"/>
      <c r="H8" s="3427"/>
      <c r="I8" s="305" t="s">
        <v>2627</v>
      </c>
      <c r="L8" s="3427"/>
      <c r="M8" s="310" t="s">
        <v>3710</v>
      </c>
      <c r="S8" s="3432"/>
      <c r="T8" s="3433"/>
    </row>
    <row r="9" spans="1:20" s="278" customFormat="1" ht="16.5" customHeight="1">
      <c r="A9" s="501"/>
      <c r="B9" s="3427"/>
      <c r="C9" s="1559" t="s">
        <v>556</v>
      </c>
      <c r="H9" s="3427"/>
      <c r="I9" s="305" t="s">
        <v>2625</v>
      </c>
      <c r="L9" s="3427"/>
      <c r="M9" s="310" t="s">
        <v>2626</v>
      </c>
      <c r="S9" s="3425"/>
      <c r="T9" s="3426"/>
    </row>
    <row r="10" spans="1:20" s="278" customFormat="1" ht="16.5" customHeight="1">
      <c r="A10" s="501"/>
      <c r="B10" s="3427"/>
      <c r="C10" s="310" t="s">
        <v>3915</v>
      </c>
      <c r="G10" s="649"/>
      <c r="H10" s="3427"/>
      <c r="I10" s="305" t="s">
        <v>3745</v>
      </c>
      <c r="J10" s="1035"/>
      <c r="K10" s="1035"/>
      <c r="L10" s="3427"/>
      <c r="M10" s="310" t="s">
        <v>3747</v>
      </c>
      <c r="O10" s="3434" t="s">
        <v>3900</v>
      </c>
      <c r="P10" s="3435"/>
      <c r="Q10" s="3436"/>
      <c r="S10" s="3428"/>
      <c r="T10" s="3429"/>
    </row>
    <row r="11" spans="1:20" s="278" customFormat="1" ht="16.5" customHeight="1">
      <c r="A11" s="501"/>
      <c r="B11" s="3427"/>
      <c r="C11" s="1559" t="s">
        <v>3748</v>
      </c>
      <c r="D11" s="305"/>
      <c r="E11" s="3437"/>
      <c r="F11" s="3438"/>
      <c r="H11" s="3427"/>
      <c r="I11" s="305" t="s">
        <v>3750</v>
      </c>
      <c r="L11" s="3439"/>
      <c r="M11" s="305" t="s">
        <v>3644</v>
      </c>
      <c r="S11" s="3428"/>
      <c r="T11" s="3429"/>
    </row>
    <row r="12" spans="1:20" s="278" customFormat="1" ht="16.5" customHeight="1">
      <c r="A12" s="501"/>
      <c r="B12" s="3439"/>
      <c r="C12" s="1559" t="s">
        <v>3749</v>
      </c>
      <c r="E12" s="3440"/>
      <c r="F12" s="3441"/>
      <c r="H12" s="3427"/>
      <c r="I12" s="521" t="s">
        <v>2814</v>
      </c>
      <c r="J12" s="521"/>
      <c r="K12" s="521"/>
      <c r="L12" s="3442"/>
      <c r="M12" s="3443" t="s">
        <v>3712</v>
      </c>
      <c r="N12" s="3444"/>
      <c r="O12" s="3444"/>
      <c r="P12" s="3444"/>
      <c r="Q12" s="3445"/>
      <c r="S12" s="3432"/>
      <c r="T12" s="3433"/>
    </row>
    <row r="13" spans="1:20" s="278" customFormat="1" ht="16.5" customHeight="1">
      <c r="A13" s="501"/>
      <c r="C13" s="278" t="s">
        <v>3746</v>
      </c>
      <c r="E13" s="3434" t="s">
        <v>3471</v>
      </c>
      <c r="F13" s="3435"/>
      <c r="G13" s="3436"/>
      <c r="H13" s="3439"/>
      <c r="I13" s="310" t="s">
        <v>3916</v>
      </c>
      <c r="J13" s="521"/>
      <c r="K13" s="521"/>
      <c r="M13" s="3446" t="s">
        <v>3723</v>
      </c>
      <c r="N13" s="3447"/>
      <c r="O13" s="3447"/>
      <c r="P13" s="3447"/>
      <c r="Q13" s="3448"/>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49" t="s">
        <v>4612</v>
      </c>
      <c r="I19" s="3450"/>
      <c r="J19" s="3450"/>
      <c r="K19" s="3451"/>
      <c r="L19" s="3351">
        <v>8391776</v>
      </c>
      <c r="M19" s="3352"/>
      <c r="N19" s="3452">
        <v>5.5E-2</v>
      </c>
      <c r="O19" s="3453"/>
      <c r="P19" s="3454">
        <v>36</v>
      </c>
      <c r="Q19" s="3455"/>
      <c r="S19" s="3425"/>
      <c r="T19" s="3426"/>
    </row>
    <row r="20" spans="1:20" s="278" customFormat="1" ht="16.5" customHeight="1">
      <c r="A20" s="305"/>
      <c r="B20" s="1707" t="s">
        <v>1604</v>
      </c>
      <c r="C20" s="1708"/>
      <c r="D20" s="1708"/>
      <c r="E20" s="1570"/>
      <c r="F20" s="1570"/>
      <c r="G20" s="1570"/>
      <c r="H20" s="3456"/>
      <c r="I20" s="3457"/>
      <c r="J20" s="3457"/>
      <c r="K20" s="3458"/>
      <c r="L20" s="3356"/>
      <c r="M20" s="3357"/>
      <c r="N20" s="3459"/>
      <c r="O20" s="3460"/>
      <c r="P20" s="3461"/>
      <c r="Q20" s="3462"/>
      <c r="S20" s="3428"/>
      <c r="T20" s="3429"/>
    </row>
    <row r="21" spans="1:20" s="278" customFormat="1" ht="16.5" customHeight="1">
      <c r="A21" s="305"/>
      <c r="B21" s="1733" t="s">
        <v>1605</v>
      </c>
      <c r="C21" s="1734"/>
      <c r="D21" s="1734"/>
      <c r="E21" s="1567"/>
      <c r="F21" s="1567"/>
      <c r="G21" s="1567"/>
      <c r="H21" s="3463"/>
      <c r="I21" s="3464"/>
      <c r="J21" s="3464"/>
      <c r="K21" s="3465"/>
      <c r="L21" s="3385"/>
      <c r="M21" s="3386"/>
      <c r="N21" s="3466"/>
      <c r="O21" s="3467"/>
      <c r="P21" s="3468"/>
      <c r="Q21" s="3469"/>
      <c r="S21" s="3428"/>
      <c r="T21" s="3429"/>
    </row>
    <row r="22" spans="1:20" s="278" customFormat="1" ht="16.5" customHeight="1">
      <c r="A22" s="305"/>
      <c r="B22" s="1725" t="s">
        <v>2231</v>
      </c>
      <c r="C22" s="1726"/>
      <c r="D22" s="1726"/>
      <c r="E22" s="1570"/>
      <c r="F22" s="1570"/>
      <c r="G22" s="1570"/>
      <c r="H22" s="3470"/>
      <c r="I22" s="3471"/>
      <c r="J22" s="3471"/>
      <c r="K22" s="3472"/>
      <c r="L22" s="3473"/>
      <c r="M22" s="3474"/>
      <c r="N22" s="1727"/>
      <c r="O22" s="1728"/>
      <c r="P22" s="1722"/>
      <c r="Q22" s="1722"/>
      <c r="S22" s="3428"/>
      <c r="T22" s="3429"/>
    </row>
    <row r="23" spans="1:20" s="278" customFormat="1" ht="16.5" customHeight="1">
      <c r="A23" s="305"/>
      <c r="B23" s="1707" t="s">
        <v>809</v>
      </c>
      <c r="C23" s="1708"/>
      <c r="D23" s="1708"/>
      <c r="E23" s="1570"/>
      <c r="H23" s="3456"/>
      <c r="I23" s="3457"/>
      <c r="J23" s="3457"/>
      <c r="K23" s="3458"/>
      <c r="L23" s="3356"/>
      <c r="M23" s="3357"/>
      <c r="N23" s="1727"/>
      <c r="O23" s="1728"/>
      <c r="P23" s="1722"/>
      <c r="Q23" s="1722"/>
      <c r="S23" s="3428"/>
      <c r="T23" s="3429"/>
    </row>
    <row r="24" spans="1:20" s="278" customFormat="1" ht="16.5" customHeight="1">
      <c r="A24" s="305"/>
      <c r="B24" s="1707" t="s">
        <v>647</v>
      </c>
      <c r="C24" s="1708"/>
      <c r="D24" s="1708"/>
      <c r="E24" s="1570"/>
      <c r="H24" s="3456"/>
      <c r="I24" s="3457"/>
      <c r="J24" s="3457"/>
      <c r="K24" s="3458"/>
      <c r="L24" s="3356"/>
      <c r="M24" s="3357"/>
      <c r="N24" s="1727"/>
      <c r="O24" s="1728"/>
      <c r="P24" s="1722"/>
      <c r="Q24" s="1722"/>
      <c r="S24" s="3428"/>
      <c r="T24" s="3429"/>
    </row>
    <row r="25" spans="1:20" s="278" customFormat="1" ht="16.5" customHeight="1">
      <c r="A25" s="305"/>
      <c r="B25" s="1707" t="s">
        <v>810</v>
      </c>
      <c r="C25" s="1708"/>
      <c r="D25" s="1708"/>
      <c r="E25" s="1570"/>
      <c r="H25" s="3456" t="s">
        <v>4555</v>
      </c>
      <c r="I25" s="3457"/>
      <c r="J25" s="3457"/>
      <c r="K25" s="3458"/>
      <c r="L25" s="3356">
        <v>2180722</v>
      </c>
      <c r="M25" s="3357"/>
      <c r="N25" s="305"/>
      <c r="O25" s="305"/>
      <c r="P25" s="305"/>
      <c r="Q25" s="305"/>
      <c r="S25" s="3432"/>
      <c r="T25" s="3433"/>
    </row>
    <row r="26" spans="1:20" s="278" customFormat="1" ht="16.5" customHeight="1">
      <c r="A26" s="305"/>
      <c r="B26" s="1707" t="s">
        <v>811</v>
      </c>
      <c r="C26" s="1708"/>
      <c r="D26" s="1708"/>
      <c r="E26" s="1570"/>
      <c r="H26" s="3456" t="s">
        <v>4555</v>
      </c>
      <c r="I26" s="3457"/>
      <c r="J26" s="3457"/>
      <c r="K26" s="3458"/>
      <c r="L26" s="3356">
        <v>987278</v>
      </c>
      <c r="M26" s="3357"/>
      <c r="N26" s="305"/>
      <c r="Q26" s="305"/>
      <c r="S26" s="3425"/>
      <c r="T26" s="3426"/>
    </row>
    <row r="27" spans="1:20" s="278" customFormat="1" ht="16.5" customHeight="1">
      <c r="A27" s="305"/>
      <c r="B27" s="1569" t="s">
        <v>244</v>
      </c>
      <c r="C27" s="1570"/>
      <c r="D27" s="3475"/>
      <c r="E27" s="3475"/>
      <c r="F27" s="3475"/>
      <c r="G27" s="3475"/>
      <c r="H27" s="3456"/>
      <c r="I27" s="3457"/>
      <c r="J27" s="3457"/>
      <c r="K27" s="3458"/>
      <c r="L27" s="3356"/>
      <c r="M27" s="3357"/>
      <c r="N27" s="305"/>
      <c r="Q27" s="305"/>
      <c r="S27" s="3428"/>
      <c r="T27" s="3429"/>
    </row>
    <row r="28" spans="1:20" s="278" customFormat="1" ht="16.5" customHeight="1">
      <c r="A28" s="305"/>
      <c r="B28" s="1569" t="s">
        <v>244</v>
      </c>
      <c r="C28" s="1570"/>
      <c r="D28" s="3476"/>
      <c r="E28" s="3476"/>
      <c r="F28" s="3476"/>
      <c r="G28" s="3476"/>
      <c r="H28" s="3456"/>
      <c r="I28" s="3457"/>
      <c r="J28" s="3457"/>
      <c r="K28" s="3458"/>
      <c r="L28" s="3356"/>
      <c r="M28" s="3357"/>
      <c r="N28" s="305"/>
      <c r="S28" s="3428"/>
      <c r="T28" s="3429"/>
    </row>
    <row r="29" spans="1:20" s="278" customFormat="1" ht="16.5" customHeight="1">
      <c r="A29" s="305"/>
      <c r="B29" s="1566" t="s">
        <v>244</v>
      </c>
      <c r="C29" s="1567"/>
      <c r="D29" s="3477"/>
      <c r="E29" s="3477"/>
      <c r="F29" s="3477"/>
      <c r="G29" s="3477"/>
      <c r="H29" s="3463"/>
      <c r="I29" s="3464"/>
      <c r="J29" s="3464"/>
      <c r="K29" s="3465"/>
      <c r="L29" s="3385"/>
      <c r="M29" s="3386"/>
      <c r="N29" s="305"/>
      <c r="S29" s="3428"/>
      <c r="T29" s="3429"/>
    </row>
    <row r="30" spans="1:20" s="278" customFormat="1" ht="16.5" customHeight="1">
      <c r="A30" s="305"/>
      <c r="B30" s="277" t="s">
        <v>1310</v>
      </c>
      <c r="C30" s="305"/>
      <c r="D30" s="305"/>
      <c r="E30" s="305"/>
      <c r="F30" s="305"/>
      <c r="G30" s="305"/>
      <c r="H30" s="305"/>
      <c r="I30" s="305"/>
      <c r="L30" s="1729">
        <f>SUM(L19:L29)</f>
        <v>11559776</v>
      </c>
      <c r="M30" s="1730"/>
      <c r="N30" s="324"/>
      <c r="S30" s="3428"/>
      <c r="T30" s="3429"/>
    </row>
    <row r="31" spans="1:20" s="278" customFormat="1" ht="16.5" customHeight="1">
      <c r="A31" s="305"/>
      <c r="B31" s="1559" t="s">
        <v>1311</v>
      </c>
      <c r="C31" s="305"/>
      <c r="D31" s="305"/>
      <c r="E31" s="305"/>
      <c r="F31" s="305"/>
      <c r="G31" s="305"/>
      <c r="H31" s="305"/>
      <c r="I31" s="305"/>
      <c r="L31" s="347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11559776</v>
      </c>
      <c r="M31" s="3479"/>
      <c r="N31" s="900"/>
      <c r="S31" s="3428"/>
      <c r="T31" s="3429"/>
    </row>
    <row r="32" spans="1:20" s="278" customFormat="1" ht="16.5" customHeight="1">
      <c r="A32" s="305"/>
      <c r="B32" s="310" t="s">
        <v>2173</v>
      </c>
      <c r="C32" s="305"/>
      <c r="D32" s="305"/>
      <c r="E32" s="305"/>
      <c r="F32" s="305"/>
      <c r="G32" s="305"/>
      <c r="H32" s="305"/>
      <c r="I32" s="305"/>
      <c r="L32" s="1731">
        <f>L30-L31</f>
        <v>0</v>
      </c>
      <c r="M32" s="1732"/>
      <c r="N32" s="900"/>
      <c r="S32" s="3432"/>
      <c r="T32" s="3433"/>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0"/>
      <c r="O36" s="3480"/>
      <c r="P36" s="1637" t="s">
        <v>75</v>
      </c>
      <c r="Q36" s="1637"/>
      <c r="S36" s="1724" t="s">
        <v>2700</v>
      </c>
      <c r="T36" s="1724"/>
    </row>
    <row r="37" spans="1:20" s="278" customFormat="1" ht="14.25" customHeight="1">
      <c r="A37" s="305"/>
      <c r="B37" s="1725" t="s">
        <v>2631</v>
      </c>
      <c r="C37" s="1726"/>
      <c r="D37" s="1726"/>
      <c r="E37" s="3449" t="s">
        <v>4613</v>
      </c>
      <c r="F37" s="3450"/>
      <c r="G37" s="3450"/>
      <c r="H37" s="3451"/>
      <c r="I37" s="3481">
        <v>2900000</v>
      </c>
      <c r="J37" s="3482"/>
      <c r="K37" s="3483">
        <v>5.8999999999999997E-2</v>
      </c>
      <c r="L37" s="3424">
        <v>18</v>
      </c>
      <c r="M37" s="3424">
        <v>35</v>
      </c>
      <c r="N37" s="3484">
        <f>IF(OR(I37&lt;=0,I37=""),"",IF(P37="Amortizing",-PMT(K37/12,M37*12,I37,0,0)*12,""))</f>
        <v>196094.52191910031</v>
      </c>
      <c r="O37" s="3484"/>
      <c r="P37" s="3485" t="s">
        <v>4614</v>
      </c>
      <c r="Q37" s="3485"/>
      <c r="S37" s="3425"/>
      <c r="T37" s="3426"/>
    </row>
    <row r="38" spans="1:20" s="278" customFormat="1" ht="14.25" customHeight="1">
      <c r="A38" s="305"/>
      <c r="B38" s="1707" t="s">
        <v>2632</v>
      </c>
      <c r="C38" s="1708"/>
      <c r="D38" s="1708"/>
      <c r="E38" s="3456"/>
      <c r="F38" s="3457"/>
      <c r="G38" s="3457"/>
      <c r="H38" s="3458"/>
      <c r="I38" s="3486"/>
      <c r="J38" s="3487"/>
      <c r="K38" s="3488"/>
      <c r="L38" s="3427"/>
      <c r="M38" s="3427"/>
      <c r="N38" s="3489" t="str">
        <f>IF(OR(I38&lt;=0,I38=""),"",IF(P38="Amortizing",-PMT(K38/12,M38*12,I38,0,0)*12,""))</f>
        <v/>
      </c>
      <c r="O38" s="3489"/>
      <c r="P38" s="3490"/>
      <c r="Q38" s="3490"/>
      <c r="S38" s="3428"/>
      <c r="T38" s="3429"/>
    </row>
    <row r="39" spans="1:20" s="278" customFormat="1" ht="14.25" customHeight="1">
      <c r="A39" s="305"/>
      <c r="B39" s="1707" t="s">
        <v>2633</v>
      </c>
      <c r="C39" s="1708"/>
      <c r="D39" s="1708"/>
      <c r="E39" s="3456"/>
      <c r="F39" s="3457"/>
      <c r="G39" s="3457"/>
      <c r="H39" s="3458"/>
      <c r="I39" s="3486"/>
      <c r="J39" s="3487"/>
      <c r="K39" s="3488"/>
      <c r="L39" s="3427"/>
      <c r="M39" s="3427"/>
      <c r="N39" s="3489" t="str">
        <f>IF(OR(I39&lt;=0,I39=""),"",IF(P39="Amortizing",-PMT(K39/12,M39*12,I39,0,0)*12,""))</f>
        <v/>
      </c>
      <c r="O39" s="3489"/>
      <c r="P39" s="3490"/>
      <c r="Q39" s="3490"/>
      <c r="S39" s="3428"/>
      <c r="T39" s="3429"/>
    </row>
    <row r="40" spans="1:20" s="278" customFormat="1" ht="14.25" customHeight="1">
      <c r="A40" s="305"/>
      <c r="B40" s="1569" t="s">
        <v>749</v>
      </c>
      <c r="C40" s="3491"/>
      <c r="D40" s="3492"/>
      <c r="E40" s="3456"/>
      <c r="F40" s="3457"/>
      <c r="G40" s="3457"/>
      <c r="H40" s="3458"/>
      <c r="I40" s="3486"/>
      <c r="J40" s="3487"/>
      <c r="K40" s="3493"/>
      <c r="L40" s="3439"/>
      <c r="M40" s="3439"/>
      <c r="N40" s="3494" t="str">
        <f>IF(OR(I40&lt;=0,I40=""),"",IF(P40="Amortizing",-PMT(K40/12,M40*12,I40,0,0)*12,""))</f>
        <v/>
      </c>
      <c r="O40" s="3494"/>
      <c r="P40" s="3495"/>
      <c r="Q40" s="3495"/>
      <c r="S40" s="3428"/>
      <c r="T40" s="3429"/>
    </row>
    <row r="41" spans="1:20" s="278" customFormat="1" ht="14.25" customHeight="1">
      <c r="A41" s="305"/>
      <c r="B41" s="1569" t="s">
        <v>2767</v>
      </c>
      <c r="C41" s="1570"/>
      <c r="D41" s="1575"/>
      <c r="E41" s="3456"/>
      <c r="F41" s="3457"/>
      <c r="G41" s="3457"/>
      <c r="H41" s="3458"/>
      <c r="I41" s="3486"/>
      <c r="J41" s="3487"/>
      <c r="K41" s="480"/>
      <c r="L41" s="1573"/>
      <c r="M41" s="1573"/>
      <c r="N41" s="1716" t="str">
        <f>IF(OR(I41&lt;=0,I41=""),"",IF(P41="Amortizing",-PMT(K41/12,M41*12,I41,0,0)*12,""))</f>
        <v/>
      </c>
      <c r="O41" s="1716"/>
      <c r="P41" s="1717"/>
      <c r="Q41" s="1717"/>
      <c r="S41" s="3428"/>
      <c r="T41" s="3429"/>
    </row>
    <row r="42" spans="1:20" s="278" customFormat="1" ht="14.25" customHeight="1">
      <c r="A42" s="305"/>
      <c r="B42" s="1566" t="s">
        <v>230</v>
      </c>
      <c r="C42" s="1567"/>
      <c r="D42" s="382">
        <f>IF(OR(I42="",I42=0,'Part IV-A-Uses of Funds'!$G$118="",'Part IV-A-Uses of Funds'!$G$118=0),"",I42/'Part IV-A-Uses of Funds'!$G$118)</f>
        <v>5.1546835443037974E-2</v>
      </c>
      <c r="E42" s="3463" t="s">
        <v>4560</v>
      </c>
      <c r="F42" s="3464"/>
      <c r="G42" s="3464"/>
      <c r="H42" s="3465"/>
      <c r="I42" s="3496">
        <v>81444</v>
      </c>
      <c r="J42" s="3497"/>
      <c r="K42" s="3498">
        <v>0</v>
      </c>
      <c r="L42" s="3442">
        <v>10</v>
      </c>
      <c r="M42" s="3442">
        <v>10</v>
      </c>
      <c r="N42" s="3499"/>
      <c r="O42" s="3500"/>
      <c r="P42" s="3501" t="s">
        <v>1175</v>
      </c>
      <c r="Q42" s="3502"/>
      <c r="S42" s="3428"/>
      <c r="T42" s="3429"/>
    </row>
    <row r="43" spans="1:20" s="278" customFormat="1" ht="3" customHeight="1">
      <c r="A43" s="305"/>
      <c r="B43" s="305"/>
      <c r="C43" s="305"/>
      <c r="D43" s="305"/>
      <c r="E43" s="305"/>
      <c r="F43" s="305"/>
      <c r="G43" s="305"/>
      <c r="H43" s="305"/>
      <c r="I43" s="1616"/>
      <c r="J43" s="3503"/>
      <c r="K43" s="1615"/>
      <c r="L43" s="1571"/>
      <c r="M43" s="1571"/>
      <c r="N43" s="1617"/>
      <c r="O43" s="1617"/>
      <c r="P43" s="1571"/>
      <c r="Q43" s="1571"/>
      <c r="S43" s="3504"/>
      <c r="T43" s="3505"/>
    </row>
    <row r="44" spans="1:20" s="278" customFormat="1" ht="14.25" customHeight="1">
      <c r="A44" s="305"/>
      <c r="B44" s="1165" t="s">
        <v>4236</v>
      </c>
      <c r="C44" s="1570"/>
      <c r="E44" s="278" t="s">
        <v>4129</v>
      </c>
      <c r="F44" s="1714">
        <f>IF(OR($I$42="",$I$42=0,'Part VII-Pro Forma'!$S$33=0,'Part VII-Pro Forma'!$S$33=""),"",VLOOKUP($L$42,'Part VII-Pro Forma'!$Q$19:$S$38,3))</f>
        <v>391984.41329573095</v>
      </c>
      <c r="G44" s="1715"/>
      <c r="H44" s="649" t="s">
        <v>4235</v>
      </c>
      <c r="I44" s="1720">
        <f>IF(OR($I$42="",$I$42=0,'Part VII-Pro Forma'!$R$33=0,'Part VII-Pro Forma'!$R$33=""),"",VLOOKUP($L$42,'Part VII-Pro Forma'!$Q$19:$S$33,2))</f>
        <v>81444</v>
      </c>
      <c r="J44" s="1721"/>
      <c r="K44" s="3506"/>
      <c r="L44" s="1571"/>
      <c r="M44" s="1571"/>
      <c r="N44" s="1617"/>
      <c r="O44" s="1617"/>
      <c r="P44" s="1571"/>
      <c r="Q44" s="1571"/>
      <c r="S44" s="3504"/>
      <c r="T44" s="3505"/>
    </row>
    <row r="45" spans="1:20" s="278" customFormat="1" ht="14.25" customHeight="1">
      <c r="A45" s="305"/>
      <c r="B45" s="1165" t="s">
        <v>4293</v>
      </c>
      <c r="C45" s="1570"/>
      <c r="D45" s="1166"/>
      <c r="F45" s="3507">
        <f>I45</f>
        <v>0.20777356761518709</v>
      </c>
      <c r="G45" s="3508"/>
      <c r="H45" s="649" t="s">
        <v>4237</v>
      </c>
      <c r="I45" s="1718">
        <f>IF(OR($F$44 = 0,$F$44 =""),"",$I$44/$F$44)</f>
        <v>0.20777356761518709</v>
      </c>
      <c r="J45" s="1719"/>
      <c r="K45" s="1615"/>
      <c r="L45" s="1571"/>
      <c r="M45" s="1571"/>
      <c r="N45" s="1617"/>
      <c r="O45" s="1617"/>
      <c r="P45" s="1571"/>
      <c r="Q45" s="1571"/>
      <c r="S45" s="3504"/>
      <c r="T45" s="3505"/>
    </row>
    <row r="46" spans="1:20" s="278" customFormat="1" ht="3" customHeight="1">
      <c r="A46" s="305"/>
      <c r="B46" s="305"/>
      <c r="C46" s="305"/>
      <c r="D46" s="305"/>
      <c r="E46" s="305"/>
      <c r="F46" s="305"/>
      <c r="G46" s="305"/>
      <c r="H46" s="305"/>
      <c r="I46" s="3509"/>
      <c r="J46" s="3510"/>
      <c r="K46" s="1615"/>
      <c r="L46" s="1571"/>
      <c r="M46" s="1571"/>
      <c r="N46" s="1617"/>
      <c r="O46" s="1617"/>
      <c r="P46" s="1571"/>
      <c r="Q46" s="1571"/>
      <c r="S46" s="3504"/>
      <c r="T46" s="3505"/>
    </row>
    <row r="47" spans="1:20" s="278" customFormat="1" ht="14.25" customHeight="1">
      <c r="A47" s="305"/>
      <c r="B47" s="1704" t="s">
        <v>2231</v>
      </c>
      <c r="C47" s="1705"/>
      <c r="D47" s="1706"/>
      <c r="E47" s="3449"/>
      <c r="F47" s="3450"/>
      <c r="G47" s="3450"/>
      <c r="H47" s="3451"/>
      <c r="I47" s="3511"/>
      <c r="J47" s="3512"/>
      <c r="K47" s="383"/>
      <c r="L47" s="383"/>
      <c r="M47" s="383"/>
      <c r="N47" s="383"/>
      <c r="O47" s="383"/>
      <c r="P47" s="383"/>
      <c r="Q47" s="383"/>
      <c r="S47" s="3425"/>
      <c r="T47" s="3426"/>
    </row>
    <row r="48" spans="1:20" s="278" customFormat="1" ht="14.25" customHeight="1">
      <c r="A48" s="305"/>
      <c r="B48" s="1707" t="s">
        <v>809</v>
      </c>
      <c r="C48" s="1708"/>
      <c r="D48" s="1709"/>
      <c r="E48" s="3456"/>
      <c r="F48" s="3457"/>
      <c r="G48" s="3457"/>
      <c r="H48" s="3458"/>
      <c r="I48" s="3486"/>
      <c r="J48" s="3487"/>
      <c r="L48" s="1710" t="s">
        <v>522</v>
      </c>
      <c r="M48" s="1710"/>
      <c r="N48" s="1711" t="s">
        <v>523</v>
      </c>
      <c r="O48" s="1711"/>
      <c r="P48" s="413" t="s">
        <v>521</v>
      </c>
      <c r="Q48" s="383"/>
      <c r="S48" s="3428"/>
      <c r="T48" s="3429"/>
    </row>
    <row r="49" spans="1:23" s="278" customFormat="1" ht="14.25" customHeight="1">
      <c r="A49" s="305"/>
      <c r="B49" s="1707" t="s">
        <v>810</v>
      </c>
      <c r="C49" s="1708"/>
      <c r="D49" s="1709"/>
      <c r="E49" s="3456" t="s">
        <v>4555</v>
      </c>
      <c r="F49" s="3457"/>
      <c r="G49" s="3457"/>
      <c r="H49" s="3458"/>
      <c r="I49" s="3486">
        <v>7269075</v>
      </c>
      <c r="J49" s="3486"/>
      <c r="L49" s="1712">
        <f>'Part IV-A-Uses of Funds'!$J$175*10*'Part IV-A-Uses of Funds'!$N$168</f>
        <v>7342500</v>
      </c>
      <c r="M49" s="1712"/>
      <c r="N49" s="1713">
        <f>I49-L49</f>
        <v>-73425</v>
      </c>
      <c r="O49" s="1713"/>
      <c r="P49" s="414" t="s">
        <v>2577</v>
      </c>
      <c r="Q49" s="383"/>
      <c r="S49" s="3428"/>
      <c r="T49" s="3429"/>
    </row>
    <row r="50" spans="1:23" s="278" customFormat="1" ht="14.25" customHeight="1">
      <c r="A50" s="305"/>
      <c r="B50" s="1707" t="s">
        <v>811</v>
      </c>
      <c r="C50" s="1708"/>
      <c r="D50" s="1709"/>
      <c r="E50" s="3456" t="s">
        <v>4555</v>
      </c>
      <c r="F50" s="3457"/>
      <c r="G50" s="3457"/>
      <c r="H50" s="3458"/>
      <c r="I50" s="3486">
        <v>3290925</v>
      </c>
      <c r="J50" s="3486"/>
      <c r="L50" s="1712">
        <f>'Part IV-A-Uses of Funds'!$J$175*10*'Part IV-A-Uses of Funds'!$Q$168</f>
        <v>3217500</v>
      </c>
      <c r="M50" s="1712"/>
      <c r="N50" s="1713">
        <f>I50-L50</f>
        <v>73425</v>
      </c>
      <c r="O50" s="1713"/>
      <c r="P50" s="415">
        <f>I49/I59</f>
        <v>0.5368020574467538</v>
      </c>
      <c r="Q50" s="383"/>
      <c r="S50" s="3428"/>
      <c r="T50" s="3429"/>
    </row>
    <row r="51" spans="1:23" s="278" customFormat="1" ht="14.25" customHeight="1">
      <c r="A51" s="305"/>
      <c r="B51" s="1707" t="s">
        <v>1422</v>
      </c>
      <c r="C51" s="1708"/>
      <c r="D51" s="1709"/>
      <c r="E51" s="3456"/>
      <c r="F51" s="3457"/>
      <c r="G51" s="3457"/>
      <c r="H51" s="3458"/>
      <c r="I51" s="3486"/>
      <c r="J51" s="3486"/>
      <c r="P51" s="415">
        <f>I50/I59</f>
        <v>0.2430261499438317</v>
      </c>
      <c r="Q51" s="383"/>
      <c r="S51" s="3432"/>
      <c r="T51" s="3433"/>
    </row>
    <row r="52" spans="1:23" s="278" customFormat="1" ht="14.25" customHeight="1">
      <c r="A52" s="305"/>
      <c r="B52" s="1569" t="s">
        <v>536</v>
      </c>
      <c r="C52" s="1570"/>
      <c r="D52" s="1575"/>
      <c r="E52" s="3456"/>
      <c r="F52" s="3457"/>
      <c r="G52" s="3457"/>
      <c r="H52" s="3458"/>
      <c r="I52" s="3486"/>
      <c r="J52" s="3486"/>
      <c r="K52" s="305"/>
      <c r="P52" s="416">
        <f>SUM(P50:P51)</f>
        <v>0.77982820739058556</v>
      </c>
      <c r="Q52" s="383"/>
      <c r="S52" s="3428"/>
      <c r="T52" s="3429"/>
    </row>
    <row r="53" spans="1:23" s="278" customFormat="1" ht="14.25" customHeight="1">
      <c r="A53" s="305"/>
      <c r="B53" s="1569" t="s">
        <v>1883</v>
      </c>
      <c r="C53" s="1570"/>
      <c r="D53" s="1575"/>
      <c r="E53" s="3456"/>
      <c r="F53" s="3457"/>
      <c r="G53" s="3457"/>
      <c r="H53" s="3458"/>
      <c r="I53" s="3486"/>
      <c r="J53" s="3486"/>
      <c r="N53" s="384"/>
      <c r="O53" s="384"/>
      <c r="P53" s="384"/>
      <c r="Q53" s="383"/>
      <c r="S53" s="3428"/>
      <c r="T53" s="3429"/>
    </row>
    <row r="54" spans="1:23" s="278" customFormat="1" ht="14.25" customHeight="1">
      <c r="A54" s="305"/>
      <c r="B54" s="1569" t="s">
        <v>1884</v>
      </c>
      <c r="C54" s="1570"/>
      <c r="D54" s="1575"/>
      <c r="E54" s="3456"/>
      <c r="F54" s="3457"/>
      <c r="G54" s="3457"/>
      <c r="H54" s="3458"/>
      <c r="I54" s="3486"/>
      <c r="J54" s="3486"/>
      <c r="M54" s="384"/>
      <c r="N54" s="384"/>
      <c r="O54" s="384"/>
      <c r="P54" s="384"/>
      <c r="Q54" s="383"/>
      <c r="S54" s="3428"/>
      <c r="T54" s="3429"/>
    </row>
    <row r="55" spans="1:23" s="278" customFormat="1" ht="14.25" customHeight="1">
      <c r="A55" s="305"/>
      <c r="B55" s="1569" t="s">
        <v>749</v>
      </c>
      <c r="C55" s="3475"/>
      <c r="D55" s="3475"/>
      <c r="E55" s="3456"/>
      <c r="F55" s="3457"/>
      <c r="G55" s="3457"/>
      <c r="H55" s="3458"/>
      <c r="I55" s="3486"/>
      <c r="J55" s="3486"/>
      <c r="M55" s="384"/>
      <c r="N55" s="384"/>
      <c r="O55" s="384"/>
      <c r="P55" s="384"/>
      <c r="Q55" s="383"/>
      <c r="S55" s="3428"/>
      <c r="T55" s="3429"/>
    </row>
    <row r="56" spans="1:23" s="278" customFormat="1" ht="14.25" customHeight="1">
      <c r="A56" s="305"/>
      <c r="B56" s="1569" t="s">
        <v>749</v>
      </c>
      <c r="C56" s="3476"/>
      <c r="D56" s="3476"/>
      <c r="E56" s="3456"/>
      <c r="F56" s="3457"/>
      <c r="G56" s="3457"/>
      <c r="H56" s="3458"/>
      <c r="I56" s="3486"/>
      <c r="J56" s="3486"/>
      <c r="K56" s="305"/>
      <c r="L56" s="385"/>
      <c r="M56" s="384"/>
      <c r="N56" s="384"/>
      <c r="O56" s="384"/>
      <c r="P56" s="384"/>
      <c r="Q56" s="383"/>
      <c r="S56" s="3428"/>
      <c r="T56" s="3429"/>
    </row>
    <row r="57" spans="1:23" s="278" customFormat="1" ht="14.25" customHeight="1">
      <c r="A57" s="305"/>
      <c r="B57" s="1566" t="s">
        <v>749</v>
      </c>
      <c r="C57" s="3477"/>
      <c r="D57" s="3477"/>
      <c r="E57" s="3463"/>
      <c r="F57" s="3464"/>
      <c r="G57" s="3464"/>
      <c r="H57" s="3465"/>
      <c r="I57" s="3513"/>
      <c r="J57" s="3513"/>
      <c r="K57" s="305"/>
      <c r="L57" s="385"/>
      <c r="M57" s="384"/>
      <c r="N57" s="384"/>
      <c r="O57" s="384"/>
      <c r="P57" s="384"/>
      <c r="Q57" s="383"/>
      <c r="S57" s="3428"/>
      <c r="T57" s="3429"/>
    </row>
    <row r="58" spans="1:23" s="278" customFormat="1" ht="14.25" customHeight="1">
      <c r="A58" s="305"/>
      <c r="B58" s="1559" t="s">
        <v>2232</v>
      </c>
      <c r="C58" s="305"/>
      <c r="D58" s="305"/>
      <c r="E58" s="305"/>
      <c r="F58" s="305"/>
      <c r="G58" s="305"/>
      <c r="I58" s="1698">
        <f>SUM(I37:J42)+SUM(I47:J57)</f>
        <v>13541444</v>
      </c>
      <c r="J58" s="1699"/>
      <c r="K58" s="305"/>
      <c r="L58" s="385"/>
      <c r="M58" s="384"/>
      <c r="N58" s="384"/>
      <c r="O58" s="384"/>
      <c r="P58" s="384"/>
      <c r="Q58" s="383"/>
      <c r="S58" s="3428"/>
      <c r="T58" s="3429"/>
    </row>
    <row r="59" spans="1:23" s="278" customFormat="1" ht="14.25" customHeight="1" thickBot="1">
      <c r="A59" s="305"/>
      <c r="B59" s="1559" t="s">
        <v>2233</v>
      </c>
      <c r="C59" s="305"/>
      <c r="D59" s="305"/>
      <c r="E59" s="305"/>
      <c r="F59" s="305"/>
      <c r="G59" s="305"/>
      <c r="I59" s="1700">
        <f>'Part IV-A-Uses of Funds'!$G$132</f>
        <v>13541444</v>
      </c>
      <c r="J59" s="1701"/>
      <c r="K59" s="305"/>
      <c r="L59" s="385"/>
      <c r="M59" s="384"/>
      <c r="N59" s="384"/>
      <c r="O59" s="384"/>
      <c r="P59" s="384"/>
      <c r="Q59" s="383"/>
      <c r="S59" s="3428"/>
      <c r="T59" s="3429"/>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2"/>
      <c r="T60" s="3433"/>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1" t="s">
        <v>4696</v>
      </c>
      <c r="B64" s="3311"/>
      <c r="C64" s="3311"/>
      <c r="D64" s="3311"/>
      <c r="E64" s="3311"/>
      <c r="F64" s="3311"/>
      <c r="G64" s="3311"/>
      <c r="H64" s="3311"/>
      <c r="I64" s="3311"/>
      <c r="J64" s="3311"/>
      <c r="K64" s="3311"/>
      <c r="L64" s="3311"/>
      <c r="M64" s="3312"/>
      <c r="N64" s="3312"/>
      <c r="O64" s="3312"/>
      <c r="P64" s="3312"/>
      <c r="Q64" s="3312"/>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hQYQNdsmrZDa7B8I7zBnoBJWGwdoAJ+a+MQReEzRSXBvr0a7H+rmacHsFlIcQG+H28C9arrl7dpBL4TMagp8hg==" saltValue="fwdkt2cDyonbbD1vXiwkb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2"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2018-037 Myrtle Terraces Phase 2, Gainesville, Hall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2018-037 Myrtle Terraces Phase 2, Gainesville, Hall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1">
        <v>18000</v>
      </c>
      <c r="H8" s="3352"/>
      <c r="J8" s="3351">
        <v>18000</v>
      </c>
      <c r="K8" s="3352"/>
      <c r="L8" s="1580"/>
      <c r="M8" s="3351"/>
      <c r="N8" s="3352"/>
      <c r="P8" s="3351"/>
      <c r="Q8" s="3352"/>
      <c r="S8" s="3351"/>
      <c r="T8" s="3352"/>
      <c r="V8" s="3353"/>
      <c r="W8" s="3354"/>
      <c r="X8" s="3355"/>
    </row>
    <row r="9" spans="1:24" s="305" customFormat="1" ht="12.6" customHeight="1">
      <c r="B9" s="305" t="s">
        <v>461</v>
      </c>
      <c r="G9" s="3356">
        <v>15000</v>
      </c>
      <c r="H9" s="3357"/>
      <c r="J9" s="3356">
        <v>15000</v>
      </c>
      <c r="K9" s="3357"/>
      <c r="L9" s="1580"/>
      <c r="M9" s="3356"/>
      <c r="N9" s="3357"/>
      <c r="P9" s="3356"/>
      <c r="Q9" s="3357"/>
      <c r="S9" s="3356"/>
      <c r="T9" s="3357"/>
      <c r="V9" s="3353"/>
      <c r="W9" s="3354"/>
      <c r="X9" s="3355"/>
    </row>
    <row r="10" spans="1:24" s="305" customFormat="1" ht="12.6" customHeight="1">
      <c r="B10" s="305" t="s">
        <v>491</v>
      </c>
      <c r="G10" s="3356">
        <v>16000</v>
      </c>
      <c r="H10" s="3357"/>
      <c r="J10" s="3356">
        <v>16000</v>
      </c>
      <c r="K10" s="3357"/>
      <c r="L10" s="1580"/>
      <c r="M10" s="3356"/>
      <c r="N10" s="3357"/>
      <c r="P10" s="3356"/>
      <c r="Q10" s="3357"/>
      <c r="S10" s="3356"/>
      <c r="T10" s="3357"/>
      <c r="V10" s="3353"/>
      <c r="W10" s="3354"/>
      <c r="X10" s="3355"/>
    </row>
    <row r="11" spans="1:24" s="305" customFormat="1" ht="12.6" customHeight="1">
      <c r="B11" s="305" t="s">
        <v>492</v>
      </c>
      <c r="G11" s="3356">
        <v>15000</v>
      </c>
      <c r="H11" s="3357"/>
      <c r="J11" s="3356">
        <v>15000</v>
      </c>
      <c r="K11" s="3357"/>
      <c r="L11" s="1580"/>
      <c r="M11" s="3356"/>
      <c r="N11" s="3357"/>
      <c r="P11" s="3356"/>
      <c r="Q11" s="3357"/>
      <c r="S11" s="3356"/>
      <c r="T11" s="3357"/>
      <c r="V11" s="3353"/>
      <c r="W11" s="3354"/>
      <c r="X11" s="3355"/>
    </row>
    <row r="12" spans="1:24" s="305" customFormat="1" ht="12.6" customHeight="1">
      <c r="B12" s="305" t="s">
        <v>2516</v>
      </c>
      <c r="G12" s="3356">
        <v>20000</v>
      </c>
      <c r="H12" s="3357"/>
      <c r="J12" s="3356">
        <v>20000</v>
      </c>
      <c r="K12" s="3357"/>
      <c r="L12" s="1580"/>
      <c r="M12" s="3356"/>
      <c r="N12" s="3357"/>
      <c r="P12" s="3356"/>
      <c r="Q12" s="3357"/>
      <c r="S12" s="3356"/>
      <c r="T12" s="3357"/>
      <c r="V12" s="3353"/>
      <c r="W12" s="3354"/>
      <c r="X12" s="3355"/>
    </row>
    <row r="13" spans="1:24" s="305" customFormat="1" ht="12.6" customHeight="1">
      <c r="B13" s="305" t="s">
        <v>192</v>
      </c>
      <c r="G13" s="3356"/>
      <c r="H13" s="3357"/>
      <c r="J13" s="3356"/>
      <c r="K13" s="3357"/>
      <c r="L13" s="1580"/>
      <c r="M13" s="3356"/>
      <c r="N13" s="3357"/>
      <c r="P13" s="3356"/>
      <c r="Q13" s="3357"/>
      <c r="S13" s="3356"/>
      <c r="T13" s="3357"/>
      <c r="V13" s="3353"/>
      <c r="W13" s="3354"/>
      <c r="X13" s="3355"/>
    </row>
    <row r="14" spans="1:24" s="305" customFormat="1" ht="12.6" customHeight="1">
      <c r="A14" s="387" t="str">
        <f>IF(AND(G14&gt;0,OR(C14="",C14="&lt;Enter detailed description here; use Comments section if needed&gt;")),"X","")</f>
        <v/>
      </c>
      <c r="B14" s="305" t="s">
        <v>749</v>
      </c>
      <c r="C14" s="3358" t="s">
        <v>3737</v>
      </c>
      <c r="D14" s="3358"/>
      <c r="E14" s="3358"/>
      <c r="F14" s="3359"/>
      <c r="G14" s="3356"/>
      <c r="H14" s="3357"/>
      <c r="J14" s="3356"/>
      <c r="K14" s="3357"/>
      <c r="L14" s="1580"/>
      <c r="M14" s="3356"/>
      <c r="N14" s="3357"/>
      <c r="P14" s="3356"/>
      <c r="Q14" s="3357"/>
      <c r="S14" s="3356"/>
      <c r="T14" s="3357"/>
      <c r="U14" s="386" t="str">
        <f>IF(AND(G14&gt;0,OR(C14="",C14="&lt;Enter detailed description here; use Comments section if needed&gt;")),"NO DESCRIPTION PROVIDED - please enter detailed description in Other box at left; use Comments section below if needed.","")</f>
        <v/>
      </c>
      <c r="V14" s="3360"/>
      <c r="W14" s="3354"/>
      <c r="X14" s="3355"/>
    </row>
    <row r="15" spans="1:24" s="305" customFormat="1" ht="12.6" customHeight="1">
      <c r="A15" s="387" t="str">
        <f>IF(AND(G15&gt;0,OR(C15="",C15="&lt;Enter detailed description here; use Comments section if needed&gt;")),"X","")</f>
        <v/>
      </c>
      <c r="B15" s="305" t="s">
        <v>749</v>
      </c>
      <c r="C15" s="3358" t="s">
        <v>3737</v>
      </c>
      <c r="D15" s="3358"/>
      <c r="E15" s="3358"/>
      <c r="F15" s="3359"/>
      <c r="G15" s="3356"/>
      <c r="H15" s="3357"/>
      <c r="J15" s="3356"/>
      <c r="K15" s="3357"/>
      <c r="L15" s="1580"/>
      <c r="M15" s="3356"/>
      <c r="N15" s="3357"/>
      <c r="P15" s="3356"/>
      <c r="Q15" s="3357"/>
      <c r="S15" s="3356"/>
      <c r="T15" s="3357"/>
      <c r="U15" s="386" t="str">
        <f>IF(AND(G15&gt;0,OR(C15="",C15="&lt;Enter detailed description here; use Comments section if needed&gt;")),"NO DESCRIPTION PROVIDED - please enter detailed description in Other box at left; use Comments section below if needed.","")</f>
        <v/>
      </c>
      <c r="V15" s="3360"/>
      <c r="W15" s="3354"/>
      <c r="X15" s="3355"/>
    </row>
    <row r="16" spans="1:24" s="305" customFormat="1" ht="12.6" customHeight="1" thickBot="1">
      <c r="A16" s="387" t="str">
        <f>IF(AND(G16&gt;0,OR(C16="",C16="&lt;Enter detailed description here; use Comments section if needed&gt;")),"X","")</f>
        <v/>
      </c>
      <c r="B16" s="305" t="s">
        <v>749</v>
      </c>
      <c r="C16" s="3358" t="s">
        <v>3737</v>
      </c>
      <c r="D16" s="3358"/>
      <c r="E16" s="3358"/>
      <c r="F16" s="3359"/>
      <c r="G16" s="3361"/>
      <c r="H16" s="3362"/>
      <c r="J16" s="3361"/>
      <c r="K16" s="3362"/>
      <c r="L16" s="1580"/>
      <c r="M16" s="3361"/>
      <c r="N16" s="3362"/>
      <c r="P16" s="3361"/>
      <c r="Q16" s="3362"/>
      <c r="S16" s="3361"/>
      <c r="T16" s="3362"/>
      <c r="U16" s="386" t="str">
        <f>IF(AND(G16&gt;0,OR(C16="",C16="&lt;Enter detailed description here; use Comments section if needed&gt;")),"NO DESCRIPTION PROVIDED - please enter detailed description in Other box at left; use Comments section below if needed.","")</f>
        <v/>
      </c>
      <c r="V16" s="3360"/>
      <c r="W16" s="3363"/>
      <c r="X16" s="3364"/>
    </row>
    <row r="17" spans="2:24" s="305" customFormat="1" ht="12.6" customHeight="1" thickTop="1">
      <c r="F17" s="361" t="s">
        <v>193</v>
      </c>
      <c r="G17" s="1800">
        <f>SUM(G8:H16)</f>
        <v>84000</v>
      </c>
      <c r="H17" s="1801"/>
      <c r="J17" s="1800">
        <f>SUM(J8:K16)</f>
        <v>84000</v>
      </c>
      <c r="K17" s="1826"/>
      <c r="L17" s="1580"/>
      <c r="M17" s="1800">
        <f>SUM(M8:N16)</f>
        <v>0</v>
      </c>
      <c r="N17" s="1801"/>
      <c r="P17" s="1800">
        <f>SUM(P8:Q16)</f>
        <v>0</v>
      </c>
      <c r="Q17" s="1801"/>
      <c r="S17" s="1800">
        <f>SUM(S8:T16)</f>
        <v>0</v>
      </c>
      <c r="T17" s="1801"/>
      <c r="V17" s="3365">
        <f>SUM(V8:V16)</f>
        <v>0</v>
      </c>
      <c r="W17" s="3366"/>
      <c r="X17" s="336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1">
        <v>975000</v>
      </c>
      <c r="H19" s="3352"/>
      <c r="J19" s="363"/>
      <c r="K19" s="360"/>
      <c r="L19" s="363"/>
      <c r="M19" s="363"/>
      <c r="N19" s="360"/>
      <c r="P19" s="363"/>
      <c r="Q19" s="360"/>
      <c r="S19" s="3351">
        <v>975000</v>
      </c>
      <c r="T19" s="3352"/>
      <c r="V19" s="3353"/>
      <c r="W19" s="3354"/>
      <c r="X19" s="3355"/>
    </row>
    <row r="20" spans="2:24" s="305" customFormat="1" ht="12.6" customHeight="1">
      <c r="B20" s="305" t="s">
        <v>1129</v>
      </c>
      <c r="G20" s="3356"/>
      <c r="H20" s="3357"/>
      <c r="J20" s="363"/>
      <c r="K20" s="360"/>
      <c r="L20" s="363"/>
      <c r="M20" s="363"/>
      <c r="N20" s="360"/>
      <c r="P20" s="363"/>
      <c r="Q20" s="360"/>
      <c r="S20" s="3356"/>
      <c r="T20" s="3357"/>
      <c r="V20" s="3353"/>
      <c r="W20" s="3354"/>
      <c r="X20" s="3355"/>
    </row>
    <row r="21" spans="2:24" s="305" customFormat="1" ht="12.6" customHeight="1">
      <c r="B21" s="305" t="s">
        <v>462</v>
      </c>
      <c r="G21" s="3356"/>
      <c r="H21" s="3357"/>
      <c r="J21" s="363"/>
      <c r="K21" s="360"/>
      <c r="L21" s="363"/>
      <c r="M21" s="3351"/>
      <c r="N21" s="3352"/>
      <c r="P21" s="363"/>
      <c r="Q21" s="360"/>
      <c r="S21" s="3356"/>
      <c r="T21" s="3357"/>
      <c r="V21" s="3353"/>
      <c r="W21" s="3354"/>
      <c r="X21" s="3355"/>
    </row>
    <row r="22" spans="2:24" s="305" customFormat="1" ht="12.6" customHeight="1" thickBot="1">
      <c r="B22" s="305" t="s">
        <v>432</v>
      </c>
      <c r="G22" s="3361"/>
      <c r="H22" s="3362"/>
      <c r="J22" s="363"/>
      <c r="K22" s="360"/>
      <c r="L22" s="363"/>
      <c r="M22" s="3361"/>
      <c r="N22" s="3362"/>
      <c r="P22" s="363"/>
      <c r="Q22" s="360"/>
      <c r="S22" s="3361"/>
      <c r="T22" s="3362"/>
      <c r="V22" s="3353"/>
      <c r="W22" s="3363"/>
      <c r="X22" s="3364"/>
    </row>
    <row r="23" spans="2:24" s="305" customFormat="1" ht="12.6" customHeight="1" thickTop="1">
      <c r="F23" s="361" t="s">
        <v>193</v>
      </c>
      <c r="G23" s="1800">
        <f>SUM(G19:H22)</f>
        <v>975000</v>
      </c>
      <c r="H23" s="1801"/>
      <c r="J23" s="363"/>
      <c r="K23" s="360"/>
      <c r="L23" s="363"/>
      <c r="M23" s="1800">
        <f>SUM(M21:N22)</f>
        <v>0</v>
      </c>
      <c r="N23" s="1801"/>
      <c r="P23" s="363"/>
      <c r="Q23" s="360"/>
      <c r="S23" s="1800">
        <f>SUM(S19:T22)</f>
        <v>975000</v>
      </c>
      <c r="T23" s="1801"/>
      <c r="V23" s="3365">
        <f>SUM(V19:V22)</f>
        <v>0</v>
      </c>
      <c r="W23" s="3366"/>
      <c r="X23" s="336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144907.74907749076</v>
      </c>
      <c r="G25" s="3351">
        <v>1178100</v>
      </c>
      <c r="H25" s="3352"/>
      <c r="J25" s="3351">
        <v>1119195</v>
      </c>
      <c r="K25" s="3352"/>
      <c r="L25" s="1580"/>
      <c r="M25" s="3368"/>
      <c r="N25" s="3369"/>
      <c r="P25" s="3368"/>
      <c r="Q25" s="3369"/>
      <c r="S25" s="3351">
        <v>58905</v>
      </c>
      <c r="T25" s="3352"/>
      <c r="V25" s="3353"/>
      <c r="W25" s="3354"/>
      <c r="X25" s="3355"/>
    </row>
    <row r="26" spans="2:24" s="305" customFormat="1" ht="12.6" customHeight="1" thickBot="1">
      <c r="B26" s="305" t="s">
        <v>1132</v>
      </c>
      <c r="G26" s="3361"/>
      <c r="H26" s="3362"/>
      <c r="J26" s="3361"/>
      <c r="K26" s="3362"/>
      <c r="L26" s="364"/>
      <c r="M26" s="1825"/>
      <c r="N26" s="1825"/>
      <c r="P26" s="1825"/>
      <c r="Q26" s="1825"/>
      <c r="S26" s="3361"/>
      <c r="T26" s="3362"/>
      <c r="V26" s="3353"/>
      <c r="W26" s="3363"/>
      <c r="X26" s="3364"/>
    </row>
    <row r="27" spans="2:24" s="305" customFormat="1" ht="12.6" customHeight="1" thickTop="1">
      <c r="F27" s="361" t="s">
        <v>193</v>
      </c>
      <c r="G27" s="1800">
        <f>SUM(G25:H26)</f>
        <v>1178100</v>
      </c>
      <c r="H27" s="1801"/>
      <c r="J27" s="1800">
        <f>SUM(J25:K26)</f>
        <v>1119195</v>
      </c>
      <c r="K27" s="1801"/>
      <c r="L27" s="363"/>
      <c r="M27" s="1800">
        <f>M25</f>
        <v>0</v>
      </c>
      <c r="N27" s="1801"/>
      <c r="P27" s="1800">
        <f>P25</f>
        <v>0</v>
      </c>
      <c r="Q27" s="1801"/>
      <c r="S27" s="1800">
        <f>SUM(S25:T26)</f>
        <v>58905</v>
      </c>
      <c r="T27" s="1801"/>
      <c r="V27" s="3365">
        <f>SUM(V25:V26)</f>
        <v>0</v>
      </c>
      <c r="W27" s="3366"/>
      <c r="X27" s="336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1">
        <v>6307171</v>
      </c>
      <c r="H29" s="3352"/>
      <c r="J29" s="3351">
        <v>6307171</v>
      </c>
      <c r="K29" s="3352"/>
      <c r="L29" s="1580"/>
      <c r="M29" s="3351"/>
      <c r="N29" s="3352"/>
      <c r="P29" s="3351"/>
      <c r="Q29" s="3352"/>
      <c r="S29" s="3351"/>
      <c r="T29" s="3352"/>
      <c r="V29" s="3353"/>
      <c r="W29" s="3354"/>
      <c r="X29" s="3355"/>
    </row>
    <row r="30" spans="2:24" s="305" customFormat="1" ht="12.6" customHeight="1">
      <c r="B30" s="305" t="s">
        <v>1135</v>
      </c>
      <c r="G30" s="3356"/>
      <c r="H30" s="3357"/>
      <c r="J30" s="3356"/>
      <c r="K30" s="3357"/>
      <c r="L30" s="1580"/>
      <c r="M30" s="3356"/>
      <c r="N30" s="3357"/>
      <c r="P30" s="3356"/>
      <c r="Q30" s="3357"/>
      <c r="S30" s="3356"/>
      <c r="T30" s="3357"/>
      <c r="V30" s="3353"/>
      <c r="W30" s="3354"/>
      <c r="X30" s="3355"/>
    </row>
    <row r="31" spans="2:24" s="305" customFormat="1" ht="12.6" customHeight="1">
      <c r="B31" s="305" t="s">
        <v>2798</v>
      </c>
      <c r="G31" s="3356"/>
      <c r="H31" s="3357"/>
      <c r="J31" s="3356"/>
      <c r="K31" s="3357"/>
      <c r="L31" s="1580"/>
      <c r="M31" s="3356"/>
      <c r="N31" s="3357"/>
      <c r="P31" s="3356"/>
      <c r="Q31" s="3357"/>
      <c r="S31" s="3356"/>
      <c r="T31" s="3357"/>
      <c r="V31" s="3353"/>
      <c r="W31" s="3354"/>
      <c r="X31" s="3355"/>
    </row>
    <row r="32" spans="2:24" ht="12.6" customHeight="1" thickBot="1">
      <c r="B32" s="305" t="s">
        <v>2797</v>
      </c>
      <c r="G32" s="3361"/>
      <c r="H32" s="3362"/>
      <c r="I32" s="305"/>
      <c r="J32" s="3361"/>
      <c r="K32" s="3362"/>
      <c r="L32" s="1580"/>
      <c r="M32" s="3361"/>
      <c r="N32" s="3362"/>
      <c r="O32" s="305"/>
      <c r="P32" s="3361"/>
      <c r="Q32" s="3362"/>
      <c r="R32" s="305"/>
      <c r="S32" s="3361"/>
      <c r="T32" s="3362"/>
      <c r="V32" s="3353"/>
      <c r="W32" s="3363"/>
      <c r="X32" s="3364"/>
    </row>
    <row r="33" spans="1:24" s="305" customFormat="1" ht="12.6" customHeight="1" thickTop="1">
      <c r="C33" s="1824"/>
      <c r="D33" s="1824"/>
      <c r="E33" s="1576"/>
      <c r="F33" s="361" t="s">
        <v>193</v>
      </c>
      <c r="G33" s="1800">
        <f>SUM(G29:H32)</f>
        <v>6307171</v>
      </c>
      <c r="H33" s="1801"/>
      <c r="J33" s="1800">
        <f>SUM(J29:K32)</f>
        <v>6307171</v>
      </c>
      <c r="K33" s="1801"/>
      <c r="L33" s="1580"/>
      <c r="M33" s="1800">
        <f>SUM(M29:N32)</f>
        <v>0</v>
      </c>
      <c r="N33" s="1801"/>
      <c r="P33" s="1800">
        <f>SUM(P29:Q32)</f>
        <v>0</v>
      </c>
      <c r="Q33" s="1801"/>
      <c r="S33" s="1800">
        <f>SUM(S29:T32)</f>
        <v>0</v>
      </c>
      <c r="T33" s="1801"/>
      <c r="V33" s="3365">
        <f>SUM(V29:V32)</f>
        <v>0</v>
      </c>
      <c r="W33" s="3366"/>
      <c r="X33" s="3367"/>
    </row>
    <row r="34" spans="1:24" s="305" customFormat="1" ht="12" customHeight="1">
      <c r="B34" s="307" t="s">
        <v>2359</v>
      </c>
      <c r="D34" s="1823" t="s">
        <v>3757</v>
      </c>
      <c r="E34" s="1823"/>
      <c r="F34" s="1044">
        <f>SUM(F35:F37)</f>
        <v>0.13999987442004438</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449116.26</v>
      </c>
      <c r="F35" s="1045">
        <f>IF(($G$27+$G$33)=0,0,G35/($G$27+$G$33))</f>
        <v>5.9999965265118659E-2</v>
      </c>
      <c r="G35" s="3351">
        <v>449116</v>
      </c>
      <c r="H35" s="3352"/>
      <c r="I35" s="324"/>
      <c r="J35" s="3351">
        <v>449116</v>
      </c>
      <c r="K35" s="3352"/>
      <c r="L35" s="1580"/>
      <c r="M35" s="3351"/>
      <c r="N35" s="3352"/>
      <c r="P35" s="3351"/>
      <c r="Q35" s="3352"/>
      <c r="S35" s="3351"/>
      <c r="T35" s="3352"/>
      <c r="V35" s="3353"/>
      <c r="W35" s="3354"/>
      <c r="X35" s="3355"/>
    </row>
    <row r="36" spans="1:24" s="305" customFormat="1" ht="12.6" customHeight="1">
      <c r="B36" s="305" t="s">
        <v>2754</v>
      </c>
      <c r="D36" s="1047">
        <f>'DCA Underwriting Assumptions'!$R$75</f>
        <v>0.02</v>
      </c>
      <c r="E36" s="1048">
        <f>D36*(G27+G33)</f>
        <v>149705.42000000001</v>
      </c>
      <c r="F36" s="1045">
        <f>IF(($G$27+$G$33)=0,0,G36/($G$27+$G$33))</f>
        <v>1.9999943889807064E-2</v>
      </c>
      <c r="G36" s="3356">
        <v>149705</v>
      </c>
      <c r="H36" s="3357"/>
      <c r="I36" s="324"/>
      <c r="J36" s="3356">
        <v>149705</v>
      </c>
      <c r="K36" s="3357"/>
      <c r="L36" s="1580"/>
      <c r="M36" s="3356"/>
      <c r="N36" s="3357"/>
      <c r="P36" s="3356"/>
      <c r="Q36" s="3357"/>
      <c r="S36" s="3356"/>
      <c r="T36" s="3357"/>
      <c r="V36" s="3353"/>
      <c r="W36" s="3354"/>
      <c r="X36" s="3355"/>
    </row>
    <row r="37" spans="1:24" s="305" customFormat="1" ht="12.6" customHeight="1" thickBot="1">
      <c r="B37" s="305" t="s">
        <v>2755</v>
      </c>
      <c r="D37" s="1051">
        <f>'DCA Underwriting Assumptions'!$R$76</f>
        <v>0.06</v>
      </c>
      <c r="E37" s="1052">
        <f>D37*(G27+G33)</f>
        <v>449116.26</v>
      </c>
      <c r="F37" s="1367">
        <f>IF(($G$27+$G$33)=0,0,G37/($G$27+$G$33))</f>
        <v>5.9999965265118659E-2</v>
      </c>
      <c r="G37" s="3361">
        <v>449116</v>
      </c>
      <c r="H37" s="3362"/>
      <c r="I37" s="324"/>
      <c r="J37" s="3361">
        <v>449116</v>
      </c>
      <c r="K37" s="3362"/>
      <c r="L37" s="1580"/>
      <c r="M37" s="3361"/>
      <c r="N37" s="3362"/>
      <c r="P37" s="3361"/>
      <c r="Q37" s="3362"/>
      <c r="S37" s="3361"/>
      <c r="T37" s="3362"/>
      <c r="V37" s="3353"/>
      <c r="W37" s="3363"/>
      <c r="X37" s="3364"/>
    </row>
    <row r="38" spans="1:24" s="305" customFormat="1" ht="12.6" customHeight="1" thickTop="1">
      <c r="B38" s="179" t="s">
        <v>3758</v>
      </c>
      <c r="D38" s="1049">
        <f>SUM(D35:D37)</f>
        <v>0.14000000000000001</v>
      </c>
      <c r="E38" s="1050">
        <f>SUM(E35:E37)</f>
        <v>1047937.9400000001</v>
      </c>
      <c r="F38" s="1031" t="s">
        <v>193</v>
      </c>
      <c r="G38" s="1800">
        <f>SUM(G35:H37)</f>
        <v>1047937</v>
      </c>
      <c r="H38" s="1801"/>
      <c r="J38" s="1800">
        <f>SUM(J35:K37)</f>
        <v>1047937</v>
      </c>
      <c r="K38" s="1801"/>
      <c r="L38" s="363"/>
      <c r="M38" s="1800">
        <f>SUM(M35:N37)</f>
        <v>0</v>
      </c>
      <c r="N38" s="1801"/>
      <c r="P38" s="1800">
        <f>SUM(P35:Q37)</f>
        <v>0</v>
      </c>
      <c r="Q38" s="1801"/>
      <c r="S38" s="1800">
        <f>SUM(S35:T37)</f>
        <v>0</v>
      </c>
      <c r="T38" s="1801"/>
      <c r="V38" s="3365">
        <f>SUM(V35:V37)</f>
        <v>0</v>
      </c>
      <c r="W38" s="3366"/>
      <c r="X38" s="336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8" t="s">
        <v>3737</v>
      </c>
      <c r="D41" s="3370"/>
      <c r="E41" s="3370"/>
      <c r="F41" s="3371"/>
      <c r="G41" s="3372"/>
      <c r="H41" s="3373"/>
      <c r="I41" s="305"/>
      <c r="J41" s="3372"/>
      <c r="K41" s="3373"/>
      <c r="L41" s="1580"/>
      <c r="M41" s="3372"/>
      <c r="N41" s="3373"/>
      <c r="O41" s="305"/>
      <c r="P41" s="3372"/>
      <c r="Q41" s="3373"/>
      <c r="R41" s="305"/>
      <c r="S41" s="3372"/>
      <c r="T41" s="3373"/>
      <c r="V41" s="3353"/>
      <c r="W41" s="3374"/>
      <c r="X41" s="337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6"/>
      <c r="X42" s="3377"/>
    </row>
    <row r="43" spans="1:24" s="305" customFormat="1" ht="12.6" customHeight="1">
      <c r="B43" s="529" t="s">
        <v>2763</v>
      </c>
      <c r="C43" s="530"/>
      <c r="E43" s="1817" t="s">
        <v>2762</v>
      </c>
      <c r="F43" s="1578">
        <f>B44/'Part VI-Revenues &amp; Expenses'!$O$60</f>
        <v>112279.05263157895</v>
      </c>
      <c r="G43" s="1579" t="s">
        <v>2789</v>
      </c>
      <c r="H43" s="1574"/>
      <c r="I43" s="1574"/>
      <c r="J43" s="1819">
        <f>B44/'Part VI-Revenues &amp; Expenses'!$O$62</f>
        <v>112279.05263157895</v>
      </c>
      <c r="K43" s="1819"/>
      <c r="L43" s="1574"/>
      <c r="M43" s="1820" t="s">
        <v>1414</v>
      </c>
      <c r="N43" s="1820"/>
      <c r="O43" s="1574"/>
      <c r="P43" s="1819">
        <f>B44/'Part I-Project Information'!$P$71</f>
        <v>109.94985182321865</v>
      </c>
      <c r="Q43" s="1819"/>
      <c r="R43" s="1574"/>
      <c r="S43" s="1821" t="s">
        <v>2796</v>
      </c>
      <c r="T43" s="1822"/>
      <c r="V43" s="1176"/>
      <c r="W43" s="3376"/>
      <c r="X43" s="3377"/>
    </row>
    <row r="44" spans="1:24" s="305" customFormat="1" ht="12.6" customHeight="1">
      <c r="B44" s="1813">
        <f>G27+G33+G38+G41</f>
        <v>8533208</v>
      </c>
      <c r="C44" s="1814"/>
      <c r="E44" s="1818"/>
      <c r="F44" s="1577">
        <f>B44/'Part VI-Revenues &amp; Expenses'!$O$117</f>
        <v>143.15061231337023</v>
      </c>
      <c r="G44" s="528" t="s">
        <v>2790</v>
      </c>
      <c r="H44" s="1567"/>
      <c r="I44" s="1567"/>
      <c r="J44" s="1815">
        <f>B44/'Part VI-Revenues &amp; Expenses'!$O$119</f>
        <v>143.15061231337023</v>
      </c>
      <c r="K44" s="1815"/>
      <c r="L44" s="1567"/>
      <c r="M44" s="1816" t="s">
        <v>2795</v>
      </c>
      <c r="N44" s="1816"/>
      <c r="O44" s="1567"/>
      <c r="P44" s="1567"/>
      <c r="Q44" s="1567"/>
      <c r="R44" s="1567"/>
      <c r="S44" s="1567"/>
      <c r="T44" s="353"/>
      <c r="V44" s="1176"/>
      <c r="W44" s="3378"/>
      <c r="X44" s="337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426660.4</v>
      </c>
      <c r="F47" s="365">
        <f>G47/B44</f>
        <v>4.9999953124311512E-2</v>
      </c>
      <c r="G47" s="3372">
        <v>426660</v>
      </c>
      <c r="H47" s="3373"/>
      <c r="I47" s="305"/>
      <c r="J47" s="3372">
        <v>426660</v>
      </c>
      <c r="K47" s="3373"/>
      <c r="L47" s="1580"/>
      <c r="M47" s="3372"/>
      <c r="N47" s="3373"/>
      <c r="O47" s="305"/>
      <c r="P47" s="3372"/>
      <c r="Q47" s="3373"/>
      <c r="R47" s="305"/>
      <c r="S47" s="3372"/>
      <c r="T47" s="3373"/>
      <c r="V47" s="3353"/>
      <c r="W47" s="3354"/>
      <c r="X47" s="335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51"/>
      <c r="H52" s="3352"/>
      <c r="J52" s="3351"/>
      <c r="K52" s="3352"/>
      <c r="L52" s="1580"/>
      <c r="M52" s="3351"/>
      <c r="N52" s="3352"/>
      <c r="P52" s="3351"/>
      <c r="Q52" s="3352"/>
      <c r="S52" s="3351"/>
      <c r="T52" s="3352"/>
      <c r="V52" s="3380"/>
      <c r="W52" s="3354"/>
      <c r="X52" s="3355"/>
    </row>
    <row r="53" spans="1:24" s="305" customFormat="1" ht="12" customHeight="1">
      <c r="B53" s="305" t="s">
        <v>3760</v>
      </c>
      <c r="G53" s="3356"/>
      <c r="H53" s="3357"/>
      <c r="J53" s="3356"/>
      <c r="K53" s="3357"/>
      <c r="L53" s="1580"/>
      <c r="M53" s="3356"/>
      <c r="N53" s="3357"/>
      <c r="P53" s="3356"/>
      <c r="Q53" s="3357"/>
      <c r="S53" s="3356"/>
      <c r="T53" s="3357"/>
      <c r="V53" s="3380"/>
      <c r="W53" s="3354"/>
      <c r="X53" s="3355"/>
    </row>
    <row r="54" spans="1:24" s="305" customFormat="1" ht="12" customHeight="1">
      <c r="B54" s="305" t="s">
        <v>2362</v>
      </c>
      <c r="G54" s="3356">
        <v>80000</v>
      </c>
      <c r="H54" s="3357"/>
      <c r="J54" s="3356">
        <v>80000</v>
      </c>
      <c r="K54" s="3357"/>
      <c r="L54" s="1580"/>
      <c r="M54" s="3356"/>
      <c r="N54" s="3357"/>
      <c r="P54" s="3356"/>
      <c r="Q54" s="3357"/>
      <c r="S54" s="3356"/>
      <c r="T54" s="3357"/>
      <c r="V54" s="3380"/>
      <c r="W54" s="3354"/>
      <c r="X54" s="3355"/>
    </row>
    <row r="55" spans="1:24" s="305" customFormat="1" ht="12" customHeight="1">
      <c r="B55" s="305" t="s">
        <v>2363</v>
      </c>
      <c r="G55" s="3356">
        <v>250000</v>
      </c>
      <c r="H55" s="3357"/>
      <c r="J55" s="3356">
        <v>189167</v>
      </c>
      <c r="K55" s="3357"/>
      <c r="L55" s="1580"/>
      <c r="M55" s="3356"/>
      <c r="N55" s="3357"/>
      <c r="P55" s="3356"/>
      <c r="Q55" s="3357"/>
      <c r="S55" s="3356">
        <v>60833</v>
      </c>
      <c r="T55" s="3357"/>
      <c r="V55" s="3380"/>
      <c r="W55" s="3354"/>
      <c r="X55" s="3355"/>
    </row>
    <row r="56" spans="1:24" s="305" customFormat="1" ht="12" customHeight="1">
      <c r="B56" s="305" t="s">
        <v>2364</v>
      </c>
      <c r="G56" s="3356">
        <v>8000</v>
      </c>
      <c r="H56" s="3357"/>
      <c r="J56" s="3356">
        <v>8000</v>
      </c>
      <c r="K56" s="3357"/>
      <c r="L56" s="1580"/>
      <c r="M56" s="3356"/>
      <c r="N56" s="3357"/>
      <c r="P56" s="3356"/>
      <c r="Q56" s="3357"/>
      <c r="S56" s="3356"/>
      <c r="T56" s="3357"/>
      <c r="V56" s="3380"/>
      <c r="W56" s="3354"/>
      <c r="X56" s="3355"/>
    </row>
    <row r="57" spans="1:24" s="305" customFormat="1" ht="12" customHeight="1">
      <c r="B57" s="305" t="s">
        <v>2704</v>
      </c>
      <c r="G57" s="3356">
        <v>15000</v>
      </c>
      <c r="H57" s="3357"/>
      <c r="J57" s="3356">
        <v>15000</v>
      </c>
      <c r="K57" s="3357"/>
      <c r="L57" s="1580"/>
      <c r="M57" s="3356"/>
      <c r="N57" s="3357"/>
      <c r="P57" s="3356"/>
      <c r="Q57" s="3357"/>
      <c r="S57" s="3356"/>
      <c r="T57" s="3357"/>
      <c r="V57" s="3380"/>
      <c r="W57" s="3354"/>
      <c r="X57" s="3355"/>
    </row>
    <row r="58" spans="1:24" s="305" customFormat="1" ht="12" customHeight="1">
      <c r="B58" s="305" t="s">
        <v>731</v>
      </c>
      <c r="G58" s="3356">
        <v>12000</v>
      </c>
      <c r="H58" s="3357"/>
      <c r="J58" s="3356">
        <v>12000</v>
      </c>
      <c r="K58" s="3357"/>
      <c r="L58" s="1580"/>
      <c r="M58" s="3356"/>
      <c r="N58" s="3357"/>
      <c r="P58" s="3356"/>
      <c r="Q58" s="3357"/>
      <c r="S58" s="3356"/>
      <c r="T58" s="3357"/>
      <c r="V58" s="3380"/>
      <c r="W58" s="3354"/>
      <c r="X58" s="3355"/>
    </row>
    <row r="59" spans="1:24" s="305" customFormat="1" ht="12" customHeight="1">
      <c r="B59" s="305" t="s">
        <v>2365</v>
      </c>
      <c r="G59" s="3356">
        <v>22000</v>
      </c>
      <c r="H59" s="3357"/>
      <c r="J59" s="3356">
        <v>22000</v>
      </c>
      <c r="K59" s="3357"/>
      <c r="L59" s="1580"/>
      <c r="M59" s="3356"/>
      <c r="N59" s="3357"/>
      <c r="P59" s="3356"/>
      <c r="Q59" s="3357"/>
      <c r="S59" s="3356"/>
      <c r="T59" s="3357"/>
      <c r="V59" s="3380"/>
      <c r="W59" s="3354"/>
      <c r="X59" s="3355"/>
    </row>
    <row r="60" spans="1:24" s="305" customFormat="1" ht="12" customHeight="1">
      <c r="B60" s="305" t="s">
        <v>1288</v>
      </c>
      <c r="G60" s="3356">
        <v>27000</v>
      </c>
      <c r="H60" s="3357"/>
      <c r="J60" s="3356">
        <v>27000</v>
      </c>
      <c r="K60" s="3357"/>
      <c r="L60" s="1580"/>
      <c r="M60" s="3356"/>
      <c r="N60" s="3357"/>
      <c r="P60" s="3356"/>
      <c r="Q60" s="3357"/>
      <c r="S60" s="3356"/>
      <c r="T60" s="3357"/>
      <c r="V60" s="3380"/>
      <c r="W60" s="3354"/>
      <c r="X60" s="3355"/>
    </row>
    <row r="61" spans="1:24" s="305" customFormat="1" ht="12" customHeight="1">
      <c r="B61" s="367" t="s">
        <v>1163</v>
      </c>
      <c r="D61" s="365"/>
      <c r="E61" s="365"/>
      <c r="F61" s="366"/>
      <c r="G61" s="3356"/>
      <c r="H61" s="3357"/>
      <c r="I61" s="324"/>
      <c r="J61" s="3356"/>
      <c r="K61" s="3357"/>
      <c r="L61" s="1580"/>
      <c r="M61" s="3356"/>
      <c r="N61" s="3357"/>
      <c r="P61" s="3356"/>
      <c r="Q61" s="3357"/>
      <c r="S61" s="3356"/>
      <c r="T61" s="3357"/>
      <c r="V61" s="3380"/>
      <c r="W61" s="3354"/>
      <c r="X61" s="3355"/>
    </row>
    <row r="62" spans="1:24" s="305" customFormat="1" ht="12" customHeight="1">
      <c r="A62" s="387" t="str">
        <f>IF(AND(G62&gt;0,OR(C62="",C62="&lt;Enter detailed description here; use Comments section if needed&gt;")),"X","")</f>
        <v/>
      </c>
      <c r="B62" s="305" t="s">
        <v>749</v>
      </c>
      <c r="C62" s="3381" t="s">
        <v>3737</v>
      </c>
      <c r="D62" s="3381"/>
      <c r="E62" s="3381"/>
      <c r="F62" s="3382"/>
      <c r="G62" s="3356"/>
      <c r="H62" s="3357"/>
      <c r="J62" s="3356"/>
      <c r="K62" s="3357"/>
      <c r="L62" s="1580"/>
      <c r="M62" s="3356"/>
      <c r="N62" s="3357"/>
      <c r="P62" s="3356"/>
      <c r="Q62" s="3357"/>
      <c r="S62" s="3356"/>
      <c r="T62" s="3357"/>
      <c r="U62" s="386" t="str">
        <f>IF(AND(G62&gt;0,OR(C62="",C62="&lt;Enter detailed description here; use Comments section if needed&gt;")),"NO DESCRIPTION PROVIDED - please enter detailed description in Other box at left; use Comments section below if needed.","")</f>
        <v/>
      </c>
      <c r="V62" s="3380"/>
      <c r="W62" s="3354"/>
      <c r="X62" s="3355"/>
    </row>
    <row r="63" spans="1:24" s="305" customFormat="1" ht="12" customHeight="1" thickBot="1">
      <c r="A63" s="387" t="str">
        <f>IF(AND(G63&gt;0,OR(C63="",C63="&lt;Enter detailed description here; use Comments section if needed&gt;")),"X","")</f>
        <v/>
      </c>
      <c r="B63" s="305" t="s">
        <v>749</v>
      </c>
      <c r="C63" s="3383" t="s">
        <v>3737</v>
      </c>
      <c r="D63" s="3383"/>
      <c r="E63" s="3383"/>
      <c r="F63" s="3384"/>
      <c r="G63" s="3385"/>
      <c r="H63" s="3386"/>
      <c r="J63" s="3385"/>
      <c r="K63" s="3386"/>
      <c r="L63" s="1580"/>
      <c r="M63" s="3385"/>
      <c r="N63" s="3386"/>
      <c r="P63" s="3385"/>
      <c r="Q63" s="3386"/>
      <c r="S63" s="3385"/>
      <c r="T63" s="3386"/>
      <c r="U63" s="386" t="str">
        <f>IF(AND(G63&gt;0,OR(C63="",C63="&lt;Enter detailed description here; use Comments section if needed&gt;")),"NO DESCRIPTION PROVIDED - please enter detailed description in Other box at left; use Comments section below if needed.","")</f>
        <v/>
      </c>
      <c r="V63" s="3380"/>
      <c r="W63" s="3363"/>
      <c r="X63" s="3364"/>
    </row>
    <row r="64" spans="1:24" s="305" customFormat="1" ht="12" customHeight="1" thickTop="1">
      <c r="F64" s="361" t="s">
        <v>193</v>
      </c>
      <c r="G64" s="1800">
        <f>SUM(G52:H63)</f>
        <v>414000</v>
      </c>
      <c r="H64" s="1801"/>
      <c r="J64" s="1800">
        <f>SUM(J52:K63)</f>
        <v>353167</v>
      </c>
      <c r="K64" s="1801"/>
      <c r="L64" s="363"/>
      <c r="M64" s="1800">
        <f>SUM(M52:N63)</f>
        <v>0</v>
      </c>
      <c r="N64" s="1801"/>
      <c r="P64" s="1800">
        <f>SUM(P52:Q63)</f>
        <v>0</v>
      </c>
      <c r="Q64" s="1801"/>
      <c r="S64" s="1800">
        <f>SUM(S52:T63)</f>
        <v>60833</v>
      </c>
      <c r="T64" s="1801"/>
      <c r="V64" s="3387">
        <f>SUM(V52:V63)</f>
        <v>0</v>
      </c>
      <c r="W64" s="3366"/>
      <c r="X64" s="336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1">
        <v>225000</v>
      </c>
      <c r="H66" s="3352"/>
      <c r="J66" s="3351">
        <v>225000</v>
      </c>
      <c r="K66" s="3352"/>
      <c r="L66" s="1580"/>
      <c r="M66" s="3351"/>
      <c r="N66" s="3352"/>
      <c r="P66" s="3351"/>
      <c r="Q66" s="3352"/>
      <c r="S66" s="3351"/>
      <c r="T66" s="3352"/>
      <c r="V66" s="3353"/>
      <c r="W66" s="3354"/>
      <c r="X66" s="3355"/>
    </row>
    <row r="67" spans="1:24" s="305" customFormat="1" ht="12" customHeight="1">
      <c r="B67" s="305" t="s">
        <v>482</v>
      </c>
      <c r="G67" s="3356">
        <v>30000</v>
      </c>
      <c r="H67" s="3357"/>
      <c r="J67" s="3356">
        <v>30000</v>
      </c>
      <c r="K67" s="3357"/>
      <c r="L67" s="1580"/>
      <c r="M67" s="3356"/>
      <c r="N67" s="3357"/>
      <c r="P67" s="3356"/>
      <c r="Q67" s="3357"/>
      <c r="S67" s="3356"/>
      <c r="T67" s="3357"/>
      <c r="V67" s="3353"/>
      <c r="W67" s="3354"/>
      <c r="X67" s="3355"/>
    </row>
    <row r="68" spans="1:24" s="305" customFormat="1" ht="12" customHeight="1">
      <c r="B68" s="305" t="s">
        <v>1137</v>
      </c>
      <c r="D68" s="318" t="s">
        <v>3876</v>
      </c>
      <c r="E68" s="1167">
        <f>'DCA Underwriting Assumptions'!R77</f>
        <v>20000</v>
      </c>
      <c r="F68" s="1168" t="str">
        <f>IF(G68&gt;E68,"CHECK!!!","")</f>
        <v/>
      </c>
      <c r="G68" s="3356"/>
      <c r="H68" s="3357"/>
      <c r="J68" s="3356"/>
      <c r="K68" s="3357"/>
      <c r="L68" s="1580"/>
      <c r="M68" s="3356"/>
      <c r="N68" s="3357"/>
      <c r="P68" s="3356"/>
      <c r="Q68" s="3357"/>
      <c r="S68" s="3356"/>
      <c r="T68" s="3357"/>
      <c r="V68" s="3353"/>
      <c r="W68" s="3354"/>
      <c r="X68" s="3355"/>
    </row>
    <row r="69" spans="1:24" s="305" customFormat="1" ht="12" customHeight="1">
      <c r="B69" s="305" t="s">
        <v>1138</v>
      </c>
      <c r="G69" s="3356">
        <v>24000</v>
      </c>
      <c r="H69" s="3357"/>
      <c r="J69" s="3356">
        <v>24000</v>
      </c>
      <c r="K69" s="3357"/>
      <c r="L69" s="1580"/>
      <c r="M69" s="3356"/>
      <c r="N69" s="3357"/>
      <c r="P69" s="3356"/>
      <c r="Q69" s="3357"/>
      <c r="S69" s="3356"/>
      <c r="T69" s="3357"/>
      <c r="V69" s="3353"/>
      <c r="W69" s="3354"/>
      <c r="X69" s="3355"/>
    </row>
    <row r="70" spans="1:24" s="305" customFormat="1" ht="12" customHeight="1">
      <c r="B70" s="305" t="s">
        <v>1139</v>
      </c>
      <c r="G70" s="3356">
        <v>17500</v>
      </c>
      <c r="H70" s="3357"/>
      <c r="J70" s="3356">
        <v>17500</v>
      </c>
      <c r="K70" s="3357"/>
      <c r="L70" s="1580"/>
      <c r="M70" s="3356"/>
      <c r="N70" s="3357"/>
      <c r="P70" s="3356"/>
      <c r="Q70" s="3357"/>
      <c r="S70" s="3356"/>
      <c r="T70" s="3357"/>
      <c r="V70" s="3353"/>
      <c r="W70" s="3354"/>
      <c r="X70" s="3355"/>
    </row>
    <row r="71" spans="1:24" s="305" customFormat="1" ht="12" customHeight="1">
      <c r="B71" s="305" t="s">
        <v>1140</v>
      </c>
      <c r="G71" s="3356">
        <v>25000</v>
      </c>
      <c r="H71" s="3357"/>
      <c r="J71" s="3356">
        <v>25000</v>
      </c>
      <c r="K71" s="3357"/>
      <c r="L71" s="1580"/>
      <c r="M71" s="3356"/>
      <c r="N71" s="3357"/>
      <c r="P71" s="3356"/>
      <c r="Q71" s="3357"/>
      <c r="S71" s="3356"/>
      <c r="T71" s="3357"/>
      <c r="V71" s="3353"/>
      <c r="W71" s="3354"/>
      <c r="X71" s="3355"/>
    </row>
    <row r="72" spans="1:24" s="305" customFormat="1" ht="12" customHeight="1">
      <c r="B72" s="305" t="s">
        <v>483</v>
      </c>
      <c r="G72" s="3356">
        <v>75000</v>
      </c>
      <c r="H72" s="3357"/>
      <c r="J72" s="3356">
        <v>75000</v>
      </c>
      <c r="K72" s="3357"/>
      <c r="L72" s="1580"/>
      <c r="M72" s="3356"/>
      <c r="N72" s="3357"/>
      <c r="P72" s="3356"/>
      <c r="Q72" s="3357"/>
      <c r="S72" s="3356"/>
      <c r="T72" s="3357"/>
      <c r="V72" s="3353"/>
      <c r="W72" s="3354"/>
      <c r="X72" s="3355"/>
    </row>
    <row r="73" spans="1:24" s="305" customFormat="1" ht="12" customHeight="1">
      <c r="B73" s="305" t="s">
        <v>484</v>
      </c>
      <c r="G73" s="3356">
        <v>12000</v>
      </c>
      <c r="H73" s="3357"/>
      <c r="J73" s="3356">
        <v>12000</v>
      </c>
      <c r="K73" s="3357"/>
      <c r="L73" s="1580"/>
      <c r="M73" s="3356"/>
      <c r="N73" s="3357"/>
      <c r="P73" s="3356"/>
      <c r="Q73" s="3357"/>
      <c r="S73" s="3356"/>
      <c r="T73" s="3357"/>
      <c r="V73" s="3353"/>
      <c r="W73" s="3354"/>
      <c r="X73" s="3355"/>
    </row>
    <row r="74" spans="1:24" s="305" customFormat="1" ht="12" customHeight="1">
      <c r="B74" s="305" t="s">
        <v>2065</v>
      </c>
      <c r="G74" s="3356">
        <v>12500</v>
      </c>
      <c r="H74" s="3357"/>
      <c r="J74" s="3356">
        <v>12500</v>
      </c>
      <c r="K74" s="3357"/>
      <c r="L74" s="1580"/>
      <c r="M74" s="3356"/>
      <c r="N74" s="3357"/>
      <c r="P74" s="3356"/>
      <c r="Q74" s="3357"/>
      <c r="S74" s="3356"/>
      <c r="T74" s="3357"/>
      <c r="V74" s="3353"/>
      <c r="W74" s="3354"/>
      <c r="X74" s="3355"/>
    </row>
    <row r="75" spans="1:24" s="305" customFormat="1" ht="12" customHeight="1">
      <c r="B75" s="305" t="s">
        <v>1289</v>
      </c>
      <c r="G75" s="3356">
        <v>15000</v>
      </c>
      <c r="H75" s="3357"/>
      <c r="J75" s="3356">
        <v>15000</v>
      </c>
      <c r="K75" s="3357"/>
      <c r="L75" s="1580"/>
      <c r="M75" s="3356"/>
      <c r="N75" s="3357"/>
      <c r="P75" s="3356"/>
      <c r="Q75" s="3357"/>
      <c r="S75" s="3356"/>
      <c r="T75" s="3357"/>
      <c r="V75" s="3353"/>
      <c r="W75" s="3354"/>
      <c r="X75" s="3355"/>
    </row>
    <row r="76" spans="1:24" s="305" customFormat="1" ht="12" customHeight="1" thickBot="1">
      <c r="A76" s="387" t="str">
        <f>IF(AND(G76&gt;0,OR(C76="",C76="&lt;Enter detailed description here; use Comments section if needed&gt;")),"X","")</f>
        <v/>
      </c>
      <c r="B76" s="305" t="s">
        <v>749</v>
      </c>
      <c r="C76" s="3358" t="s">
        <v>3737</v>
      </c>
      <c r="D76" s="3358"/>
      <c r="E76" s="3358"/>
      <c r="F76" s="3359"/>
      <c r="G76" s="3385"/>
      <c r="H76" s="3386"/>
      <c r="J76" s="3385"/>
      <c r="K76" s="3386"/>
      <c r="L76" s="1580"/>
      <c r="M76" s="3385"/>
      <c r="N76" s="3386"/>
      <c r="P76" s="3385"/>
      <c r="Q76" s="3386"/>
      <c r="S76" s="3385"/>
      <c r="T76" s="3386"/>
      <c r="U76" s="386" t="str">
        <f>IF(AND(G76&gt;0,OR(C76="",C76="&lt;Enter detailed description here; use Comments section if needed&gt;")),"NO DESCRIPTION PROVIDED - please enter detailed description in Other box at left; use Comments section below if needed.","")</f>
        <v/>
      </c>
      <c r="V76" s="3353"/>
      <c r="W76" s="3363"/>
      <c r="X76" s="3364"/>
    </row>
    <row r="77" spans="1:24" s="305" customFormat="1" ht="12" customHeight="1" thickTop="1">
      <c r="F77" s="361" t="s">
        <v>193</v>
      </c>
      <c r="G77" s="1800">
        <f>SUM(G66:H76)</f>
        <v>436000</v>
      </c>
      <c r="H77" s="1801"/>
      <c r="J77" s="1800">
        <f>SUM(J66:K76)</f>
        <v>436000</v>
      </c>
      <c r="K77" s="1801"/>
      <c r="L77" s="363"/>
      <c r="M77" s="1800">
        <f>SUM(M66:N76)</f>
        <v>0</v>
      </c>
      <c r="N77" s="1801"/>
      <c r="P77" s="1800">
        <f>SUM(P66:Q76)</f>
        <v>0</v>
      </c>
      <c r="Q77" s="1801"/>
      <c r="S77" s="1800">
        <f>SUM(S66:T76)</f>
        <v>0</v>
      </c>
      <c r="T77" s="1801"/>
      <c r="V77" s="3365">
        <f>SUM(V66:V76)</f>
        <v>0</v>
      </c>
      <c r="W77" s="3366"/>
      <c r="X77" s="3367"/>
    </row>
    <row r="78" spans="1:24" ht="12" customHeight="1">
      <c r="A78" s="305"/>
      <c r="B78" s="307" t="s">
        <v>1281</v>
      </c>
      <c r="C78" s="305"/>
      <c r="D78" s="969" t="s">
        <v>3761</v>
      </c>
      <c r="E78" s="1054">
        <f>G83/'Part VI-Revenues &amp; Expenses'!$O$62</f>
        <v>3110.6315789473683</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1">
        <v>20000</v>
      </c>
      <c r="H79" s="3352"/>
      <c r="J79" s="3351">
        <v>20000</v>
      </c>
      <c r="K79" s="3352"/>
      <c r="L79" s="1580"/>
      <c r="M79" s="3351"/>
      <c r="N79" s="3352"/>
      <c r="P79" s="3351"/>
      <c r="Q79" s="3352"/>
      <c r="S79" s="3351"/>
      <c r="T79" s="3352"/>
      <c r="V79" s="3353"/>
      <c r="W79" s="3354"/>
      <c r="X79" s="3355"/>
    </row>
    <row r="80" spans="1:24" s="305" customFormat="1" ht="12" customHeight="1">
      <c r="B80" s="305" t="s">
        <v>1283</v>
      </c>
      <c r="G80" s="3356">
        <v>120826</v>
      </c>
      <c r="H80" s="3357"/>
      <c r="J80" s="3356">
        <v>120826</v>
      </c>
      <c r="K80" s="3357"/>
      <c r="L80" s="1580"/>
      <c r="M80" s="3356"/>
      <c r="N80" s="3357"/>
      <c r="P80" s="3356"/>
      <c r="Q80" s="3357"/>
      <c r="S80" s="3356"/>
      <c r="T80" s="3357"/>
      <c r="V80" s="3353"/>
      <c r="W80" s="3354"/>
      <c r="X80" s="3355"/>
    </row>
    <row r="81" spans="1:24" s="305" customFormat="1" ht="12" customHeight="1">
      <c r="B81" s="305" t="s">
        <v>1284</v>
      </c>
      <c r="D81" s="369" t="s">
        <v>1415</v>
      </c>
      <c r="E81" s="3388"/>
      <c r="G81" s="3356">
        <v>35849</v>
      </c>
      <c r="H81" s="3357"/>
      <c r="I81" s="324"/>
      <c r="J81" s="3356">
        <v>35849</v>
      </c>
      <c r="K81" s="3357"/>
      <c r="L81" s="1580"/>
      <c r="M81" s="3356"/>
      <c r="N81" s="3357"/>
      <c r="P81" s="3356"/>
      <c r="Q81" s="3357"/>
      <c r="S81" s="3356"/>
      <c r="T81" s="3357"/>
      <c r="V81" s="3353"/>
      <c r="W81" s="3354"/>
      <c r="X81" s="3355"/>
    </row>
    <row r="82" spans="1:24" s="305" customFormat="1" ht="12" customHeight="1" thickBot="1">
      <c r="B82" s="305" t="s">
        <v>1285</v>
      </c>
      <c r="D82" s="369" t="s">
        <v>1415</v>
      </c>
      <c r="E82" s="3389"/>
      <c r="G82" s="3385">
        <v>59733</v>
      </c>
      <c r="H82" s="3386"/>
      <c r="I82" s="324"/>
      <c r="J82" s="3385">
        <v>59733</v>
      </c>
      <c r="K82" s="3386"/>
      <c r="L82" s="1580"/>
      <c r="M82" s="3385"/>
      <c r="N82" s="3386"/>
      <c r="P82" s="3385"/>
      <c r="Q82" s="3386"/>
      <c r="S82" s="3385"/>
      <c r="T82" s="3386"/>
      <c r="V82" s="3353"/>
      <c r="W82" s="3363"/>
      <c r="X82" s="3364"/>
    </row>
    <row r="83" spans="1:24" s="305" customFormat="1" ht="12" customHeight="1" thickTop="1">
      <c r="F83" s="361" t="s">
        <v>193</v>
      </c>
      <c r="G83" s="1800">
        <f>SUM(G79:H82)</f>
        <v>236408</v>
      </c>
      <c r="H83" s="1801"/>
      <c r="J83" s="1800">
        <f>SUM(J79:K82)</f>
        <v>236408</v>
      </c>
      <c r="K83" s="1801"/>
      <c r="L83" s="363"/>
      <c r="M83" s="1800">
        <f>SUM(M79:N82)</f>
        <v>0</v>
      </c>
      <c r="N83" s="1801"/>
      <c r="P83" s="1800">
        <f>SUM(P79:Q82)</f>
        <v>0</v>
      </c>
      <c r="Q83" s="1801"/>
      <c r="S83" s="1800">
        <f>SUM(S79:T82)</f>
        <v>0</v>
      </c>
      <c r="T83" s="1801"/>
      <c r="V83" s="3365">
        <f>SUM(V79:V82)</f>
        <v>0</v>
      </c>
      <c r="W83" s="3366"/>
      <c r="X83" s="336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1">
        <v>29000</v>
      </c>
      <c r="H85" s="3352"/>
      <c r="J85" s="1804"/>
      <c r="K85" s="1804"/>
      <c r="L85" s="1580"/>
      <c r="M85" s="1804"/>
      <c r="N85" s="1804"/>
      <c r="P85" s="1804"/>
      <c r="Q85" s="1804"/>
      <c r="S85" s="3351">
        <v>29000</v>
      </c>
      <c r="T85" s="3352"/>
      <c r="V85" s="3353"/>
      <c r="W85" s="3354"/>
      <c r="X85" s="3355"/>
    </row>
    <row r="86" spans="1:24" s="305" customFormat="1" ht="12" customHeight="1">
      <c r="B86" s="305" t="s">
        <v>1287</v>
      </c>
      <c r="G86" s="3356">
        <v>8000</v>
      </c>
      <c r="H86" s="3357"/>
      <c r="J86" s="1804"/>
      <c r="K86" s="1804"/>
      <c r="L86" s="1580"/>
      <c r="M86" s="1804"/>
      <c r="N86" s="1804"/>
      <c r="P86" s="1804"/>
      <c r="Q86" s="1804"/>
      <c r="S86" s="3356">
        <v>8000</v>
      </c>
      <c r="T86" s="3357"/>
      <c r="V86" s="3353"/>
      <c r="W86" s="3354"/>
      <c r="X86" s="3355"/>
    </row>
    <row r="87" spans="1:24" s="305" customFormat="1" ht="12" customHeight="1">
      <c r="B87" s="305" t="s">
        <v>1288</v>
      </c>
      <c r="G87" s="3356">
        <v>6000</v>
      </c>
      <c r="H87" s="3357"/>
      <c r="J87" s="1804"/>
      <c r="K87" s="1804"/>
      <c r="L87" s="1580"/>
      <c r="M87" s="1804"/>
      <c r="N87" s="1804"/>
      <c r="P87" s="1804"/>
      <c r="Q87" s="1804"/>
      <c r="S87" s="3356">
        <v>6000</v>
      </c>
      <c r="T87" s="3357"/>
      <c r="V87" s="3353"/>
      <c r="W87" s="3354"/>
      <c r="X87" s="3355"/>
    </row>
    <row r="88" spans="1:24" s="305" customFormat="1" ht="12" customHeight="1">
      <c r="B88" s="305" t="s">
        <v>1290</v>
      </c>
      <c r="G88" s="3356"/>
      <c r="H88" s="3357"/>
      <c r="J88" s="1804"/>
      <c r="K88" s="1804"/>
      <c r="L88" s="1580"/>
      <c r="M88" s="1804"/>
      <c r="N88" s="1804"/>
      <c r="P88" s="1804"/>
      <c r="Q88" s="1804"/>
      <c r="S88" s="3356"/>
      <c r="T88" s="3357"/>
      <c r="V88" s="3353"/>
      <c r="W88" s="3354"/>
      <c r="X88" s="3355"/>
    </row>
    <row r="89" spans="1:24" s="305" customFormat="1" ht="12" customHeight="1">
      <c r="B89" s="305" t="s">
        <v>2314</v>
      </c>
      <c r="G89" s="3356"/>
      <c r="H89" s="3357"/>
      <c r="J89" s="1804"/>
      <c r="K89" s="1804"/>
      <c r="L89" s="1580"/>
      <c r="M89" s="1804"/>
      <c r="N89" s="1804"/>
      <c r="P89" s="1804"/>
      <c r="Q89" s="1804"/>
      <c r="S89" s="3356"/>
      <c r="T89" s="3357"/>
      <c r="V89" s="3353"/>
      <c r="W89" s="3354"/>
      <c r="X89" s="3355"/>
    </row>
    <row r="90" spans="1:24" s="305" customFormat="1" ht="12" customHeight="1" thickBot="1">
      <c r="A90" s="387" t="str">
        <f>IF(AND(G90&gt;0,OR(C90="",C90="&lt;Enter detailed description here; use Comments section if needed&gt;")),"X","")</f>
        <v/>
      </c>
      <c r="B90" s="305" t="s">
        <v>749</v>
      </c>
      <c r="C90" s="3358" t="s">
        <v>3737</v>
      </c>
      <c r="D90" s="3358"/>
      <c r="E90" s="3358"/>
      <c r="F90" s="3359"/>
      <c r="G90" s="3385"/>
      <c r="H90" s="3386"/>
      <c r="J90" s="1804"/>
      <c r="K90" s="1804"/>
      <c r="L90" s="1580"/>
      <c r="M90" s="1804"/>
      <c r="N90" s="1804"/>
      <c r="P90" s="1804"/>
      <c r="Q90" s="1804"/>
      <c r="S90" s="3385"/>
      <c r="T90" s="3386"/>
      <c r="U90" s="386" t="str">
        <f>IF(AND(G90&gt;0,OR(C90="",C90="&lt;Enter detailed description here; use Comments section if needed&gt;")),"NO DESCRIPTION PROVIDED - please enter detailed description in Other box at left; use Comments section below if needed.","")</f>
        <v/>
      </c>
      <c r="V90" s="3353"/>
      <c r="W90" s="3363"/>
      <c r="X90" s="3364"/>
    </row>
    <row r="91" spans="1:24" s="305" customFormat="1" ht="12" customHeight="1" thickTop="1">
      <c r="F91" s="361" t="s">
        <v>193</v>
      </c>
      <c r="G91" s="1800">
        <f>SUM(G85:H90)</f>
        <v>43000</v>
      </c>
      <c r="H91" s="1801"/>
      <c r="J91" s="1804"/>
      <c r="K91" s="1804"/>
      <c r="L91" s="363"/>
      <c r="M91" s="1804"/>
      <c r="N91" s="1804"/>
      <c r="P91" s="1804"/>
      <c r="Q91" s="1804"/>
      <c r="S91" s="1800">
        <f>SUM(S85:T90)</f>
        <v>43000</v>
      </c>
      <c r="T91" s="1801"/>
      <c r="V91" s="3365">
        <f>SUM(V85:V90)</f>
        <v>0</v>
      </c>
      <c r="W91" s="3366"/>
      <c r="X91" s="336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1"/>
      <c r="H96" s="3352"/>
      <c r="J96" s="363"/>
      <c r="K96" s="363"/>
      <c r="L96" s="1580"/>
      <c r="M96" s="363"/>
      <c r="N96" s="363"/>
      <c r="P96" s="363"/>
      <c r="Q96" s="363"/>
      <c r="S96" s="3351"/>
      <c r="T96" s="3352"/>
      <c r="V96" s="3353"/>
      <c r="W96" s="3354"/>
      <c r="X96" s="33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6">
        <v>5500</v>
      </c>
      <c r="H97" s="3357"/>
      <c r="J97" s="363"/>
      <c r="K97" s="363"/>
      <c r="L97" s="370"/>
      <c r="M97" s="363"/>
      <c r="N97" s="363"/>
      <c r="P97" s="363"/>
      <c r="Q97" s="363"/>
      <c r="S97" s="3356">
        <v>5500</v>
      </c>
      <c r="T97" s="3357"/>
      <c r="V97" s="3353"/>
      <c r="W97" s="3354"/>
      <c r="X97" s="3355"/>
    </row>
    <row r="98" spans="1:24" s="305" customFormat="1" ht="12.6" customHeight="1">
      <c r="B98" s="305" t="s">
        <v>3982</v>
      </c>
      <c r="G98" s="3356">
        <v>1000</v>
      </c>
      <c r="H98" s="3357"/>
      <c r="J98" s="363"/>
      <c r="K98" s="363"/>
      <c r="L98" s="370"/>
      <c r="M98" s="363"/>
      <c r="N98" s="363"/>
      <c r="O98" s="1570"/>
      <c r="P98" s="363"/>
      <c r="Q98" s="363"/>
      <c r="S98" s="3356">
        <v>1000</v>
      </c>
      <c r="T98" s="3357"/>
      <c r="V98" s="3353"/>
      <c r="W98" s="3354"/>
      <c r="X98" s="3355"/>
    </row>
    <row r="99" spans="1:24" s="305" customFormat="1" ht="12.6" customHeight="1">
      <c r="B99" s="305" t="s">
        <v>524</v>
      </c>
      <c r="E99" s="1811">
        <f>'DCA Underwriting Assumptions'!$Q$88*J175</f>
        <v>66000</v>
      </c>
      <c r="F99" s="1812"/>
      <c r="G99" s="3356">
        <v>66000</v>
      </c>
      <c r="H99" s="3357"/>
      <c r="J99" s="1055" t="str">
        <f>IF(E99&gt;G99,"WARNING!  LIHTC Allocation Fee proposed is below minimum required.","")</f>
        <v/>
      </c>
      <c r="K99" s="363"/>
      <c r="L99" s="1580"/>
      <c r="M99" s="363"/>
      <c r="N99" s="363"/>
      <c r="O99" s="1570"/>
      <c r="P99" s="363"/>
      <c r="Q99" s="363"/>
      <c r="S99" s="3356">
        <v>66000</v>
      </c>
      <c r="T99" s="3357"/>
      <c r="V99" s="3353"/>
      <c r="W99" s="3354"/>
      <c r="X99" s="3355"/>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60800</v>
      </c>
      <c r="F100" s="1812"/>
      <c r="G100" s="3356">
        <v>60800</v>
      </c>
      <c r="H100" s="3357"/>
      <c r="J100" s="1055" t="str">
        <f>IF(E100&gt;G100,"WARNING!  LIHTC Compliance Fee proposed is below minimum required.","")</f>
        <v/>
      </c>
      <c r="K100" s="280"/>
      <c r="L100" s="280"/>
      <c r="M100" s="280"/>
      <c r="N100" s="280"/>
      <c r="O100" s="280"/>
      <c r="P100" s="280"/>
      <c r="Q100" s="280"/>
      <c r="S100" s="3356">
        <v>60800</v>
      </c>
      <c r="T100" s="3357"/>
      <c r="V100" s="3353"/>
      <c r="W100" s="3354"/>
      <c r="X100" s="3355"/>
    </row>
    <row r="101" spans="1:24" s="305" customFormat="1" ht="12.6" customHeight="1">
      <c r="B101" s="305" t="s">
        <v>4296</v>
      </c>
      <c r="F101" s="1387">
        <f>'DCA Underwriting Assumptions'!$Q$90</f>
        <v>3000</v>
      </c>
      <c r="G101" s="3356">
        <v>3000</v>
      </c>
      <c r="H101" s="3357"/>
      <c r="J101" s="280"/>
      <c r="K101" s="280"/>
      <c r="L101" s="280"/>
      <c r="M101" s="280"/>
      <c r="N101" s="280"/>
      <c r="O101" s="280"/>
      <c r="P101" s="280"/>
      <c r="Q101" s="280"/>
      <c r="S101" s="3356">
        <v>3000</v>
      </c>
      <c r="T101" s="3357"/>
      <c r="V101" s="3353"/>
      <c r="W101" s="3354"/>
      <c r="X101" s="3355"/>
    </row>
    <row r="102" spans="1:24" s="305" customFormat="1" ht="12.6" customHeight="1">
      <c r="B102" s="305" t="s">
        <v>4297</v>
      </c>
      <c r="F102" s="1387">
        <f>'DCA Underwriting Assumptions'!$Q$111</f>
        <v>3000</v>
      </c>
      <c r="G102" s="3356">
        <v>3000</v>
      </c>
      <c r="H102" s="3357"/>
      <c r="J102" s="280"/>
      <c r="K102" s="280"/>
      <c r="L102" s="280"/>
      <c r="M102" s="280"/>
      <c r="N102" s="280"/>
      <c r="O102" s="280"/>
      <c r="P102" s="280"/>
      <c r="Q102" s="280"/>
      <c r="S102" s="3356">
        <v>3000</v>
      </c>
      <c r="T102" s="3357"/>
      <c r="V102" s="3353"/>
      <c r="W102" s="3354"/>
      <c r="X102" s="3355"/>
    </row>
    <row r="103" spans="1:24" s="305" customFormat="1" ht="12.6" customHeight="1">
      <c r="A103" s="387" t="str">
        <f>IF(AND(G103&gt;0,OR(C103="",C103="&lt;Enter detailed description here; use Comments section if needed&gt;")),"X","")</f>
        <v/>
      </c>
      <c r="B103" s="305" t="s">
        <v>749</v>
      </c>
      <c r="C103" s="3381" t="s">
        <v>3737</v>
      </c>
      <c r="D103" s="3381"/>
      <c r="E103" s="3381"/>
      <c r="F103" s="3382"/>
      <c r="G103" s="3356"/>
      <c r="H103" s="3357"/>
      <c r="J103" s="280"/>
      <c r="K103" s="280"/>
      <c r="L103" s="280"/>
      <c r="M103" s="280"/>
      <c r="N103" s="280"/>
      <c r="O103" s="280"/>
      <c r="P103" s="280"/>
      <c r="Q103" s="280"/>
      <c r="S103" s="3356"/>
      <c r="T103" s="3357"/>
      <c r="U103" s="386" t="str">
        <f>IF(AND(G103&gt;0,OR(C103="",C103="&lt;Enter detailed description here; use Comments section if needed&gt;")),"NO DESCRIPTION PROVIDED - please enter detailed description in Other box at left; use Comments section below if needed.","")</f>
        <v/>
      </c>
      <c r="V103" s="3353"/>
      <c r="W103" s="3354"/>
      <c r="X103" s="3355"/>
    </row>
    <row r="104" spans="1:24" s="305" customFormat="1" ht="12.6" customHeight="1" thickBot="1">
      <c r="A104" s="387" t="str">
        <f>IF(AND(G104&gt;0,OR(C104="",C104="&lt;Enter detailed description here; use Comments section if needed&gt;")),"X","")</f>
        <v/>
      </c>
      <c r="B104" s="305" t="s">
        <v>749</v>
      </c>
      <c r="C104" s="3383" t="s">
        <v>3737</v>
      </c>
      <c r="D104" s="3383"/>
      <c r="E104" s="3383"/>
      <c r="F104" s="3384"/>
      <c r="G104" s="3385"/>
      <c r="H104" s="3386"/>
      <c r="J104" s="280"/>
      <c r="K104" s="280"/>
      <c r="L104" s="280"/>
      <c r="M104" s="280"/>
      <c r="N104" s="280"/>
      <c r="O104" s="280"/>
      <c r="P104" s="280"/>
      <c r="Q104" s="280"/>
      <c r="S104" s="3385"/>
      <c r="T104" s="3386"/>
      <c r="U104" s="386" t="str">
        <f>IF(AND(G104&gt;0,OR(C104="",C104="&lt;Enter detailed description here; use Comments section if needed&gt;")),"NO DESCRIPTION PROVIDED - please enter detailed description in Other box at left; use Comments section below if needed.","")</f>
        <v/>
      </c>
      <c r="V104" s="3353"/>
      <c r="W104" s="3363"/>
      <c r="X104" s="3364"/>
    </row>
    <row r="105" spans="1:24" s="305" customFormat="1" ht="12.6" customHeight="1" thickTop="1">
      <c r="F105" s="361" t="s">
        <v>193</v>
      </c>
      <c r="G105" s="1800">
        <f>SUM(G96:H104)</f>
        <v>139300</v>
      </c>
      <c r="H105" s="1801"/>
      <c r="J105" s="363"/>
      <c r="K105" s="363"/>
      <c r="L105" s="1580"/>
      <c r="M105" s="363"/>
      <c r="N105" s="363"/>
      <c r="P105" s="363"/>
      <c r="Q105" s="363"/>
      <c r="S105" s="1800">
        <f>SUM(S96:T104)</f>
        <v>139300</v>
      </c>
      <c r="T105" s="1801"/>
      <c r="V105" s="3365">
        <f>SUM(V96:V104)</f>
        <v>0</v>
      </c>
      <c r="W105" s="3390"/>
      <c r="X105" s="339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1"/>
      <c r="H107" s="3352"/>
      <c r="J107" s="1804"/>
      <c r="K107" s="1804"/>
      <c r="L107" s="1580"/>
      <c r="M107" s="1804"/>
      <c r="N107" s="1804"/>
      <c r="O107" s="1570"/>
      <c r="P107" s="1804"/>
      <c r="Q107" s="1804"/>
      <c r="S107" s="3351"/>
      <c r="T107" s="3352"/>
      <c r="V107" s="3353"/>
      <c r="W107" s="3354"/>
      <c r="X107" s="3355"/>
    </row>
    <row r="108" spans="1:24" s="305" customFormat="1" ht="12.6" customHeight="1">
      <c r="B108" s="305" t="s">
        <v>282</v>
      </c>
      <c r="G108" s="3356">
        <v>5000</v>
      </c>
      <c r="H108" s="3357"/>
      <c r="J108" s="1804"/>
      <c r="K108" s="1804"/>
      <c r="L108" s="1580"/>
      <c r="M108" s="1804"/>
      <c r="N108" s="1804"/>
      <c r="O108" s="1570"/>
      <c r="P108" s="1804"/>
      <c r="Q108" s="1804"/>
      <c r="S108" s="3356">
        <v>5000</v>
      </c>
      <c r="T108" s="3357"/>
      <c r="V108" s="3353"/>
      <c r="W108" s="3354"/>
      <c r="X108" s="3355"/>
    </row>
    <row r="109" spans="1:24" s="305" customFormat="1" ht="12.6" customHeight="1">
      <c r="B109" s="305" t="s">
        <v>2402</v>
      </c>
      <c r="G109" s="3356"/>
      <c r="H109" s="3357"/>
      <c r="J109" s="1804"/>
      <c r="K109" s="1804"/>
      <c r="L109" s="1580"/>
      <c r="M109" s="1804"/>
      <c r="N109" s="1804"/>
      <c r="O109" s="1570"/>
      <c r="P109" s="1804"/>
      <c r="Q109" s="1804"/>
      <c r="S109" s="3356"/>
      <c r="T109" s="3357"/>
      <c r="V109" s="3353"/>
      <c r="W109" s="3354"/>
      <c r="X109" s="3355"/>
    </row>
    <row r="110" spans="1:24" s="305" customFormat="1" ht="12.6" customHeight="1" thickBot="1">
      <c r="A110" s="387" t="str">
        <f>IF(AND(G110&gt;0,OR(C110="",C110="&lt;Enter detailed description here; use Comments section if needed&gt;")),"X","")</f>
        <v/>
      </c>
      <c r="B110" s="305" t="s">
        <v>749</v>
      </c>
      <c r="C110" s="3358" t="s">
        <v>3737</v>
      </c>
      <c r="D110" s="3358"/>
      <c r="E110" s="3358"/>
      <c r="F110" s="3359"/>
      <c r="G110" s="3385"/>
      <c r="H110" s="3386"/>
      <c r="J110" s="1804"/>
      <c r="K110" s="1804"/>
      <c r="L110" s="1580"/>
      <c r="M110" s="1804"/>
      <c r="N110" s="1804"/>
      <c r="O110" s="1570"/>
      <c r="P110" s="1804"/>
      <c r="Q110" s="1804"/>
      <c r="S110" s="3385"/>
      <c r="T110" s="3386"/>
      <c r="U110" s="386" t="str">
        <f>IF(AND(G110&gt;0,OR(C110="",C110="&lt;Enter detailed description here; use Comments section if needed&gt;")),"NO DESCRIPTION PROVIDED - please enter detailed description in Other box at left; use Comments section below if needed.","")</f>
        <v/>
      </c>
      <c r="V110" s="3353"/>
      <c r="W110" s="3363"/>
      <c r="X110" s="3364"/>
    </row>
    <row r="111" spans="1:24" s="305" customFormat="1" ht="12.6" customHeight="1" thickTop="1">
      <c r="F111" s="361" t="s">
        <v>193</v>
      </c>
      <c r="G111" s="1800">
        <f>SUM(G107:H110)</f>
        <v>5000</v>
      </c>
      <c r="H111" s="1801"/>
      <c r="J111" s="1804"/>
      <c r="K111" s="1804"/>
      <c r="L111" s="1580"/>
      <c r="M111" s="1804"/>
      <c r="N111" s="1804"/>
      <c r="O111" s="1570"/>
      <c r="P111" s="1804"/>
      <c r="Q111" s="1804"/>
      <c r="S111" s="1800">
        <f>SUM(S107:T110)</f>
        <v>5000</v>
      </c>
      <c r="T111" s="1801"/>
      <c r="V111" s="3365">
        <f>SUM(V107:V110)</f>
        <v>0</v>
      </c>
      <c r="W111" s="3366"/>
      <c r="X111" s="336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3392">
        <v>316000</v>
      </c>
      <c r="H113" s="3392"/>
      <c r="J113" s="3393">
        <v>316000</v>
      </c>
      <c r="K113" s="3394"/>
      <c r="L113" s="362"/>
      <c r="M113" s="3393"/>
      <c r="N113" s="3394"/>
      <c r="P113" s="3393"/>
      <c r="Q113" s="3394"/>
      <c r="S113" s="3393"/>
      <c r="T113" s="3394"/>
      <c r="V113" s="3353"/>
      <c r="W113" s="3354"/>
      <c r="X113" s="3355"/>
    </row>
    <row r="114" spans="1:24" s="305" customFormat="1" ht="12.6" customHeight="1">
      <c r="B114" s="305" t="s">
        <v>4250</v>
      </c>
      <c r="F114" s="3395">
        <v>316000</v>
      </c>
      <c r="V114" s="3353"/>
      <c r="W114" s="3354"/>
      <c r="X114" s="3355"/>
    </row>
    <row r="115" spans="1:24" s="305" customFormat="1" ht="12.6" customHeight="1">
      <c r="B115" s="305" t="s">
        <v>1875</v>
      </c>
      <c r="F115" s="412">
        <f>IF($G$118=0,0,G115/$G$118)</f>
        <v>0</v>
      </c>
      <c r="G115" s="3351"/>
      <c r="H115" s="3352"/>
      <c r="J115" s="3351"/>
      <c r="K115" s="3352"/>
      <c r="L115" s="1580"/>
      <c r="M115" s="3351"/>
      <c r="N115" s="3352"/>
      <c r="P115" s="3351"/>
      <c r="Q115" s="3352"/>
      <c r="S115" s="3351"/>
      <c r="T115" s="3352"/>
      <c r="V115" s="3353"/>
      <c r="W115" s="3354"/>
      <c r="X115" s="3355"/>
    </row>
    <row r="116" spans="1:24" s="305" customFormat="1" ht="12.6" customHeight="1">
      <c r="B116" s="305" t="s">
        <v>3658</v>
      </c>
      <c r="F116" s="412">
        <f>IF($G$118=0,0,G116/$G$118)</f>
        <v>0</v>
      </c>
      <c r="G116" s="3356"/>
      <c r="H116" s="3357"/>
      <c r="J116" s="3356"/>
      <c r="K116" s="3357"/>
      <c r="L116" s="1580"/>
      <c r="M116" s="3356"/>
      <c r="N116" s="3357"/>
      <c r="P116" s="3356"/>
      <c r="Q116" s="3357"/>
      <c r="S116" s="3356"/>
      <c r="T116" s="3357"/>
      <c r="V116" s="3353"/>
      <c r="W116" s="3354"/>
      <c r="X116" s="3355"/>
    </row>
    <row r="117" spans="1:24" s="305" customFormat="1" ht="12.6" customHeight="1" thickBot="1">
      <c r="B117" s="305" t="s">
        <v>1867</v>
      </c>
      <c r="F117" s="412">
        <f>IF($G$118=0,0,G117/$G$118)</f>
        <v>0.8</v>
      </c>
      <c r="G117" s="3385">
        <v>1264000</v>
      </c>
      <c r="H117" s="3386"/>
      <c r="J117" s="3385">
        <v>1264000</v>
      </c>
      <c r="K117" s="3386"/>
      <c r="L117" s="1580"/>
      <c r="M117" s="3385"/>
      <c r="N117" s="3386"/>
      <c r="P117" s="3385"/>
      <c r="Q117" s="3386"/>
      <c r="S117" s="3385"/>
      <c r="T117" s="3386"/>
      <c r="V117" s="3353"/>
      <c r="W117" s="3363"/>
      <c r="X117" s="3364"/>
    </row>
    <row r="118" spans="1:24" s="305" customFormat="1" ht="12.6" customHeight="1" thickTop="1">
      <c r="C118" s="386"/>
      <c r="F118" s="361" t="s">
        <v>193</v>
      </c>
      <c r="G118" s="1800">
        <f>SUM(G113:H117)</f>
        <v>1580000</v>
      </c>
      <c r="H118" s="1801"/>
      <c r="J118" s="1800">
        <f>SUM(J113:K117)</f>
        <v>1580000</v>
      </c>
      <c r="K118" s="1801"/>
      <c r="L118" s="1580"/>
      <c r="M118" s="1800">
        <f>SUM(M113:N117)</f>
        <v>0</v>
      </c>
      <c r="N118" s="1801"/>
      <c r="P118" s="1800">
        <f>SUM(P113:Q117)</f>
        <v>0</v>
      </c>
      <c r="Q118" s="1801"/>
      <c r="S118" s="1800">
        <f>SUM(S113:T117)</f>
        <v>0</v>
      </c>
      <c r="T118" s="1801"/>
      <c r="V118" s="3365">
        <f>SUM(V113:V117)</f>
        <v>0</v>
      </c>
      <c r="W118" s="3366"/>
      <c r="X118" s="336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1">
        <v>60000</v>
      </c>
      <c r="H120" s="3352"/>
      <c r="J120" s="371"/>
      <c r="K120" s="371"/>
      <c r="L120" s="371"/>
      <c r="M120" s="371"/>
      <c r="N120" s="371"/>
      <c r="P120" s="371"/>
      <c r="Q120" s="371"/>
      <c r="S120" s="3351">
        <v>60000</v>
      </c>
      <c r="T120" s="3352"/>
      <c r="V120" s="3353"/>
      <c r="W120" s="3354"/>
      <c r="X120" s="3355"/>
    </row>
    <row r="121" spans="1:24" s="305" customFormat="1" ht="12.6" customHeight="1">
      <c r="B121" s="305" t="s">
        <v>1548</v>
      </c>
      <c r="F121" s="513">
        <f>+'Part VI-Revenues &amp; Expenses'!$P$175*('DCA Underwriting Assumptions'!$Q$110/12)</f>
        <v>93940.25</v>
      </c>
      <c r="G121" s="3356">
        <v>93940</v>
      </c>
      <c r="H121" s="3357"/>
      <c r="J121" s="1057" t="str">
        <f>IF(E121&gt;G121,"WARNING! Rent-Up Reserves proposed is below minimum - add comment.","")</f>
        <v/>
      </c>
      <c r="K121" s="1057"/>
      <c r="L121" s="1580"/>
      <c r="M121" s="1030"/>
      <c r="N121" s="1030"/>
      <c r="O121" s="1570"/>
      <c r="P121" s="1030"/>
      <c r="Q121" s="1030"/>
      <c r="R121" s="1570"/>
      <c r="S121" s="3356">
        <v>93940</v>
      </c>
      <c r="T121" s="3357"/>
      <c r="V121" s="3353"/>
      <c r="W121" s="3354"/>
      <c r="X121" s="335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285927.76095955016</v>
      </c>
      <c r="G122" s="3356">
        <v>285928</v>
      </c>
      <c r="H122" s="3357"/>
      <c r="J122" s="1057" t="str">
        <f>IF(E122&gt;G122,"WARNING! ODR proposed is below minimum - add comment.","")</f>
        <v/>
      </c>
      <c r="K122" s="370"/>
      <c r="L122" s="370"/>
      <c r="M122" s="370"/>
      <c r="N122" s="370"/>
      <c r="O122" s="1570"/>
      <c r="P122" s="370"/>
      <c r="Q122" s="370"/>
      <c r="R122" s="1570"/>
      <c r="S122" s="3356">
        <v>285928</v>
      </c>
      <c r="T122" s="3357"/>
      <c r="V122" s="3353"/>
      <c r="W122" s="3354"/>
      <c r="X122" s="3355"/>
    </row>
    <row r="123" spans="1:24" s="305" customFormat="1" ht="12.6" customHeight="1">
      <c r="B123" s="305" t="s">
        <v>1256</v>
      </c>
      <c r="G123" s="3356">
        <v>19000</v>
      </c>
      <c r="H123" s="3357"/>
      <c r="J123" s="371"/>
      <c r="K123" s="371"/>
      <c r="L123" s="371"/>
      <c r="M123" s="371"/>
      <c r="N123" s="371"/>
      <c r="P123" s="371"/>
      <c r="Q123" s="371"/>
      <c r="S123" s="3356">
        <v>19000</v>
      </c>
      <c r="T123" s="3357"/>
      <c r="V123" s="3353"/>
      <c r="W123" s="3354"/>
      <c r="X123" s="3355"/>
    </row>
    <row r="124" spans="1:24" s="305" customFormat="1" ht="12.6" customHeight="1">
      <c r="B124" s="305" t="s">
        <v>1257</v>
      </c>
      <c r="E124" s="901" t="s">
        <v>3589</v>
      </c>
      <c r="F124" s="481">
        <f>IF('Part VI-Revenues &amp; Expenses'!$O$62=0,0,G124/'Part VI-Revenues &amp; Expenses'!$O$62)</f>
        <v>2763.1578947368421</v>
      </c>
      <c r="G124" s="3356">
        <v>210000</v>
      </c>
      <c r="H124" s="3357"/>
      <c r="J124" s="3351">
        <v>210000</v>
      </c>
      <c r="K124" s="3352"/>
      <c r="L124" s="1580"/>
      <c r="M124" s="3351"/>
      <c r="N124" s="3352"/>
      <c r="P124" s="3351"/>
      <c r="Q124" s="3352"/>
      <c r="S124" s="3356"/>
      <c r="T124" s="3357"/>
      <c r="V124" s="3353"/>
      <c r="W124" s="3354"/>
      <c r="X124" s="3355"/>
    </row>
    <row r="125" spans="1:24" s="305" customFormat="1" ht="12.6" customHeight="1" thickBot="1">
      <c r="A125" s="387" t="str">
        <f>IF(AND(G125&gt;0,OR(C125="",C125="&lt;Enter detailed description here; use Comments section if needed&gt;")),"X","")</f>
        <v/>
      </c>
      <c r="B125" s="305" t="s">
        <v>749</v>
      </c>
      <c r="C125" s="3358" t="s">
        <v>3737</v>
      </c>
      <c r="D125" s="3358"/>
      <c r="E125" s="3358"/>
      <c r="F125" s="3359"/>
      <c r="G125" s="3385"/>
      <c r="H125" s="3386"/>
      <c r="J125" s="3361"/>
      <c r="K125" s="3362"/>
      <c r="L125" s="1580"/>
      <c r="M125" s="3385"/>
      <c r="N125" s="3386"/>
      <c r="P125" s="3385"/>
      <c r="Q125" s="3386"/>
      <c r="S125" s="3385"/>
      <c r="T125" s="3386"/>
      <c r="U125" s="386" t="str">
        <f>IF(AND(G125&gt;0,OR(C125="",C125="&lt;Enter detailed description here; use Comments section if needed&gt;")),"NO DESCRIPTION PROVIDED - please enter detailed description in Other box at left; use Comments section below if needed.","")</f>
        <v/>
      </c>
      <c r="V125" s="3353"/>
      <c r="W125" s="3363"/>
      <c r="X125" s="3364"/>
    </row>
    <row r="126" spans="1:24" s="305" customFormat="1" ht="12.6" customHeight="1" thickTop="1">
      <c r="B126" s="372"/>
      <c r="F126" s="361" t="s">
        <v>193</v>
      </c>
      <c r="G126" s="1800">
        <f>SUM(G120:H125)</f>
        <v>668868</v>
      </c>
      <c r="H126" s="1801"/>
      <c r="J126" s="1800">
        <f>SUM(J124:K125)</f>
        <v>210000</v>
      </c>
      <c r="K126" s="1801"/>
      <c r="L126" s="1580"/>
      <c r="M126" s="1800">
        <f>SUM(M124:N125)</f>
        <v>0</v>
      </c>
      <c r="N126" s="1801"/>
      <c r="P126" s="1800">
        <f>SUM(P124:Q125)</f>
        <v>0</v>
      </c>
      <c r="Q126" s="1801"/>
      <c r="S126" s="1800">
        <f>SUM(S120:T125)</f>
        <v>458868</v>
      </c>
      <c r="T126" s="1801"/>
      <c r="V126" s="3365">
        <f>SUM(V120:V125)</f>
        <v>0</v>
      </c>
      <c r="W126" s="3366"/>
      <c r="X126" s="3367"/>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1"/>
      <c r="H128" s="3352"/>
      <c r="J128" s="3351"/>
      <c r="K128" s="3352"/>
      <c r="L128" s="362"/>
      <c r="M128" s="3351"/>
      <c r="N128" s="3352"/>
      <c r="P128" s="3351"/>
      <c r="Q128" s="3352"/>
      <c r="S128" s="3351"/>
      <c r="T128" s="3352"/>
      <c r="V128" s="3353"/>
      <c r="W128" s="3354"/>
      <c r="X128" s="3355"/>
    </row>
    <row r="129" spans="1:24" s="305" customFormat="1" ht="12.6" customHeight="1" thickBot="1">
      <c r="A129" s="387" t="str">
        <f>IF(AND(G129&gt;0,OR(C129="",C129="&lt;Enter detailed description here; use Comments section if needed&gt;")),"X","")</f>
        <v/>
      </c>
      <c r="B129" s="305" t="s">
        <v>749</v>
      </c>
      <c r="C129" s="3358" t="s">
        <v>3737</v>
      </c>
      <c r="D129" s="3358"/>
      <c r="E129" s="3358"/>
      <c r="F129" s="3359"/>
      <c r="G129" s="3385"/>
      <c r="H129" s="3386"/>
      <c r="J129" s="3385"/>
      <c r="K129" s="3386"/>
      <c r="L129" s="1580"/>
      <c r="M129" s="3385"/>
      <c r="N129" s="3386"/>
      <c r="P129" s="3385"/>
      <c r="Q129" s="3386"/>
      <c r="S129" s="3385"/>
      <c r="T129" s="3386"/>
      <c r="U129" s="386" t="str">
        <f>IF(AND(G129&gt;0,OR(C129="",C129="&lt;Enter detailed description here; use Comments section if needed&gt;")),"NO DESCRIPTION PROVIDED - please enter detailed description in Other box at left; use Comments section below if needed.","")</f>
        <v/>
      </c>
      <c r="V129" s="3353"/>
      <c r="W129" s="3363"/>
      <c r="X129" s="3364"/>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5">
        <f>SUM(V128:V129)</f>
        <v>0</v>
      </c>
      <c r="W130" s="3366"/>
      <c r="X130" s="3367"/>
    </row>
    <row r="131" spans="1:24" s="305" customFormat="1" ht="3" customHeight="1" thickBot="1">
      <c r="C131" s="1559"/>
      <c r="H131" s="368"/>
      <c r="I131" s="368"/>
      <c r="L131" s="1570"/>
      <c r="V131" s="1176"/>
      <c r="W131" s="3396"/>
      <c r="X131" s="3397"/>
    </row>
    <row r="132" spans="1:24" s="305" customFormat="1" ht="13.9" customHeight="1" thickBot="1">
      <c r="B132" s="311" t="s">
        <v>2786</v>
      </c>
      <c r="G132" s="1802">
        <f>G17+G23+G27+G33+G38+G41+G47+G64+G77+G83+G91+G105+G111+G118+G126+G130</f>
        <v>13541444</v>
      </c>
      <c r="H132" s="1803"/>
      <c r="J132" s="1802">
        <f>J17+J23+J27+J33+J38+J41+J47+J64+J77+J83+J91+J105+J111+J118+J126+J130</f>
        <v>11800538</v>
      </c>
      <c r="K132" s="1803"/>
      <c r="M132" s="1802">
        <f>M17+M23+M27+M33+M38+M41+M47+M64+M77+M83+M91+M105+M111+M118+M126+M130</f>
        <v>0</v>
      </c>
      <c r="N132" s="1803"/>
      <c r="P132" s="1802">
        <f>P17+P23+P27+P33+P38+P41+P47+P64+P77+P83+P91+P105+P111+P118+P126+P130</f>
        <v>0</v>
      </c>
      <c r="Q132" s="1803"/>
      <c r="S132" s="1802">
        <f>S17+S23+S27+S33+S38+S41+S47+S64+S77+S83+S91+S105+S111+S118+S126+S130</f>
        <v>1740906</v>
      </c>
      <c r="T132" s="1803"/>
      <c r="V132" s="3398">
        <f>V17+V23+V27+V33+V38+V41+V47+V64+V77+V83+V91+V105+V111+V118+V126+V130</f>
        <v>0</v>
      </c>
      <c r="W132" s="3399"/>
      <c r="X132" s="3367"/>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178176.89473684211</v>
      </c>
      <c r="E134" s="1793"/>
      <c r="F134" s="523" t="s">
        <v>2781</v>
      </c>
      <c r="G134" s="1794">
        <f>IF('Part I-Project Information'!$P$71=0,0,G132/'Part I-Project Information'!$P$71)</f>
        <v>174.4806597088004</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0"/>
      <c r="K140" s="3401"/>
      <c r="P140" s="3400"/>
      <c r="Q140" s="3401"/>
      <c r="V140" s="3353"/>
      <c r="W140" s="3354"/>
      <c r="X140" s="3355"/>
    </row>
    <row r="141" spans="1:24" s="305" customFormat="1" ht="13.9" customHeight="1">
      <c r="B141" s="1570" t="s">
        <v>2168</v>
      </c>
      <c r="D141" s="1570"/>
      <c r="E141" s="1570"/>
      <c r="F141" s="1570"/>
      <c r="G141" s="1570"/>
      <c r="H141" s="1570"/>
      <c r="I141" s="375"/>
      <c r="J141" s="3402"/>
      <c r="K141" s="3403"/>
      <c r="P141" s="3402"/>
      <c r="Q141" s="3403"/>
      <c r="V141" s="3353"/>
      <c r="W141" s="3354"/>
      <c r="X141" s="3355"/>
    </row>
    <row r="142" spans="1:24" s="305" customFormat="1" ht="13.9" customHeight="1">
      <c r="B142" s="1570" t="s">
        <v>1877</v>
      </c>
      <c r="D142" s="1570"/>
      <c r="E142" s="1570"/>
      <c r="I142" s="375"/>
      <c r="J142" s="3402"/>
      <c r="K142" s="3403"/>
      <c r="P142" s="3402"/>
      <c r="Q142" s="3403"/>
      <c r="V142" s="3353"/>
      <c r="W142" s="3354"/>
      <c r="X142" s="3355"/>
    </row>
    <row r="143" spans="1:24" s="305" customFormat="1" ht="13.9" customHeight="1">
      <c r="B143" s="1570" t="s">
        <v>1878</v>
      </c>
      <c r="D143" s="1570"/>
      <c r="E143" s="1570"/>
      <c r="I143" s="375"/>
      <c r="J143" s="3402"/>
      <c r="K143" s="3403"/>
      <c r="P143" s="3402"/>
      <c r="Q143" s="3403"/>
      <c r="V143" s="3353"/>
      <c r="W143" s="3354"/>
      <c r="X143" s="3355"/>
    </row>
    <row r="144" spans="1:24" s="305" customFormat="1" ht="13.9" customHeight="1">
      <c r="B144" s="1570" t="s">
        <v>256</v>
      </c>
      <c r="D144" s="1570"/>
      <c r="E144" s="1570"/>
      <c r="I144" s="375"/>
      <c r="J144" s="3402"/>
      <c r="K144" s="3403"/>
      <c r="P144" s="3402"/>
      <c r="Q144" s="3403"/>
      <c r="V144" s="3353"/>
      <c r="W144" s="3354"/>
      <c r="X144" s="3355"/>
    </row>
    <row r="145" spans="1:24" s="305" customFormat="1" ht="13.9" customHeight="1" thickBot="1">
      <c r="B145" s="1570" t="s">
        <v>1613</v>
      </c>
      <c r="C145" s="3404" t="s">
        <v>2431</v>
      </c>
      <c r="D145" s="3404"/>
      <c r="E145" s="3404"/>
      <c r="F145" s="3404"/>
      <c r="G145" s="3404"/>
      <c r="H145" s="3404"/>
      <c r="I145" s="3405"/>
      <c r="J145" s="3406"/>
      <c r="K145" s="3407"/>
      <c r="P145" s="3406"/>
      <c r="Q145" s="3407"/>
      <c r="V145" s="3353"/>
      <c r="W145" s="3363"/>
      <c r="X145" s="3364"/>
    </row>
    <row r="146" spans="1:24" s="305" customFormat="1" ht="13.9" customHeight="1" thickBot="1">
      <c r="B146" s="316" t="s">
        <v>1879</v>
      </c>
      <c r="C146" s="319"/>
      <c r="J146" s="1702">
        <f>SUM(J140:K145)</f>
        <v>0</v>
      </c>
      <c r="K146" s="1703"/>
      <c r="P146" s="1702">
        <f>SUM(P140:Q145)</f>
        <v>0</v>
      </c>
      <c r="Q146" s="1703"/>
      <c r="V146" s="3365">
        <f>SUM(V140:V145)</f>
        <v>0</v>
      </c>
      <c r="W146" s="3366"/>
      <c r="X146" s="336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11800538</v>
      </c>
      <c r="K149" s="1790"/>
      <c r="M149" s="1791">
        <f>M132</f>
        <v>0</v>
      </c>
      <c r="N149" s="1792"/>
      <c r="P149" s="1789">
        <f>P132</f>
        <v>0</v>
      </c>
      <c r="Q149" s="1790"/>
      <c r="V149" s="3353"/>
      <c r="W149" s="3354"/>
      <c r="X149" s="3355"/>
    </row>
    <row r="150" spans="1:24" s="305" customFormat="1" ht="13.9" customHeight="1">
      <c r="B150" s="305" t="s">
        <v>2236</v>
      </c>
      <c r="J150" s="1762">
        <f>J146</f>
        <v>0</v>
      </c>
      <c r="K150" s="1763"/>
      <c r="M150" s="1771"/>
      <c r="N150" s="1771"/>
      <c r="P150" s="1762">
        <f>P146</f>
        <v>0</v>
      </c>
      <c r="Q150" s="1763"/>
      <c r="V150" s="3353"/>
      <c r="W150" s="3354"/>
      <c r="X150" s="3355"/>
    </row>
    <row r="151" spans="1:24" s="305" customFormat="1" ht="13.9" customHeight="1">
      <c r="B151" s="305" t="s">
        <v>2237</v>
      </c>
      <c r="J151" s="1762">
        <f>J149-J150</f>
        <v>11800538</v>
      </c>
      <c r="K151" s="1763"/>
      <c r="M151" s="1762">
        <f>M149</f>
        <v>0</v>
      </c>
      <c r="N151" s="1763"/>
      <c r="P151" s="1762">
        <f>P149-P150</f>
        <v>0</v>
      </c>
      <c r="Q151" s="1763"/>
      <c r="V151" s="3353"/>
      <c r="W151" s="3354"/>
      <c r="X151" s="3355"/>
    </row>
    <row r="152" spans="1:24" s="305" customFormat="1" ht="13.9" customHeight="1">
      <c r="B152" s="305" t="s">
        <v>1497</v>
      </c>
      <c r="G152" s="1561" t="s">
        <v>1727</v>
      </c>
      <c r="H152" s="3408" t="s">
        <v>4615</v>
      </c>
      <c r="I152" s="3409"/>
      <c r="J152" s="3410">
        <v>1.3</v>
      </c>
      <c r="K152" s="3411"/>
      <c r="M152" s="1784"/>
      <c r="N152" s="1784"/>
      <c r="P152" s="3410"/>
      <c r="Q152" s="3411"/>
      <c r="V152" s="3353"/>
      <c r="W152" s="3354"/>
      <c r="X152" s="3355"/>
    </row>
    <row r="153" spans="1:24" s="305" customFormat="1" ht="13.9" customHeight="1">
      <c r="B153" s="305" t="s">
        <v>2070</v>
      </c>
      <c r="J153" s="1762">
        <f>J151*J152</f>
        <v>15340699.4</v>
      </c>
      <c r="K153" s="1763"/>
      <c r="M153" s="1762">
        <f>+M151</f>
        <v>0</v>
      </c>
      <c r="N153" s="1763"/>
      <c r="P153" s="1762">
        <f>P151*P152</f>
        <v>0</v>
      </c>
      <c r="Q153" s="1763"/>
      <c r="V153" s="3353"/>
      <c r="W153" s="3354"/>
      <c r="X153" s="3355"/>
    </row>
    <row r="154" spans="1:24" s="305" customFormat="1" ht="13.9" customHeight="1">
      <c r="B154" s="305" t="s">
        <v>2558</v>
      </c>
      <c r="J154" s="1785">
        <f>MIN('Part VI-Revenues &amp; Expenses'!$O$58/'Part VI-Revenues &amp; Expenses'!$O$60,'Part VI-Revenues &amp; Expenses'!$O$115/'Part VI-Revenues &amp; Expenses'!$O$117)</f>
        <v>0.84210526315789469</v>
      </c>
      <c r="K154" s="1786"/>
      <c r="M154" s="1785">
        <f>MIN('Part VI-Revenues &amp; Expenses'!$O$58/'Part VI-Revenues &amp; Expenses'!$O$60,'Part VI-Revenues &amp; Expenses'!$O$115/'Part VI-Revenues &amp; Expenses'!$O$117)</f>
        <v>0.84210526315789469</v>
      </c>
      <c r="N154" s="1786"/>
      <c r="P154" s="1785">
        <f>MIN('Part VI-Revenues &amp; Expenses'!$O$58/'Part VI-Revenues &amp; Expenses'!$O$60,'Part VI-Revenues &amp; Expenses'!$O$115/'Part VI-Revenues &amp; Expenses'!$O$117)</f>
        <v>0.84210526315789469</v>
      </c>
      <c r="Q154" s="1786"/>
      <c r="V154" s="3353"/>
      <c r="W154" s="3354"/>
      <c r="X154" s="3355"/>
    </row>
    <row r="155" spans="1:24" s="305" customFormat="1" ht="13.9" customHeight="1">
      <c r="B155" s="305" t="s">
        <v>2061</v>
      </c>
      <c r="J155" s="1762">
        <f>J153*J154</f>
        <v>12918483.705263158</v>
      </c>
      <c r="K155" s="1763"/>
      <c r="M155" s="1762">
        <f>M153*M154</f>
        <v>0</v>
      </c>
      <c r="N155" s="1763"/>
      <c r="P155" s="1762">
        <f>P153*P154</f>
        <v>0</v>
      </c>
      <c r="Q155" s="1763"/>
      <c r="V155" s="3353"/>
      <c r="W155" s="3354"/>
      <c r="X155" s="3355"/>
    </row>
    <row r="156" spans="1:24" s="305" customFormat="1" ht="13.9" customHeight="1">
      <c r="B156" s="305" t="s">
        <v>2062</v>
      </c>
      <c r="J156" s="3410">
        <v>0.09</v>
      </c>
      <c r="K156" s="3411"/>
      <c r="M156" s="3410"/>
      <c r="N156" s="3411"/>
      <c r="P156" s="3410"/>
      <c r="Q156" s="3411"/>
      <c r="V156" s="3353"/>
      <c r="W156" s="3354"/>
      <c r="X156" s="3355"/>
    </row>
    <row r="157" spans="1:24" s="305" customFormat="1" ht="13.9" customHeight="1" thickBot="1">
      <c r="B157" s="305" t="s">
        <v>2559</v>
      </c>
      <c r="J157" s="1787">
        <f>J155*J156</f>
        <v>1162663.5334736842</v>
      </c>
      <c r="K157" s="1788"/>
      <c r="M157" s="1787">
        <f>M155*M156</f>
        <v>0</v>
      </c>
      <c r="N157" s="1788"/>
      <c r="P157" s="1787">
        <f>P155*P156</f>
        <v>0</v>
      </c>
      <c r="Q157" s="1788"/>
      <c r="V157" s="3412"/>
      <c r="W157" s="3363"/>
      <c r="X157" s="3364"/>
    </row>
    <row r="158" spans="1:24" s="305" customFormat="1" ht="13.9" customHeight="1" thickBot="1">
      <c r="B158" s="307" t="s">
        <v>1436</v>
      </c>
      <c r="J158" s="1702">
        <f>J157+M157+P157</f>
        <v>1162663.5334736842</v>
      </c>
      <c r="K158" s="1767"/>
      <c r="L158" s="1767"/>
      <c r="M158" s="1767"/>
      <c r="N158" s="1767"/>
      <c r="O158" s="1767"/>
      <c r="P158" s="1767"/>
      <c r="Q158" s="1703"/>
      <c r="V158" s="3365"/>
      <c r="W158" s="3390"/>
      <c r="X158" s="339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13542364</v>
      </c>
      <c r="K162" s="1782"/>
      <c r="L162" s="1783"/>
      <c r="M162" s="1756" t="s">
        <v>2764</v>
      </c>
      <c r="N162" s="1757"/>
      <c r="O162" s="1757"/>
      <c r="P162" s="1757"/>
      <c r="Q162" s="1757"/>
      <c r="R162" s="1758"/>
      <c r="S162" s="1756" t="s">
        <v>3699</v>
      </c>
      <c r="T162" s="1758"/>
      <c r="V162" s="3353"/>
      <c r="W162" s="3354"/>
      <c r="X162" s="3355"/>
    </row>
    <row r="163" spans="1:24" s="305" customFormat="1" ht="13.9" customHeight="1">
      <c r="B163" s="305" t="s">
        <v>2766</v>
      </c>
      <c r="J163" s="3413">
        <f>MIN(G132,J162,(G132-O165))</f>
        <v>13541444</v>
      </c>
      <c r="K163" s="3414"/>
      <c r="L163" s="3415"/>
      <c r="M163" s="1759"/>
      <c r="N163" s="1760"/>
      <c r="O163" s="1760"/>
      <c r="P163" s="1760"/>
      <c r="Q163" s="1760"/>
      <c r="R163" s="1761"/>
      <c r="S163" s="1759"/>
      <c r="T163" s="1761"/>
      <c r="V163" s="3353"/>
      <c r="W163" s="3354"/>
      <c r="X163" s="3355"/>
    </row>
    <row r="164" spans="1:24" s="305" customFormat="1" ht="13.9" customHeight="1">
      <c r="B164" s="305" t="s">
        <v>265</v>
      </c>
      <c r="J164" s="1762">
        <f>'Part III-Sources of Funds'!$I$58-'Part III-Sources of Funds'!$I$41-'Part III-Sources of Funds'!$I$42-'Part III-Sources of Funds'!$I$49-'Part III-Sources of Funds'!$I$50</f>
        <v>2900000</v>
      </c>
      <c r="K164" s="1771"/>
      <c r="L164" s="1772"/>
      <c r="M164" s="1759"/>
      <c r="N164" s="1760"/>
      <c r="O164" s="1760"/>
      <c r="P164" s="1760"/>
      <c r="Q164" s="1760"/>
      <c r="R164" s="1761"/>
      <c r="S164" s="1759"/>
      <c r="T164" s="1761"/>
      <c r="V164" s="3353"/>
      <c r="W164" s="3354"/>
      <c r="X164" s="3355"/>
    </row>
    <row r="165" spans="1:24" s="305" customFormat="1" ht="13.9" customHeight="1" thickBot="1">
      <c r="B165" s="305" t="s">
        <v>2248</v>
      </c>
      <c r="J165" s="1762">
        <f>+J163-J164</f>
        <v>10641444</v>
      </c>
      <c r="K165" s="1771"/>
      <c r="L165" s="1772"/>
      <c r="M165" s="1773" t="s">
        <v>2765</v>
      </c>
      <c r="N165" s="1774"/>
      <c r="O165" s="1775">
        <f>'Part III-Sources of Funds'!$I$41</f>
        <v>0</v>
      </c>
      <c r="P165" s="1775"/>
      <c r="Q165" s="1775"/>
      <c r="R165" s="1776"/>
      <c r="S165" s="424" t="s">
        <v>1675</v>
      </c>
      <c r="T165" s="3416"/>
      <c r="V165" s="3353"/>
      <c r="W165" s="3354"/>
      <c r="X165" s="3355"/>
    </row>
    <row r="166" spans="1:24" s="305" customFormat="1" ht="13.9" customHeight="1">
      <c r="B166" s="305" t="s">
        <v>1298</v>
      </c>
      <c r="J166" s="1777" t="str">
        <f>"/ 10"</f>
        <v>/ 10</v>
      </c>
      <c r="K166" s="1777"/>
      <c r="L166" s="1777"/>
      <c r="M166" s="1570"/>
      <c r="N166" s="494"/>
      <c r="O166" s="494"/>
      <c r="P166" s="494"/>
      <c r="Q166" s="494"/>
      <c r="R166" s="494"/>
      <c r="V166" s="1176"/>
      <c r="W166" s="3354"/>
      <c r="X166" s="3355"/>
    </row>
    <row r="167" spans="1:24" s="305" customFormat="1" ht="13.9" customHeight="1">
      <c r="B167" s="305" t="s">
        <v>1299</v>
      </c>
      <c r="J167" s="1762">
        <f>J165/10</f>
        <v>1064144.3999999999</v>
      </c>
      <c r="K167" s="1771"/>
      <c r="L167" s="1763"/>
      <c r="M167" s="324"/>
      <c r="N167" s="1637" t="s">
        <v>1300</v>
      </c>
      <c r="O167" s="1637"/>
      <c r="Q167" s="1637" t="s">
        <v>1812</v>
      </c>
      <c r="R167" s="1637"/>
      <c r="V167" s="3353"/>
      <c r="W167" s="3354"/>
      <c r="X167" s="3355"/>
    </row>
    <row r="168" spans="1:24" s="305" customFormat="1" ht="13.9" customHeight="1" thickBot="1">
      <c r="B168" s="305" t="s">
        <v>1496</v>
      </c>
      <c r="J168" s="1764">
        <f>N168+Q168</f>
        <v>1.28</v>
      </c>
      <c r="K168" s="1765"/>
      <c r="L168" s="1766"/>
      <c r="M168" s="1561" t="s">
        <v>1301</v>
      </c>
      <c r="N168" s="3417">
        <v>0.89</v>
      </c>
      <c r="O168" s="3418"/>
      <c r="P168" s="1561" t="s">
        <v>618</v>
      </c>
      <c r="Q168" s="3417">
        <v>0.39</v>
      </c>
      <c r="R168" s="3418"/>
      <c r="V168" s="3353"/>
      <c r="W168" s="3354"/>
      <c r="X168" s="3355"/>
    </row>
    <row r="169" spans="1:24" s="305" customFormat="1" ht="13.9" customHeight="1" thickBot="1">
      <c r="B169" s="307" t="s">
        <v>1437</v>
      </c>
      <c r="J169" s="1702">
        <f>IF(J168=0,"",J167/J168)</f>
        <v>831362.81249999988</v>
      </c>
      <c r="K169" s="1767"/>
      <c r="L169" s="1703"/>
      <c r="M169" s="324"/>
      <c r="N169" s="1570"/>
      <c r="O169" s="1570"/>
      <c r="V169" s="3353"/>
      <c r="W169" s="3354"/>
      <c r="X169" s="3355"/>
    </row>
    <row r="170" spans="1:24" s="305" customFormat="1" ht="6" customHeight="1">
      <c r="J170" s="378"/>
      <c r="K170" s="378"/>
      <c r="L170" s="378"/>
      <c r="M170" s="324"/>
      <c r="N170" s="1571"/>
      <c r="O170" s="1571"/>
      <c r="V170" s="1176"/>
      <c r="W170" s="3354"/>
      <c r="X170" s="3355"/>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831362.81249999988</v>
      </c>
      <c r="K171" s="1769"/>
      <c r="L171" s="1770"/>
      <c r="M171" s="324"/>
      <c r="N171" s="1571"/>
      <c r="O171" s="1571"/>
      <c r="V171" s="3353"/>
      <c r="W171" s="3354"/>
      <c r="X171" s="3355"/>
    </row>
    <row r="172" spans="1:24" s="305" customFormat="1" ht="3" customHeight="1">
      <c r="J172" s="378"/>
      <c r="K172" s="378"/>
      <c r="L172" s="378"/>
      <c r="M172" s="324"/>
      <c r="N172" s="1571"/>
      <c r="O172" s="1571"/>
      <c r="V172" s="1176"/>
      <c r="W172" s="3396"/>
      <c r="X172" s="3397"/>
    </row>
    <row r="173" spans="1:24" s="305" customFormat="1" ht="16.149999999999999" customHeight="1">
      <c r="B173" s="307" t="s">
        <v>351</v>
      </c>
      <c r="J173" s="3419">
        <v>825000</v>
      </c>
      <c r="K173" s="3420"/>
      <c r="L173" s="3421"/>
      <c r="M173" s="379" t="str">
        <f>IF(J171=0,"",IF(J173&gt;J171,"ALLOCATION CANNOT EXCEED MAXIMUM - REVISE REQUEST!",""))</f>
        <v/>
      </c>
      <c r="N173" s="1571"/>
      <c r="O173" s="1571"/>
      <c r="V173" s="3353"/>
      <c r="W173" s="3354"/>
      <c r="X173" s="3355"/>
    </row>
    <row r="174" spans="1:24" s="305" customFormat="1" ht="3" customHeight="1">
      <c r="J174" s="378"/>
      <c r="K174" s="378"/>
      <c r="L174" s="378"/>
      <c r="M174" s="324"/>
      <c r="N174" s="1571"/>
      <c r="O174" s="1571"/>
      <c r="V174" s="1176"/>
      <c r="W174" s="3396"/>
      <c r="X174" s="3397"/>
    </row>
    <row r="175" spans="1:24" s="305" customFormat="1" ht="16.149999999999999" customHeight="1">
      <c r="A175" s="438" t="s">
        <v>1805</v>
      </c>
      <c r="B175" s="438" t="s">
        <v>2637</v>
      </c>
      <c r="D175" s="324"/>
      <c r="E175" s="324"/>
      <c r="F175" s="310"/>
      <c r="J175" s="1778">
        <f>IF(J173="",0,+MIN(J171,J173))</f>
        <v>825000</v>
      </c>
      <c r="K175" s="1779"/>
      <c r="L175" s="1780"/>
      <c r="N175" s="3422"/>
      <c r="O175" s="3422"/>
      <c r="P175" s="3422"/>
      <c r="Q175" s="3422"/>
      <c r="R175" s="3422"/>
      <c r="S175" s="3422"/>
      <c r="T175" s="3422"/>
      <c r="V175" s="3353"/>
      <c r="W175" s="3354"/>
      <c r="X175" s="3355"/>
    </row>
    <row r="176" spans="1:24" ht="3" customHeight="1"/>
    <row r="177" spans="1:24" ht="6" customHeight="1"/>
    <row r="178" spans="1:24" ht="12" customHeight="1">
      <c r="A178" s="307" t="s">
        <v>1807</v>
      </c>
      <c r="B178" s="333" t="s">
        <v>577</v>
      </c>
      <c r="N178" s="307" t="s">
        <v>535</v>
      </c>
      <c r="O178" s="307" t="s">
        <v>80</v>
      </c>
    </row>
    <row r="179" spans="1:24" ht="352.5" customHeight="1">
      <c r="A179" s="3311" t="s">
        <v>4618</v>
      </c>
      <c r="B179" s="3311"/>
      <c r="C179" s="3311"/>
      <c r="D179" s="3311"/>
      <c r="E179" s="3311"/>
      <c r="F179" s="3311"/>
      <c r="G179" s="3311"/>
      <c r="H179" s="3311"/>
      <c r="I179" s="3311"/>
      <c r="J179" s="3311"/>
      <c r="K179" s="3311"/>
      <c r="L179" s="3311"/>
      <c r="M179" s="3311"/>
      <c r="N179" s="3423"/>
      <c r="O179" s="3423"/>
      <c r="P179" s="3423"/>
      <c r="Q179" s="3423"/>
      <c r="R179" s="3423"/>
      <c r="S179" s="3423"/>
      <c r="T179" s="3423"/>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3Yxd2iZeMsctuZVhIm+oYVrbwpAjA4yZztcDbCNcGFXeEFoub+BVZ0rzUZYbWB1yV8uKLe5Zsd6ZSGpwAA0SA==" saltValue="U/ZuNwB6LOLg7DlhFCnEo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2018-037 - Myrtle Terraces Phase 2  -  Gainesville  -  Hall,  County</v>
      </c>
      <c r="B1" s="1840"/>
      <c r="C1" s="1840"/>
      <c r="D1" s="1840"/>
      <c r="E1" s="1840"/>
      <c r="F1" s="1840"/>
      <c r="G1" s="1840"/>
      <c r="H1" s="1840"/>
      <c r="I1" s="1008"/>
      <c r="J1" s="1008"/>
      <c r="K1" s="1008"/>
      <c r="L1" s="1008"/>
      <c r="M1" s="1008"/>
      <c r="N1" s="1008"/>
    </row>
    <row r="2" spans="1:14" ht="9" customHeight="1"/>
    <row r="3" spans="1:14" ht="57" customHeight="1">
      <c r="A3" s="3340" t="s">
        <v>3739</v>
      </c>
      <c r="B3" s="3341"/>
      <c r="C3" s="3341"/>
      <c r="D3" s="3341"/>
      <c r="E3" s="3341"/>
      <c r="F3" s="3341"/>
      <c r="G3" s="3341"/>
      <c r="H3" s="3342"/>
    </row>
    <row r="4" spans="1:14" ht="6" customHeight="1"/>
    <row r="5" spans="1:14" ht="38.25" customHeight="1">
      <c r="A5" s="1841" t="s">
        <v>3858</v>
      </c>
      <c r="B5" s="1841"/>
      <c r="C5" s="1841"/>
      <c r="D5" s="1841"/>
      <c r="F5" s="1009" t="s">
        <v>3730</v>
      </c>
      <c r="G5" s="592"/>
      <c r="H5" s="1009" t="s">
        <v>3731</v>
      </c>
    </row>
    <row r="6" spans="1:14" ht="6.75" customHeight="1">
      <c r="A6" s="592"/>
      <c r="B6" s="592"/>
      <c r="C6" s="592"/>
      <c r="D6" s="592"/>
    </row>
    <row r="7" spans="1:14" s="3343" customFormat="1" ht="4.5" customHeight="1">
      <c r="A7" s="1010"/>
      <c r="B7" s="1010"/>
      <c r="C7" s="1010"/>
      <c r="D7" s="1010"/>
      <c r="E7" s="1010"/>
      <c r="F7" s="1010"/>
      <c r="G7" s="1010"/>
    </row>
    <row r="8" spans="1:14" s="3343" customFormat="1">
      <c r="A8" s="1019" t="s">
        <v>103</v>
      </c>
      <c r="B8" s="1011"/>
      <c r="C8" s="1011"/>
      <c r="D8" s="1011"/>
      <c r="E8" s="1011"/>
      <c r="F8" s="1011"/>
      <c r="G8" s="1011"/>
      <c r="H8" s="1011"/>
    </row>
    <row r="9" spans="1:14" s="3343" customFormat="1" ht="41.25" customHeight="1">
      <c r="A9" s="1836" t="str">
        <f>'Part IV-A-Uses of Funds'!$C$14</f>
        <v>&lt;&lt; Enter description here; provide detail &amp; justification in tab Part IV-b &gt;&gt;</v>
      </c>
      <c r="B9" s="1837"/>
      <c r="C9" s="1837"/>
      <c r="D9" s="1838"/>
      <c r="F9" s="3344"/>
      <c r="G9" s="1011"/>
      <c r="H9" s="3344"/>
    </row>
    <row r="10" spans="1:14" s="3343" customFormat="1" ht="41.25" customHeight="1">
      <c r="A10" s="1833"/>
      <c r="B10" s="1834"/>
      <c r="C10" s="1834"/>
      <c r="D10" s="1835"/>
      <c r="F10" s="3345"/>
      <c r="G10" s="1011"/>
      <c r="H10" s="3345"/>
    </row>
    <row r="11" spans="1:14" s="3343" customFormat="1" ht="4.5" customHeight="1">
      <c r="F11" s="3345"/>
      <c r="G11" s="1011"/>
      <c r="H11" s="3345"/>
    </row>
    <row r="12" spans="1:14" s="3343" customFormat="1" ht="15" customHeight="1">
      <c r="A12" s="1018" t="s">
        <v>3733</v>
      </c>
      <c r="B12" s="1017">
        <f>'Part IV-A-Uses of Funds'!$G$14</f>
        <v>0</v>
      </c>
      <c r="C12" s="1018" t="s">
        <v>1803</v>
      </c>
      <c r="D12" s="1017">
        <f>'Part IV-A-Uses of Funds'!$J$14+'Part IV-A-Uses of Funds'!$M$14+'Part IV-A-Uses of Funds'!$P$14</f>
        <v>0</v>
      </c>
      <c r="F12" s="3345"/>
      <c r="G12" s="1011"/>
      <c r="H12" s="3345"/>
    </row>
    <row r="13" spans="1:14" s="3343" customFormat="1" ht="6" customHeight="1">
      <c r="A13" s="1011"/>
      <c r="B13" s="1012"/>
      <c r="C13" s="1011"/>
      <c r="D13" s="1011"/>
      <c r="F13" s="3345"/>
      <c r="G13" s="1013"/>
      <c r="H13" s="3345"/>
    </row>
    <row r="14" spans="1:14" s="3343" customFormat="1" ht="41.25" customHeight="1">
      <c r="A14" s="1836" t="str">
        <f>'Part IV-A-Uses of Funds'!$C$15</f>
        <v>&lt;&lt; Enter description here; provide detail &amp; justification in tab Part IV-b &gt;&gt;</v>
      </c>
      <c r="B14" s="1837"/>
      <c r="C14" s="1837"/>
      <c r="D14" s="1838"/>
      <c r="F14" s="3345"/>
      <c r="G14" s="1011"/>
      <c r="H14" s="3345"/>
    </row>
    <row r="15" spans="1:14" s="3343" customFormat="1" ht="41.25" customHeight="1">
      <c r="A15" s="1833"/>
      <c r="B15" s="1834"/>
      <c r="C15" s="1834"/>
      <c r="D15" s="1835"/>
      <c r="F15" s="3345"/>
      <c r="G15" s="1011"/>
      <c r="H15" s="3345"/>
    </row>
    <row r="16" spans="1:14" s="3343" customFormat="1" ht="4.5" customHeight="1">
      <c r="F16" s="3345"/>
      <c r="G16" s="1011"/>
      <c r="H16" s="3345"/>
    </row>
    <row r="17" spans="1:8" s="3343" customFormat="1" ht="15" customHeight="1">
      <c r="A17" s="1018" t="s">
        <v>3733</v>
      </c>
      <c r="B17" s="1017">
        <f>'Part IV-A-Uses of Funds'!$G$15</f>
        <v>0</v>
      </c>
      <c r="C17" s="1018" t="s">
        <v>1803</v>
      </c>
      <c r="D17" s="1017">
        <f>'Part IV-A-Uses of Funds'!$J$15+'Part IV-A-Uses of Funds'!$M$15+'Part IV-A-Uses of Funds'!$P$15</f>
        <v>0</v>
      </c>
      <c r="F17" s="3345"/>
      <c r="G17" s="1011"/>
      <c r="H17" s="3345"/>
    </row>
    <row r="18" spans="1:8" s="3343" customFormat="1" ht="6" customHeight="1">
      <c r="A18" s="1011"/>
      <c r="B18" s="1012"/>
      <c r="C18" s="1011"/>
      <c r="D18" s="1011"/>
      <c r="F18" s="3345"/>
      <c r="G18" s="1013"/>
      <c r="H18" s="3345"/>
    </row>
    <row r="19" spans="1:8" s="3343" customFormat="1" ht="41.25" customHeight="1">
      <c r="A19" s="1836" t="str">
        <f>'Part IV-A-Uses of Funds'!$C$16</f>
        <v>&lt;&lt; Enter description here; provide detail &amp; justification in tab Part IV-b &gt;&gt;</v>
      </c>
      <c r="B19" s="1837"/>
      <c r="C19" s="1837"/>
      <c r="D19" s="1838"/>
      <c r="F19" s="3345"/>
      <c r="G19" s="1011"/>
      <c r="H19" s="3345"/>
    </row>
    <row r="20" spans="1:8" s="3343" customFormat="1" ht="41.25" customHeight="1">
      <c r="A20" s="1833"/>
      <c r="B20" s="1834"/>
      <c r="C20" s="1834"/>
      <c r="D20" s="1835"/>
      <c r="F20" s="3345"/>
      <c r="G20" s="1011"/>
      <c r="H20" s="3345"/>
    </row>
    <row r="21" spans="1:8" s="3343" customFormat="1" ht="4.5" customHeight="1">
      <c r="F21" s="3345"/>
      <c r="G21" s="1011"/>
      <c r="H21" s="3345"/>
    </row>
    <row r="22" spans="1:8" s="3343" customFormat="1" ht="15" customHeight="1">
      <c r="A22" s="1018" t="s">
        <v>3733</v>
      </c>
      <c r="B22" s="1017">
        <f>'Part IV-A-Uses of Funds'!$G$16</f>
        <v>0</v>
      </c>
      <c r="C22" s="1018" t="s">
        <v>1803</v>
      </c>
      <c r="D22" s="1017">
        <f>'Part IV-A-Uses of Funds'!$J$16+'Part IV-A-Uses of Funds'!$M$16+'Part IV-A-Uses of Funds'!$P$16</f>
        <v>0</v>
      </c>
      <c r="F22" s="3345"/>
      <c r="G22" s="1011"/>
      <c r="H22" s="3345"/>
    </row>
    <row r="23" spans="1:8" s="3343" customFormat="1" ht="6" customHeight="1">
      <c r="A23" s="1011"/>
      <c r="B23" s="1012"/>
      <c r="C23" s="1011"/>
      <c r="D23" s="1011"/>
      <c r="F23" s="3346"/>
      <c r="G23" s="1013"/>
      <c r="H23" s="3346"/>
    </row>
    <row r="24" spans="1:8" s="3343" customFormat="1">
      <c r="A24" s="1019" t="s">
        <v>3732</v>
      </c>
      <c r="B24" s="1011"/>
      <c r="C24" s="1011"/>
      <c r="D24" s="1011"/>
      <c r="E24" s="1011"/>
      <c r="F24" s="1011"/>
      <c r="G24" s="1011"/>
    </row>
    <row r="25" spans="1:8" s="3343" customFormat="1" ht="41.25" customHeight="1">
      <c r="A25" s="1836" t="str">
        <f>'Part IV-A-Uses of Funds'!$C$41</f>
        <v>&lt;&lt; Enter description here; provide detail &amp; justification in tab Part IV-b &gt;&gt;</v>
      </c>
      <c r="B25" s="1837"/>
      <c r="C25" s="1837"/>
      <c r="D25" s="1838"/>
      <c r="E25" s="1011"/>
      <c r="F25" s="3347"/>
      <c r="G25" s="1011"/>
      <c r="H25" s="3347"/>
    </row>
    <row r="26" spans="1:8" s="3343" customFormat="1" ht="41.25" customHeight="1">
      <c r="A26" s="1833"/>
      <c r="B26" s="1834"/>
      <c r="C26" s="1834"/>
      <c r="D26" s="1835"/>
      <c r="E26" s="1011"/>
      <c r="F26" s="3348"/>
      <c r="G26" s="1011"/>
      <c r="H26" s="3348"/>
    </row>
    <row r="27" spans="1:8" s="3343" customFormat="1" ht="4.5" customHeight="1">
      <c r="A27" s="1011"/>
      <c r="B27" s="1011"/>
      <c r="C27" s="1011"/>
      <c r="D27" s="1011"/>
      <c r="E27" s="1011"/>
      <c r="F27" s="3348"/>
      <c r="G27" s="1011"/>
      <c r="H27" s="3348"/>
    </row>
    <row r="28" spans="1:8" s="3343" customFormat="1" ht="25.5">
      <c r="A28" s="1018" t="s">
        <v>3733</v>
      </c>
      <c r="B28" s="1017">
        <f>'Part IV-A-Uses of Funds'!$G$41</f>
        <v>0</v>
      </c>
      <c r="C28" s="1018" t="s">
        <v>1803</v>
      </c>
      <c r="D28" s="1017">
        <f>'Part IV-A-Uses of Funds'!$J$41+'Part IV-A-Uses of Funds'!$M$41+'Part IV-A-Uses of Funds'!$P$41</f>
        <v>0</v>
      </c>
      <c r="E28" s="1011"/>
      <c r="F28" s="3348"/>
      <c r="G28" s="1011"/>
      <c r="H28" s="3348"/>
    </row>
    <row r="29" spans="1:8" s="3343" customFormat="1" ht="6" customHeight="1">
      <c r="A29" s="1011"/>
      <c r="B29" s="1012"/>
      <c r="C29" s="1011"/>
      <c r="D29" s="1011"/>
      <c r="E29" s="1011"/>
      <c r="F29" s="3349"/>
      <c r="G29" s="1013"/>
      <c r="H29" s="3349"/>
    </row>
    <row r="30" spans="1:8" s="3343" customFormat="1">
      <c r="A30" s="1019" t="s">
        <v>730</v>
      </c>
      <c r="B30" s="1011"/>
      <c r="C30" s="1011"/>
      <c r="D30" s="1011"/>
      <c r="E30" s="1011"/>
      <c r="F30" s="1011"/>
      <c r="G30" s="1011"/>
    </row>
    <row r="31" spans="1:8" s="3343" customFormat="1" ht="41.25" customHeight="1">
      <c r="A31" s="1830" t="str">
        <f>'Part IV-A-Uses of Funds'!$C$62</f>
        <v>&lt;&lt; Enter description here; provide detail &amp; justification in tab Part IV-b &gt;&gt;</v>
      </c>
      <c r="B31" s="1831"/>
      <c r="C31" s="1831"/>
      <c r="D31" s="1832"/>
      <c r="E31" s="1011"/>
      <c r="F31" s="3344"/>
      <c r="G31" s="1011"/>
      <c r="H31" s="3344"/>
    </row>
    <row r="32" spans="1:8" s="3343" customFormat="1" ht="41.25" customHeight="1">
      <c r="A32" s="1833"/>
      <c r="B32" s="1834"/>
      <c r="C32" s="1834"/>
      <c r="D32" s="1835"/>
      <c r="E32" s="1011"/>
      <c r="F32" s="3345"/>
      <c r="G32" s="1011"/>
      <c r="H32" s="3345"/>
    </row>
    <row r="33" spans="1:8" s="3343" customFormat="1" ht="4.5" customHeight="1">
      <c r="A33" s="1011"/>
      <c r="B33" s="1011"/>
      <c r="C33" s="1011"/>
      <c r="D33" s="1011"/>
      <c r="E33" s="1011"/>
      <c r="F33" s="3345"/>
      <c r="G33" s="1011"/>
      <c r="H33" s="3345"/>
    </row>
    <row r="34" spans="1:8" s="3343" customFormat="1" ht="14.25" customHeight="1">
      <c r="A34" s="1018" t="s">
        <v>3733</v>
      </c>
      <c r="B34" s="1017">
        <f>'Part IV-A-Uses of Funds'!$G$62</f>
        <v>0</v>
      </c>
      <c r="C34" s="1018" t="s">
        <v>1803</v>
      </c>
      <c r="D34" s="1017">
        <f>'Part IV-A-Uses of Funds'!$J$62+'Part IV-A-Uses of Funds'!$M$62+'Part IV-A-Uses of Funds'!$P$62</f>
        <v>0</v>
      </c>
      <c r="E34" s="1011"/>
      <c r="F34" s="3345"/>
      <c r="G34" s="1011"/>
      <c r="H34" s="3345"/>
    </row>
    <row r="35" spans="1:8" s="3343" customFormat="1" ht="6" customHeight="1">
      <c r="D35" s="1011"/>
      <c r="E35" s="1011"/>
      <c r="F35" s="3345"/>
      <c r="G35" s="1013"/>
      <c r="H35" s="3345"/>
    </row>
    <row r="36" spans="1:8" s="3343" customFormat="1" ht="41.25" customHeight="1">
      <c r="A36" s="1830" t="str">
        <f>'Part IV-A-Uses of Funds'!$C$63</f>
        <v>&lt;&lt; Enter description here; provide detail &amp; justification in tab Part IV-b &gt;&gt;</v>
      </c>
      <c r="B36" s="1831"/>
      <c r="C36" s="1831"/>
      <c r="D36" s="1832"/>
      <c r="E36" s="1011"/>
      <c r="F36" s="3345"/>
      <c r="G36" s="1011"/>
      <c r="H36" s="3345"/>
    </row>
    <row r="37" spans="1:8" s="3343" customFormat="1" ht="41.25" customHeight="1">
      <c r="A37" s="1833"/>
      <c r="B37" s="1834"/>
      <c r="C37" s="1834"/>
      <c r="D37" s="1835"/>
      <c r="E37" s="1011"/>
      <c r="F37" s="3345"/>
      <c r="G37" s="1011"/>
      <c r="H37" s="3345"/>
    </row>
    <row r="38" spans="1:8" s="3343" customFormat="1" ht="4.5" customHeight="1">
      <c r="A38" s="1011"/>
      <c r="B38" s="1011"/>
      <c r="C38" s="1011"/>
      <c r="D38" s="1011"/>
      <c r="E38" s="1011"/>
      <c r="F38" s="3345"/>
      <c r="G38" s="1011"/>
      <c r="H38" s="3345"/>
    </row>
    <row r="39" spans="1:8" s="3343" customFormat="1" ht="14.25" customHeight="1">
      <c r="A39" s="1018" t="s">
        <v>3733</v>
      </c>
      <c r="B39" s="1017">
        <f>'Part IV-A-Uses of Funds'!$G$63</f>
        <v>0</v>
      </c>
      <c r="C39" s="1018" t="s">
        <v>1803</v>
      </c>
      <c r="D39" s="1017">
        <f>'Part IV-A-Uses of Funds'!$J$63+'Part IV-A-Uses of Funds'!$M$63+'Part IV-A-Uses of Funds'!$P$63</f>
        <v>0</v>
      </c>
      <c r="E39" s="1011"/>
      <c r="F39" s="3345"/>
      <c r="G39" s="1011"/>
      <c r="H39" s="3345"/>
    </row>
    <row r="40" spans="1:8" s="3343" customFormat="1" ht="6" customHeight="1">
      <c r="D40" s="1011"/>
      <c r="E40" s="1011"/>
      <c r="F40" s="3346"/>
      <c r="G40" s="1013"/>
      <c r="H40" s="3346"/>
    </row>
    <row r="41" spans="1:8" s="3343" customFormat="1">
      <c r="A41" s="1019" t="s">
        <v>480</v>
      </c>
      <c r="B41" s="1011"/>
      <c r="C41" s="1011"/>
      <c r="D41" s="1011"/>
      <c r="E41" s="1015"/>
      <c r="F41" s="1015"/>
      <c r="G41" s="1011"/>
    </row>
    <row r="42" spans="1:8" s="3343" customFormat="1" ht="41.25" customHeight="1">
      <c r="A42" s="1830" t="str">
        <f>'Part IV-A-Uses of Funds'!$C$76</f>
        <v>&lt;&lt; Enter description here; provide detail &amp; justification in tab Part IV-b &gt;&gt;</v>
      </c>
      <c r="B42" s="1831"/>
      <c r="C42" s="1831"/>
      <c r="D42" s="1832"/>
      <c r="F42" s="3347"/>
      <c r="G42" s="1011"/>
      <c r="H42" s="3347"/>
    </row>
    <row r="43" spans="1:8" s="3343" customFormat="1" ht="41.25" customHeight="1">
      <c r="A43" s="1833"/>
      <c r="B43" s="1834"/>
      <c r="C43" s="1834"/>
      <c r="D43" s="1835"/>
      <c r="E43" s="1011"/>
      <c r="F43" s="3348"/>
      <c r="G43" s="1011"/>
      <c r="H43" s="3348"/>
    </row>
    <row r="44" spans="1:8" s="3343" customFormat="1" ht="4.5" customHeight="1">
      <c r="A44" s="1011"/>
      <c r="B44" s="1011"/>
      <c r="C44" s="1011"/>
      <c r="D44" s="1011"/>
      <c r="E44" s="1011"/>
      <c r="F44" s="3348"/>
      <c r="G44" s="1011"/>
      <c r="H44" s="3348"/>
    </row>
    <row r="45" spans="1:8" s="3343" customFormat="1" ht="13.5" customHeight="1">
      <c r="A45" s="1018" t="s">
        <v>3733</v>
      </c>
      <c r="B45" s="1017">
        <f>'Part IV-A-Uses of Funds'!$G$76</f>
        <v>0</v>
      </c>
      <c r="C45" s="1018" t="s">
        <v>1803</v>
      </c>
      <c r="D45" s="1017">
        <f>'Part IV-A-Uses of Funds'!$J$76+'Part IV-A-Uses of Funds'!$M$76+'Part IV-A-Uses of Funds'!$P$76</f>
        <v>0</v>
      </c>
      <c r="E45" s="1011"/>
      <c r="F45" s="3348"/>
      <c r="G45" s="1011"/>
      <c r="H45" s="3348"/>
    </row>
    <row r="46" spans="1:8" s="3343" customFormat="1" ht="6" customHeight="1">
      <c r="A46" s="1011"/>
      <c r="B46" s="1012"/>
      <c r="C46" s="1011"/>
      <c r="D46" s="1011"/>
      <c r="E46" s="1011"/>
      <c r="F46" s="3349"/>
      <c r="G46" s="1013"/>
      <c r="H46" s="3349"/>
    </row>
    <row r="47" spans="1:8" s="3343" customFormat="1">
      <c r="A47" s="1019" t="s">
        <v>732</v>
      </c>
      <c r="B47" s="1011"/>
      <c r="C47" s="1011"/>
      <c r="D47" s="1011"/>
      <c r="E47" s="1011"/>
      <c r="F47" s="1011"/>
      <c r="G47" s="1011"/>
    </row>
    <row r="48" spans="1:8" s="3343" customFormat="1" ht="41.25" customHeight="1">
      <c r="A48" s="1830" t="str">
        <f>'Part IV-A-Uses of Funds'!$C$90</f>
        <v>&lt;&lt; Enter description here; provide detail &amp; justification in tab Part IV-b &gt;&gt;</v>
      </c>
      <c r="B48" s="1831"/>
      <c r="C48" s="1831"/>
      <c r="D48" s="1832"/>
      <c r="F48" s="3347"/>
      <c r="G48" s="1011"/>
    </row>
    <row r="49" spans="1:7" s="3343" customFormat="1" ht="41.25" customHeight="1">
      <c r="A49" s="1833"/>
      <c r="B49" s="1834"/>
      <c r="C49" s="1834"/>
      <c r="D49" s="1835"/>
      <c r="E49" s="1011"/>
      <c r="F49" s="3348"/>
      <c r="G49" s="1011"/>
    </row>
    <row r="50" spans="1:7" s="3343" customFormat="1" ht="3" customHeight="1">
      <c r="A50" s="1011"/>
      <c r="B50" s="1011"/>
      <c r="C50" s="1011"/>
      <c r="D50" s="1011"/>
      <c r="E50" s="1011"/>
      <c r="F50" s="3348"/>
      <c r="G50" s="1011"/>
    </row>
    <row r="51" spans="1:7" s="3343" customFormat="1" ht="13.5" customHeight="1">
      <c r="A51" s="1018" t="s">
        <v>3733</v>
      </c>
      <c r="B51" s="1017">
        <f>'Part IV-A-Uses of Funds'!$G$90</f>
        <v>0</v>
      </c>
      <c r="C51" s="1014"/>
      <c r="D51" s="1014"/>
      <c r="E51" s="1011"/>
      <c r="F51" s="3348"/>
      <c r="G51" s="1011"/>
    </row>
    <row r="52" spans="1:7" s="3343" customFormat="1" ht="3.75" customHeight="1">
      <c r="A52" s="1011"/>
      <c r="B52" s="1011"/>
      <c r="C52" s="1011"/>
      <c r="D52" s="1011"/>
      <c r="E52" s="1011"/>
      <c r="F52" s="3349"/>
      <c r="G52" s="1013"/>
    </row>
    <row r="53" spans="1:7" s="3343" customFormat="1">
      <c r="A53" s="1019" t="s">
        <v>3734</v>
      </c>
      <c r="B53" s="1011"/>
      <c r="C53" s="1011"/>
      <c r="D53" s="1011"/>
      <c r="E53" s="1011"/>
      <c r="F53" s="1011"/>
      <c r="G53" s="1011"/>
    </row>
    <row r="54" spans="1:7" s="3343" customFormat="1" ht="41.25" customHeight="1">
      <c r="A54" s="1830" t="str">
        <f>'Part IV-A-Uses of Funds'!$C$103</f>
        <v>&lt;&lt; Enter description here; provide detail &amp; justification in tab Part IV-b &gt;&gt;</v>
      </c>
      <c r="B54" s="1831"/>
      <c r="C54" s="1831"/>
      <c r="D54" s="1832"/>
      <c r="F54" s="3344"/>
      <c r="G54" s="1011"/>
    </row>
    <row r="55" spans="1:7" s="3343" customFormat="1" ht="41.25" customHeight="1">
      <c r="A55" s="1833"/>
      <c r="B55" s="1834"/>
      <c r="C55" s="1834"/>
      <c r="D55" s="1835"/>
      <c r="E55" s="1011"/>
      <c r="F55" s="3345"/>
      <c r="G55" s="1011"/>
    </row>
    <row r="56" spans="1:7" s="3343" customFormat="1" ht="3" customHeight="1">
      <c r="A56" s="1011"/>
      <c r="B56" s="1011"/>
      <c r="C56" s="1011"/>
      <c r="D56" s="1011"/>
      <c r="E56" s="1011"/>
      <c r="F56" s="3345"/>
      <c r="G56" s="1011"/>
    </row>
    <row r="57" spans="1:7" s="3343" customFormat="1" ht="25.5">
      <c r="A57" s="1018" t="s">
        <v>3733</v>
      </c>
      <c r="B57" s="1017">
        <f>'Part IV-A-Uses of Funds'!$G$103</f>
        <v>0</v>
      </c>
      <c r="C57" s="1014"/>
      <c r="D57" s="1014"/>
      <c r="E57" s="1011"/>
      <c r="F57" s="3345"/>
      <c r="G57" s="1011"/>
    </row>
    <row r="58" spans="1:7" s="3343" customFormat="1" ht="3.75" customHeight="1">
      <c r="A58" s="1010"/>
      <c r="B58" s="1010"/>
      <c r="C58" s="1010"/>
      <c r="D58" s="1010"/>
      <c r="E58" s="1010"/>
      <c r="F58" s="3345"/>
      <c r="G58" s="1013"/>
    </row>
    <row r="59" spans="1:7" s="3343" customFormat="1" ht="41.25" customHeight="1">
      <c r="A59" s="1830" t="str">
        <f>'Part IV-A-Uses of Funds'!$C$104</f>
        <v>&lt;&lt; Enter description here; provide detail &amp; justification in tab Part IV-b &gt;&gt;</v>
      </c>
      <c r="B59" s="1831"/>
      <c r="C59" s="1831"/>
      <c r="D59" s="1832"/>
      <c r="F59" s="3345"/>
      <c r="G59" s="1011"/>
    </row>
    <row r="60" spans="1:7" s="3343" customFormat="1" ht="41.25" customHeight="1">
      <c r="A60" s="1833"/>
      <c r="B60" s="1834"/>
      <c r="C60" s="1834"/>
      <c r="D60" s="1835"/>
      <c r="E60" s="1011"/>
      <c r="F60" s="3345"/>
      <c r="G60" s="1011"/>
    </row>
    <row r="61" spans="1:7" s="3343" customFormat="1" ht="3" customHeight="1">
      <c r="A61" s="1011"/>
      <c r="B61" s="1011"/>
      <c r="C61" s="1011"/>
      <c r="D61" s="1011"/>
      <c r="E61" s="1011"/>
      <c r="F61" s="3345"/>
      <c r="G61" s="1011"/>
    </row>
    <row r="62" spans="1:7" s="3343" customFormat="1" ht="25.5">
      <c r="A62" s="1018" t="s">
        <v>3733</v>
      </c>
      <c r="B62" s="1017">
        <f>'Part IV-A-Uses of Funds'!$G$104</f>
        <v>0</v>
      </c>
      <c r="C62" s="1014"/>
      <c r="D62" s="1014"/>
      <c r="E62" s="1011"/>
      <c r="F62" s="3345"/>
      <c r="G62" s="1011"/>
    </row>
    <row r="63" spans="1:7" s="3343" customFormat="1" ht="3.75" customHeight="1">
      <c r="A63" s="1010"/>
      <c r="B63" s="1010"/>
      <c r="C63" s="1010"/>
      <c r="D63" s="1010"/>
      <c r="E63" s="1010"/>
      <c r="F63" s="3346"/>
      <c r="G63" s="1013"/>
    </row>
    <row r="64" spans="1:7" s="3343" customFormat="1">
      <c r="A64" s="1019" t="s">
        <v>3735</v>
      </c>
      <c r="B64" s="1011"/>
      <c r="C64" s="1011"/>
      <c r="D64" s="1011"/>
      <c r="E64" s="1011"/>
      <c r="F64" s="1011"/>
      <c r="G64" s="1011"/>
    </row>
    <row r="65" spans="1:8" s="3343" customFormat="1" ht="41.25" customHeight="1">
      <c r="A65" s="1830" t="str">
        <f>'Part IV-A-Uses of Funds'!$C$110</f>
        <v>&lt;&lt; Enter description here; provide detail &amp; justification in tab Part IV-b &gt;&gt;</v>
      </c>
      <c r="B65" s="1831"/>
      <c r="C65" s="1831"/>
      <c r="D65" s="1832"/>
      <c r="F65" s="3347"/>
      <c r="G65" s="1011"/>
    </row>
    <row r="66" spans="1:8" s="3343" customFormat="1" ht="41.25" customHeight="1">
      <c r="A66" s="1833"/>
      <c r="B66" s="1834"/>
      <c r="C66" s="1834"/>
      <c r="D66" s="1835"/>
      <c r="E66" s="1011"/>
      <c r="F66" s="3348"/>
      <c r="G66" s="1011"/>
    </row>
    <row r="67" spans="1:8" s="3343" customFormat="1" ht="3" customHeight="1">
      <c r="A67" s="1011"/>
      <c r="B67" s="1011"/>
      <c r="C67" s="1011"/>
      <c r="D67" s="1011"/>
      <c r="E67" s="1011"/>
      <c r="F67" s="3348"/>
      <c r="G67" s="1011"/>
    </row>
    <row r="68" spans="1:8" s="3343" customFormat="1" ht="25.5">
      <c r="A68" s="1018" t="s">
        <v>3733</v>
      </c>
      <c r="B68" s="1017">
        <f>'Part IV-A-Uses of Funds'!$G$110</f>
        <v>0</v>
      </c>
      <c r="C68" s="1014"/>
      <c r="D68" s="1014"/>
      <c r="E68" s="1011"/>
      <c r="F68" s="3348"/>
      <c r="G68" s="1011"/>
    </row>
    <row r="69" spans="1:8" s="3343" customFormat="1" ht="3.75" customHeight="1">
      <c r="A69" s="1011"/>
      <c r="B69" s="1012"/>
      <c r="C69" s="1011"/>
      <c r="D69" s="1011"/>
      <c r="E69" s="1011"/>
      <c r="F69" s="3349"/>
      <c r="G69" s="1013"/>
    </row>
    <row r="70" spans="1:8" s="3343" customFormat="1">
      <c r="A70" s="1019" t="s">
        <v>1321</v>
      </c>
      <c r="B70" s="1011"/>
      <c r="C70" s="1011"/>
      <c r="D70" s="1011"/>
      <c r="E70" s="1011"/>
      <c r="F70" s="1011"/>
      <c r="G70" s="1011"/>
    </row>
    <row r="71" spans="1:8" s="3343" customFormat="1" ht="41.25" customHeight="1">
      <c r="A71" s="1830" t="str">
        <f>'Part IV-A-Uses of Funds'!$C$125</f>
        <v>&lt;&lt; Enter description here; provide detail &amp; justification in tab Part IV-b &gt;&gt;</v>
      </c>
      <c r="B71" s="1831"/>
      <c r="C71" s="1831"/>
      <c r="D71" s="1832"/>
      <c r="F71" s="3347"/>
      <c r="G71" s="1011"/>
      <c r="H71" s="3347"/>
    </row>
    <row r="72" spans="1:8" s="3343" customFormat="1" ht="41.25" customHeight="1">
      <c r="A72" s="1833"/>
      <c r="B72" s="1834"/>
      <c r="C72" s="1834"/>
      <c r="D72" s="1835"/>
      <c r="E72" s="1011"/>
      <c r="F72" s="3348"/>
      <c r="G72" s="1011"/>
      <c r="H72" s="3348"/>
    </row>
    <row r="73" spans="1:8" s="3343" customFormat="1" ht="4.5" customHeight="1">
      <c r="A73" s="1011"/>
      <c r="B73" s="1011"/>
      <c r="C73" s="1011"/>
      <c r="D73" s="1011"/>
      <c r="E73" s="1011"/>
      <c r="F73" s="3348"/>
      <c r="G73" s="1011"/>
      <c r="H73" s="3348"/>
    </row>
    <row r="74" spans="1:8" s="3343" customFormat="1" ht="12.75" customHeight="1">
      <c r="A74" s="1018" t="s">
        <v>3733</v>
      </c>
      <c r="B74" s="1017">
        <f>'Part IV-A-Uses of Funds'!$G$125</f>
        <v>0</v>
      </c>
      <c r="C74" s="1018" t="s">
        <v>1803</v>
      </c>
      <c r="D74" s="1017">
        <f>'Part IV-A-Uses of Funds'!$J$125+'Part IV-A-Uses of Funds'!$M$125+'Part IV-A-Uses of Funds'!$P$125</f>
        <v>0</v>
      </c>
      <c r="E74" s="1011"/>
      <c r="F74" s="3348"/>
      <c r="G74" s="1011"/>
      <c r="H74" s="3348"/>
    </row>
    <row r="75" spans="1:8" s="3343" customFormat="1" ht="6" customHeight="1">
      <c r="A75" s="1011"/>
      <c r="B75" s="1012"/>
      <c r="C75" s="1011"/>
      <c r="D75" s="1011"/>
      <c r="E75" s="1011"/>
      <c r="F75" s="3349"/>
      <c r="G75" s="1013"/>
      <c r="H75" s="3349"/>
    </row>
    <row r="76" spans="1:8" s="3343" customFormat="1">
      <c r="A76" s="1019" t="s">
        <v>3736</v>
      </c>
      <c r="B76" s="1012"/>
      <c r="C76" s="1011"/>
      <c r="D76" s="1011"/>
      <c r="E76" s="1011"/>
      <c r="F76" s="1011"/>
      <c r="G76" s="1013"/>
    </row>
    <row r="77" spans="1:8" s="3343" customFormat="1" ht="41.25" customHeight="1">
      <c r="A77" s="1830" t="str">
        <f>'Part IV-A-Uses of Funds'!$C$129</f>
        <v>&lt;&lt; Enter description here; provide detail &amp; justification in tab Part IV-b &gt;&gt;</v>
      </c>
      <c r="B77" s="1831"/>
      <c r="C77" s="1831"/>
      <c r="D77" s="1832"/>
      <c r="F77" s="3347"/>
      <c r="G77" s="1011"/>
      <c r="H77" s="3347"/>
    </row>
    <row r="78" spans="1:8" s="3343" customFormat="1" ht="41.25" customHeight="1">
      <c r="A78" s="1833"/>
      <c r="B78" s="1834"/>
      <c r="C78" s="1834"/>
      <c r="D78" s="1835"/>
      <c r="E78" s="1011"/>
      <c r="F78" s="3348"/>
      <c r="G78" s="1011"/>
      <c r="H78" s="3348"/>
    </row>
    <row r="79" spans="1:8" s="3343" customFormat="1" ht="4.5" customHeight="1">
      <c r="A79" s="1011"/>
      <c r="B79" s="1011"/>
      <c r="C79" s="1011"/>
      <c r="D79" s="1011"/>
      <c r="E79" s="1011"/>
      <c r="F79" s="3348"/>
      <c r="G79" s="1011"/>
      <c r="H79" s="3348"/>
    </row>
    <row r="80" spans="1:8" s="3343" customFormat="1" ht="12.75" customHeight="1">
      <c r="A80" s="1018" t="s">
        <v>3733</v>
      </c>
      <c r="B80" s="1017">
        <f>'Part IV-A-Uses of Funds'!$G$129</f>
        <v>0</v>
      </c>
      <c r="C80" s="1018" t="s">
        <v>1803</v>
      </c>
      <c r="D80" s="1017">
        <f>'Part IV-A-Uses of Funds'!$J$129+'Part IV-A-Uses of Funds'!$M$129+'Part IV-A-Uses of Funds'!$P$129</f>
        <v>0</v>
      </c>
      <c r="E80" s="1016"/>
      <c r="F80" s="3348"/>
      <c r="G80" s="1011"/>
      <c r="H80" s="3348"/>
    </row>
    <row r="81" spans="4:8" s="3343" customFormat="1" ht="6" customHeight="1">
      <c r="D81" s="1618"/>
      <c r="E81" s="3350"/>
      <c r="F81" s="3349"/>
      <c r="G81" s="1013"/>
      <c r="H81" s="3349"/>
    </row>
    <row r="82" spans="4:8" s="3343" customFormat="1"/>
    <row r="83" spans="4:8" s="3343" customFormat="1"/>
    <row r="84" spans="4:8" s="3343" customFormat="1"/>
    <row r="85" spans="4:8" s="3343" customFormat="1"/>
    <row r="86" spans="4:8" s="3343" customFormat="1"/>
    <row r="87" spans="4:8" s="3343" customFormat="1"/>
    <row r="88" spans="4:8" s="3343" customFormat="1"/>
    <row r="89" spans="4:8" s="3343" customFormat="1"/>
    <row r="90" spans="4:8" s="3343" customFormat="1"/>
    <row r="91" spans="4:8" s="3343" customFormat="1"/>
    <row r="92" spans="4:8" s="3343" customFormat="1"/>
  </sheetData>
  <sheetProtection algorithmName="SHA-512" hashValue="/w2vQPyUcNl4yEYlFkWTrwSjHuJ6l3Joq5sEzKxoxumee1RSci9J3eOQKqDJGjwl7EY7Mryntfk8RJVVwFDfoA==" saltValue="JgNUTtXHbVeLnEwqy/MpP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6"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2018-037 Myrtle Terraces Phase 2, Gainesville, Hall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2243</v>
      </c>
      <c r="F7" s="8" t="s">
        <v>2536</v>
      </c>
      <c r="I7" s="3313" t="s">
        <v>4688</v>
      </c>
      <c r="J7" s="3314"/>
      <c r="K7" s="3314"/>
      <c r="L7" s="3314"/>
      <c r="M7" s="3315"/>
    </row>
    <row r="8" spans="1:20" s="8" customFormat="1" ht="13.15" customHeight="1">
      <c r="A8" s="14"/>
      <c r="F8" s="8" t="s">
        <v>642</v>
      </c>
      <c r="H8" s="28"/>
      <c r="I8" s="3316">
        <v>43101</v>
      </c>
      <c r="J8" s="3317"/>
      <c r="K8" s="63" t="s">
        <v>545</v>
      </c>
      <c r="L8" s="3318" t="s">
        <v>4602</v>
      </c>
      <c r="M8" s="3319"/>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0" t="s">
        <v>4616</v>
      </c>
      <c r="E12" s="3321"/>
      <c r="F12" s="3322"/>
      <c r="G12" s="3322" t="s">
        <v>443</v>
      </c>
      <c r="H12" s="1120"/>
      <c r="I12" s="3323"/>
      <c r="J12" s="3323"/>
      <c r="K12" s="3323"/>
      <c r="L12" s="3323"/>
      <c r="M12" s="3323"/>
      <c r="O12" s="1842" t="s">
        <v>3857</v>
      </c>
      <c r="P12" s="1842"/>
    </row>
    <row r="13" spans="1:20" s="8" customFormat="1" ht="12" customHeight="1">
      <c r="B13" s="1112" t="s">
        <v>1609</v>
      </c>
      <c r="C13" s="1109"/>
      <c r="D13" s="3324" t="s">
        <v>1608</v>
      </c>
      <c r="E13" s="3325"/>
      <c r="F13" s="3326"/>
      <c r="G13" s="3326" t="s">
        <v>443</v>
      </c>
      <c r="H13" s="1117"/>
      <c r="I13" s="3327"/>
      <c r="J13" s="3327"/>
      <c r="K13" s="3327"/>
      <c r="L13" s="3328"/>
      <c r="M13" s="3328"/>
      <c r="O13" s="1842"/>
      <c r="P13" s="1842"/>
    </row>
    <row r="14" spans="1:20" s="8" customFormat="1" ht="12" customHeight="1">
      <c r="B14" s="1115" t="s">
        <v>1610</v>
      </c>
      <c r="C14" s="1114"/>
      <c r="D14" s="3324" t="s">
        <v>1608</v>
      </c>
      <c r="E14" s="3325"/>
      <c r="F14" s="3326"/>
      <c r="G14" s="3326" t="s">
        <v>443</v>
      </c>
      <c r="H14" s="257"/>
      <c r="I14" s="3327"/>
      <c r="J14" s="3327"/>
      <c r="K14" s="3327"/>
      <c r="L14" s="3328"/>
      <c r="M14" s="3328"/>
      <c r="O14" s="1842"/>
      <c r="P14" s="1842"/>
    </row>
    <row r="15" spans="1:20" s="8" customFormat="1" ht="12" customHeight="1">
      <c r="B15" s="1110" t="s">
        <v>471</v>
      </c>
      <c r="C15" s="258"/>
      <c r="D15" s="1110" t="s">
        <v>1608</v>
      </c>
      <c r="E15" s="258"/>
      <c r="F15" s="3326"/>
      <c r="G15" s="3326" t="s">
        <v>443</v>
      </c>
      <c r="H15" s="1116"/>
      <c r="I15" s="3327"/>
      <c r="J15" s="3327"/>
      <c r="K15" s="3327"/>
      <c r="L15" s="3328"/>
      <c r="M15" s="3328"/>
      <c r="O15" s="1842"/>
      <c r="P15" s="1842"/>
    </row>
    <row r="16" spans="1:20" s="8" customFormat="1" ht="12" customHeight="1">
      <c r="B16" s="1111" t="s">
        <v>3829</v>
      </c>
      <c r="C16" s="1109"/>
      <c r="D16" s="1112" t="s">
        <v>1608</v>
      </c>
      <c r="E16" s="1109"/>
      <c r="F16" s="3326"/>
      <c r="G16" s="3326" t="s">
        <v>443</v>
      </c>
      <c r="H16" s="1117"/>
      <c r="I16" s="3327"/>
      <c r="J16" s="3327"/>
      <c r="K16" s="3327"/>
      <c r="L16" s="3328"/>
      <c r="M16" s="3328"/>
      <c r="O16" s="1842"/>
      <c r="P16" s="1842"/>
    </row>
    <row r="17" spans="1:19" s="8" customFormat="1" ht="12" customHeight="1">
      <c r="B17" s="1111" t="s">
        <v>3830</v>
      </c>
      <c r="C17" s="1109"/>
      <c r="D17" s="1112" t="s">
        <v>1608</v>
      </c>
      <c r="E17" s="1109"/>
      <c r="F17" s="3326"/>
      <c r="G17" s="3326" t="s">
        <v>443</v>
      </c>
      <c r="H17" s="1117"/>
      <c r="I17" s="3327"/>
      <c r="J17" s="3327"/>
      <c r="K17" s="3327"/>
      <c r="L17" s="3328"/>
      <c r="M17" s="3328"/>
      <c r="O17" s="1842"/>
      <c r="P17" s="1842"/>
    </row>
    <row r="18" spans="1:19" s="8" customFormat="1" ht="12" customHeight="1">
      <c r="B18" s="1113" t="s">
        <v>3831</v>
      </c>
      <c r="C18" s="1114"/>
      <c r="D18" s="1115" t="s">
        <v>1608</v>
      </c>
      <c r="E18" s="1109"/>
      <c r="F18" s="3326"/>
      <c r="G18" s="3326" t="s">
        <v>443</v>
      </c>
      <c r="H18" s="257"/>
      <c r="I18" s="3327"/>
      <c r="J18" s="3327"/>
      <c r="K18" s="3327"/>
      <c r="L18" s="3328"/>
      <c r="M18" s="3328"/>
      <c r="O18" s="1842"/>
      <c r="P18" s="1842"/>
    </row>
    <row r="19" spans="1:19" s="8" customFormat="1" ht="12" customHeight="1">
      <c r="B19" s="1110" t="s">
        <v>1382</v>
      </c>
      <c r="C19" s="258"/>
      <c r="D19" s="668" t="s">
        <v>3491</v>
      </c>
      <c r="E19" s="3329" t="s">
        <v>3010</v>
      </c>
      <c r="F19" s="3326"/>
      <c r="G19" s="3326" t="s">
        <v>443</v>
      </c>
      <c r="H19" s="1116"/>
      <c r="I19" s="3327"/>
      <c r="J19" s="3327"/>
      <c r="K19" s="3327"/>
      <c r="L19" s="3328"/>
      <c r="M19" s="3328"/>
      <c r="O19" s="1842"/>
      <c r="P19" s="1842"/>
    </row>
    <row r="20" spans="1:19" s="8" customFormat="1" ht="12" customHeight="1">
      <c r="B20" s="1121" t="s">
        <v>1865</v>
      </c>
      <c r="C20" s="231"/>
      <c r="D20" s="259"/>
      <c r="E20" s="231"/>
      <c r="F20" s="3330"/>
      <c r="G20" s="3330" t="s">
        <v>443</v>
      </c>
      <c r="H20" s="1122"/>
      <c r="I20" s="3331"/>
      <c r="J20" s="3331"/>
      <c r="K20" s="3331"/>
      <c r="L20" s="3332"/>
      <c r="M20" s="3332"/>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0</v>
      </c>
      <c r="K21" s="1582">
        <f>IF(SUM(K12:K20)=0,0,IF(OR($D12="&lt;&lt;Select Fuel &gt;&gt;",$D13="&lt;&lt;Select Fuel &gt;&gt;",$D14="&lt;&lt;Select Fuel &gt;&gt;"),"Select Fuel",IF($E19="&lt;Select&gt;","Submeter?",SUM(K12:K20))))</f>
        <v>0</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3"/>
      <c r="J23" s="3314"/>
      <c r="K23" s="3314"/>
      <c r="L23" s="3314"/>
      <c r="M23" s="3315"/>
    </row>
    <row r="24" spans="1:19" s="8" customFormat="1" ht="13.15" customHeight="1">
      <c r="A24" s="14"/>
      <c r="B24" s="14"/>
      <c r="F24" s="8" t="s">
        <v>642</v>
      </c>
      <c r="H24" s="28"/>
      <c r="I24" s="3316"/>
      <c r="J24" s="3317"/>
      <c r="K24" s="63" t="s">
        <v>545</v>
      </c>
      <c r="L24" s="3318"/>
      <c r="M24" s="3319"/>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0" t="s">
        <v>1833</v>
      </c>
      <c r="E28" s="3321"/>
      <c r="F28" s="3322"/>
      <c r="G28" s="3322"/>
      <c r="H28" s="1120"/>
      <c r="I28" s="3323"/>
      <c r="J28" s="3323"/>
      <c r="K28" s="3323"/>
      <c r="L28" s="3323"/>
      <c r="M28" s="3323"/>
      <c r="O28" s="1842" t="s">
        <v>3857</v>
      </c>
      <c r="P28" s="1842"/>
    </row>
    <row r="29" spans="1:19" s="8" customFormat="1" ht="12" customHeight="1">
      <c r="B29" s="1112" t="s">
        <v>1609</v>
      </c>
      <c r="C29" s="1109"/>
      <c r="D29" s="3324" t="s">
        <v>1833</v>
      </c>
      <c r="E29" s="3325"/>
      <c r="F29" s="3326"/>
      <c r="G29" s="3326"/>
      <c r="H29" s="1117"/>
      <c r="I29" s="3327"/>
      <c r="J29" s="3327"/>
      <c r="K29" s="3327"/>
      <c r="L29" s="3328"/>
      <c r="M29" s="3328"/>
      <c r="O29" s="1842"/>
      <c r="P29" s="1842"/>
    </row>
    <row r="30" spans="1:19" s="8" customFormat="1" ht="12" customHeight="1">
      <c r="B30" s="1115" t="s">
        <v>1610</v>
      </c>
      <c r="C30" s="1114"/>
      <c r="D30" s="3324" t="s">
        <v>1833</v>
      </c>
      <c r="E30" s="3325"/>
      <c r="F30" s="3326"/>
      <c r="G30" s="3326"/>
      <c r="H30" s="257"/>
      <c r="I30" s="3327"/>
      <c r="J30" s="3327"/>
      <c r="K30" s="3327"/>
      <c r="L30" s="3328"/>
      <c r="M30" s="3328"/>
      <c r="O30" s="1842"/>
      <c r="P30" s="1842"/>
    </row>
    <row r="31" spans="1:19" s="8" customFormat="1" ht="12" customHeight="1">
      <c r="B31" s="1110" t="s">
        <v>471</v>
      </c>
      <c r="C31" s="258"/>
      <c r="D31" s="1110" t="s">
        <v>1608</v>
      </c>
      <c r="E31" s="258"/>
      <c r="F31" s="3326"/>
      <c r="G31" s="3326"/>
      <c r="H31" s="1116"/>
      <c r="I31" s="3327"/>
      <c r="J31" s="3327"/>
      <c r="K31" s="3327"/>
      <c r="L31" s="3328"/>
      <c r="M31" s="3328"/>
      <c r="O31" s="1842"/>
      <c r="P31" s="1842"/>
    </row>
    <row r="32" spans="1:19" s="8" customFormat="1" ht="12" customHeight="1">
      <c r="B32" s="1111" t="s">
        <v>3829</v>
      </c>
      <c r="C32" s="1109"/>
      <c r="D32" s="1112" t="s">
        <v>1608</v>
      </c>
      <c r="E32" s="1109"/>
      <c r="F32" s="3326"/>
      <c r="G32" s="3326"/>
      <c r="H32" s="1117"/>
      <c r="I32" s="3327"/>
      <c r="J32" s="3327"/>
      <c r="K32" s="3327"/>
      <c r="L32" s="3328"/>
      <c r="M32" s="3328"/>
      <c r="O32" s="1842"/>
      <c r="P32" s="1842"/>
    </row>
    <row r="33" spans="1:19" s="8" customFormat="1" ht="12" customHeight="1">
      <c r="B33" s="1111" t="s">
        <v>3830</v>
      </c>
      <c r="C33" s="1109"/>
      <c r="D33" s="1112" t="s">
        <v>1608</v>
      </c>
      <c r="E33" s="1109"/>
      <c r="F33" s="3326"/>
      <c r="G33" s="3326"/>
      <c r="H33" s="1117"/>
      <c r="I33" s="3327"/>
      <c r="J33" s="3327"/>
      <c r="K33" s="3327"/>
      <c r="L33" s="3328"/>
      <c r="M33" s="3328"/>
      <c r="O33" s="1842"/>
      <c r="P33" s="1842"/>
    </row>
    <row r="34" spans="1:19" s="8" customFormat="1" ht="12" customHeight="1">
      <c r="B34" s="1113" t="s">
        <v>3831</v>
      </c>
      <c r="C34" s="1114"/>
      <c r="D34" s="1115" t="s">
        <v>1608</v>
      </c>
      <c r="E34" s="1109"/>
      <c r="F34" s="3326"/>
      <c r="G34" s="3326"/>
      <c r="H34" s="257"/>
      <c r="I34" s="3327"/>
      <c r="J34" s="3327"/>
      <c r="K34" s="3327"/>
      <c r="L34" s="3328"/>
      <c r="M34" s="3328"/>
      <c r="O34" s="1842"/>
      <c r="P34" s="1842"/>
    </row>
    <row r="35" spans="1:19" s="8" customFormat="1" ht="12" customHeight="1">
      <c r="B35" s="1110" t="s">
        <v>1382</v>
      </c>
      <c r="C35" s="258"/>
      <c r="D35" s="668" t="s">
        <v>3491</v>
      </c>
      <c r="E35" s="3329" t="s">
        <v>203</v>
      </c>
      <c r="F35" s="3326"/>
      <c r="G35" s="3326"/>
      <c r="H35" s="1116"/>
      <c r="I35" s="3327"/>
      <c r="J35" s="3327"/>
      <c r="K35" s="3327"/>
      <c r="L35" s="3328"/>
      <c r="M35" s="3328"/>
      <c r="O35" s="1842"/>
      <c r="P35" s="1842"/>
    </row>
    <row r="36" spans="1:19" s="8" customFormat="1" ht="12" customHeight="1">
      <c r="B36" s="1121" t="s">
        <v>1865</v>
      </c>
      <c r="C36" s="231"/>
      <c r="D36" s="259"/>
      <c r="E36" s="231"/>
      <c r="F36" s="3330"/>
      <c r="G36" s="3330"/>
      <c r="H36" s="1122"/>
      <c r="I36" s="3331"/>
      <c r="J36" s="3331"/>
      <c r="K36" s="3331"/>
      <c r="L36" s="3332"/>
      <c r="M36" s="3332"/>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4" t="s">
        <v>4680</v>
      </c>
      <c r="C41" s="3335"/>
      <c r="D41" s="3335"/>
      <c r="E41" s="3335"/>
      <c r="F41" s="3335"/>
      <c r="G41" s="3335"/>
      <c r="H41" s="3335"/>
      <c r="I41" s="3335"/>
      <c r="J41" s="3335"/>
      <c r="K41" s="3335"/>
      <c r="L41" s="3335"/>
      <c r="M41" s="333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7"/>
      <c r="C44" s="3338"/>
      <c r="D44" s="3338"/>
      <c r="E44" s="3338"/>
      <c r="F44" s="3338"/>
      <c r="G44" s="3338"/>
      <c r="H44" s="3338"/>
      <c r="I44" s="3338"/>
      <c r="J44" s="3338"/>
      <c r="K44" s="3338"/>
      <c r="L44" s="3338"/>
      <c r="M44" s="3339"/>
      <c r="N44" s="28"/>
      <c r="O44" s="1619"/>
      <c r="P44" s="1619"/>
      <c r="Q44" s="1619"/>
      <c r="R44" s="1619"/>
      <c r="S44" s="1619"/>
    </row>
  </sheetData>
  <sheetProtection algorithmName="SHA-512" hashValue="+xPSP9LRQSrLbeiWbV6aH+yjq0E42kNaDRoNoVOqwTl+jq2fkKUU1lifi23EIK3S8kKpm+rrZb6RYehQW6r0sg==" saltValue="bsY8jDPuRQjhPaZaxyF6x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2018-05-24T05:38:14Z</cp:lastPrinted>
  <dcterms:created xsi:type="dcterms:W3CDTF">2005-09-15T20:51:37Z</dcterms:created>
  <dcterms:modified xsi:type="dcterms:W3CDTF">2018-08-30T17:42:48Z</dcterms:modified>
</cp:coreProperties>
</file>